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0"/>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<sst xmlns="http://schemas.openxmlformats.org/spreadsheetml/2006/main" count="1585" uniqueCount="697">
  <si>
    <t>Zakup pomocy naukowych , dydaktycznych , książek</t>
  </si>
  <si>
    <t>Opłaty z tytułu zakupu usług telekomunikacyjnych telefonii komórkowej</t>
  </si>
  <si>
    <t xml:space="preserve">Podatek od nieruchomości </t>
  </si>
  <si>
    <t>Szkoły artystyczne</t>
  </si>
  <si>
    <t>Szkoły zawodowe specjalne</t>
  </si>
  <si>
    <t>Poradnie psychologiczno-pedagogiczne, w tym poradnie specjalistyczne</t>
  </si>
  <si>
    <t>Dotacje celowe otrzymane z budżetu państwa na realizację zadań własnych powiatu</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</si>
  <si>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</si>
  <si>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</si>
  <si>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</si>
  <si>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</si>
  <si>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</si>
  <si>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2960 Przelewy   redystrybucyjne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</si>
  <si>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</si>
  <si>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</si>
  <si>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</si>
  <si>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</si>
  <si>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</si>
  <si>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</si>
  <si>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</si>
  <si>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</si>
  <si>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</si>
  <si>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</si>
  <si>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</si>
  <si>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</si>
  <si>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</si>
  <si>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</si>
  <si>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</si>
  <si>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</si>
  <si>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</si>
  <si>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</si>
  <si>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</si>
  <si>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</si>
  <si>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</si>
  <si>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Plan
na 2007 r.
(6+13)</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</si>
  <si>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</si>
  <si>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</si>
  <si>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</si>
  <si>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</si>
  <si>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</si>
  <si>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</si>
  <si>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</si>
  <si>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</si>
  <si>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</si>
  <si>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</si>
  <si>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</si>
  <si>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</si>
  <si>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</si>
  <si>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</si>
  <si>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</si>
  <si>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</si>
  <si>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</si>
  <si>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</si>
  <si>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</si>
  <si>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</si>
  <si>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</si>
  <si>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srzęt biurowy</t>
  </si>
  <si>
    <t xml:space="preserve">PINB Toruń </t>
  </si>
  <si>
    <t>PINB Toruń</t>
  </si>
  <si>
    <t xml:space="preserve">Łączne koszty finansowe poniesione na   zadanie w latach  poprzednich  i  planowane   na  dany  rok </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</si>
  <si>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</si>
  <si>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</si>
  <si>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</si>
  <si>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</si>
  <si>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</si>
  <si>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</si>
  <si>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</si>
  <si>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</si>
  <si>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</si>
  <si>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</si>
  <si>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</si>
  <si>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</si>
  <si>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</si>
  <si>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</si>
  <si>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</si>
  <si>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</si>
  <si>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</si>
  <si>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</si>
  <si>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</si>
  <si>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</si>
  <si>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</si>
  <si>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</si>
  <si>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</si>
  <si>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</si>
  <si>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Z.Sz.  CKU  Gronowo </t>
  </si>
  <si>
    <t xml:space="preserve">dochody   własne </t>
  </si>
  <si>
    <t>Dotacje celowe otrzymane z gminy na zadania bieżące realizowane na podstawie porozumień (umów) między jednostkami samorządu terytorialnego  </t>
  </si>
  <si>
    <t>Dotacje celowe otrzymane z gminy na inwestycje i zakupy inwestycyjne realizowane na podstawie porozumień (umów) między jednostkami samorządu terytorialnego  </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</si>
  <si>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</si>
  <si>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</si>
  <si>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</si>
  <si>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</si>
  <si>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</si>
  <si>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</si>
  <si>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</si>
  <si>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</si>
  <si>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</si>
  <si>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</si>
  <si>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 xml:space="preserve">Samochód   dla   ratownictwa   ekologicznego  </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</si>
  <si>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</si>
  <si>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</si>
  <si>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</si>
  <si>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</si>
  <si>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</si>
  <si>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</si>
  <si>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</si>
  <si>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</si>
  <si>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</si>
  <si>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</si>
  <si>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</si>
  <si>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Planowane wydatki 2007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</si>
  <si>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</si>
  <si>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</si>
  <si>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</si>
  <si>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</si>
  <si>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</si>
  <si>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</si>
  <si>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</si>
  <si>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</si>
  <si>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</si>
  <si>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</si>
  <si>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</si>
  <si>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Zakup   nieruchomości    zabudowanej    w  Chełmży  ul.  Hallera  25</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</si>
  <si>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</si>
  <si>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</si>
  <si>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</si>
  <si>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</si>
  <si>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</si>
  <si>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</si>
  <si>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</si>
  <si>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</si>
  <si>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</si>
  <si>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</si>
  <si>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</si>
  <si>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</si>
  <si>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</si>
  <si>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</si>
  <si>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</si>
  <si>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</si>
  <si>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</si>
  <si>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</si>
  <si>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</si>
  <si>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</si>
  <si>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</si>
  <si>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</si>
  <si>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</si>
  <si>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</si>
  <si>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</si>
  <si>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</si>
  <si>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</si>
  <si>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</si>
  <si>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</si>
  <si>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</si>
  <si>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</si>
  <si>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</si>
  <si>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</si>
  <si>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</si>
  <si>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</si>
  <si>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</si>
  <si>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</si>
  <si>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</si>
  <si>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</si>
  <si>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</si>
  <si>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</si>
  <si>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</si>
  <si>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zakup   maszyn   drogowych i  urządzeń biurowych </t>
  </si>
  <si>
    <t xml:space="preserve">zakup   maszyn   drogowych i biurowych dla PZD   w  Toruniu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</si>
  <si>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</si>
  <si>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DPS.  DOBRZEJEWICE</t>
  </si>
  <si>
    <t xml:space="preserve">Standardy   w  DPS  Dobrzejewice </t>
  </si>
  <si>
    <t>DPS DOBRZEJEWICE</t>
  </si>
  <si>
    <t xml:space="preserve">PUP   w  Toruniu </t>
  </si>
  <si>
    <t xml:space="preserve">Montaż  wodomierza,  zakup  urzadzeń  chłodniczych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</si>
  <si>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</si>
  <si>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PCPR  w Toruniu</t>
  </si>
  <si>
    <t>sprzęt   gastronomiczny</t>
  </si>
  <si>
    <t xml:space="preserve">Z.SZ CKU Gronowo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</si>
  <si>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</si>
  <si>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</si>
  <si>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Przystosowanie   windy do  potrzeb  osób   niepełnosprawnych ,   remont  pomieszczeń  mieszkalnych , ocieplenie budynku- Zespół nr 1,inne.</t>
  </si>
  <si>
    <t>6050/6060</t>
  </si>
  <si>
    <t xml:space="preserve">Dotacje   na   współfinansowanie   warsztatów  terapii   zajęciowej  dla osób  niepełnosprawnych  z  terenu  Powiatu  Toruńskiego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</si>
  <si>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Marszałkiem  Województwa   a  Starostą  Toruńskim</t>
  </si>
  <si>
    <t>Wynagrodzenie osobowe pracowników</t>
  </si>
  <si>
    <t>Dotacje celowe otrzymane z budżetu państwa na realizację inwestycji i zakupów inwestycyjnych własnych powiatu</t>
  </si>
  <si>
    <t>Dotacje celowe przekazane gminie lub  miastu  stołecznemu  Warszawie  na zadania bieżące realizowane na podstawie porozumień między  jednostkami samorządu terytorialnego DOKSZTAŁCANIE   ZAWODOWE</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</si>
  <si>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</si>
  <si>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</si>
  <si>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</si>
  <si>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</si>
  <si>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</si>
  <si>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</si>
  <si>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</si>
  <si>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</si>
  <si>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</si>
  <si>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</si>
  <si>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</si>
  <si>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</si>
  <si>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</si>
  <si>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</si>
  <si>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</si>
  <si>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</si>
  <si>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</si>
  <si>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</si>
  <si>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</si>
  <si>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</si>
  <si>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</si>
  <si>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</si>
  <si>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 xml:space="preserve">spłata   kredytu  z  2007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</si>
  <si>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</si>
  <si>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</si>
  <si>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</si>
  <si>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</si>
  <si>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</si>
  <si>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</si>
  <si>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</si>
  <si>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 xml:space="preserve"> Przebudowa  drogi  powiatowej  nr  2010  Turzno -  Rogówko -  Lubicz  Dolny ,910 m   ;  2+337do3+247 2006-2009</t>
  </si>
  <si>
    <t>Sitno  Mazowsze  Czernikowo  droga  nr  2132,  3,5  km od  6+259do9+735 2006-2009</t>
  </si>
  <si>
    <t>Rezerwy  na  inwestycje  2007</t>
  </si>
  <si>
    <t>Poprawa  jakości  kształcenia z  Zespole  Szkół  w  Gronowie  poprzez  rozbudowę  bazy  oświatowej</t>
  </si>
  <si>
    <t xml:space="preserve">Z.Sz.CKU  GRONOWO </t>
  </si>
  <si>
    <t xml:space="preserve"> Przelewy   redystrybucyjne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</si>
  <si>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</si>
  <si>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</si>
  <si>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</si>
  <si>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</si>
  <si>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</si>
  <si>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</si>
  <si>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</si>
  <si>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</si>
  <si>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</si>
  <si>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</si>
  <si>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</si>
  <si>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Zakupy   sprzetu  gastronomicznego </t>
  </si>
  <si>
    <t>6050/6050</t>
  </si>
  <si>
    <t>Termoizolacja -  wymiana  okien    w  DPS  Dobrzejewice -C</t>
  </si>
  <si>
    <t>DPS Dobrzejewice</t>
  </si>
  <si>
    <t>DPSDOBRZEJEWICE</t>
  </si>
  <si>
    <t xml:space="preserve">PCPR   w  TORUNIU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</si>
  <si>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</si>
  <si>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</si>
  <si>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DPS.  PIGŻA</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</si>
  <si>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</si>
  <si>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</si>
  <si>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</si>
  <si>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</si>
  <si>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</si>
  <si>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</si>
  <si>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</si>
  <si>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</si>
  <si>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</si>
  <si>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</si>
  <si>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</si>
  <si>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</si>
  <si>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</si>
  <si>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</si>
  <si>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</si>
  <si>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</si>
  <si>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</si>
  <si>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</si>
  <si>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</si>
  <si>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</si>
  <si>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</si>
  <si>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</si>
  <si>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</si>
  <si>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</si>
  <si>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</si>
  <si>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</si>
  <si>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</si>
  <si>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</si>
  <si>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</si>
  <si>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Zakup leków i wyrobów  medycznych i produktów biobójczych</t>
  </si>
  <si>
    <t>Zakup usług  obejmujących  tłumaczenia</t>
  </si>
  <si>
    <t xml:space="preserve">OGÓŁEM   Z    FUNDUSZAMI   </t>
  </si>
  <si>
    <t xml:space="preserve">Ogółem   bez   funduszy -  zgodne  z  zał.2 </t>
  </si>
  <si>
    <t xml:space="preserve">Ogółem   z  funduszami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</si>
  <si>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</si>
  <si>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</si>
  <si>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</si>
  <si>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</si>
  <si>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</si>
  <si>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</si>
  <si>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</si>
  <si>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</si>
  <si>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</si>
  <si>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</si>
  <si>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</si>
  <si>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</si>
  <si>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</si>
  <si>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Uzupełnienie  subwencji ogólnej  dla  j.s.t </t>
  </si>
  <si>
    <t>Środki  na  inwestycje  rozpoczęte  przed  dniem  1  stycznia  1999  r.</t>
  </si>
  <si>
    <t>.0490</t>
  </si>
  <si>
    <t>Wpływy  z  innych  lokalnych  opłat  pobieranych  przez  j.s.t. na  podstawie  odrębnych  ustawa</t>
  </si>
  <si>
    <t>Dotacje otrzymane   z   funduszy  celowych na  finansowanie   lub   dofinansowanie    kosztów   realizacji   inwestycji   i  zakupów  inwestycyjnych j.s.f.p</t>
  </si>
  <si>
    <t xml:space="preserve">75020oraz   PFOŚiGW </t>
  </si>
  <si>
    <t>PFOŚiGW</t>
  </si>
  <si>
    <t>w  tym  :</t>
  </si>
  <si>
    <t xml:space="preserve">PO-W  GŁUCHOWO </t>
  </si>
  <si>
    <t xml:space="preserve">PFOŚIGW </t>
  </si>
  <si>
    <t xml:space="preserve">Dodatkowa  instalacja   ciepłej   wody    w  internacie W  z.Sz.CKU  Gronowo </t>
  </si>
  <si>
    <t>DPS  PIGŻA</t>
  </si>
  <si>
    <t>Opłaty na rzecz budżetu państwa</t>
  </si>
  <si>
    <t>Środki na uzupełnienie dochodów</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</si>
  <si>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</si>
  <si>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</si>
  <si>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</si>
  <si>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</si>
  <si>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Termoizolacja  -  bud.  PO-W Głuchowo ( C)</t>
  </si>
  <si>
    <t>Sprzęt  do utrzymania  zieleni  -  PZD   w  Toruniu ( C)</t>
  </si>
  <si>
    <t>Dodatkowa  instalacja   ciepłej   wody    w  internacie W  z.Sz.CKU  Gronowo ( C)</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</si>
  <si>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</si>
  <si>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</si>
  <si>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</si>
  <si>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 xml:space="preserve">D-  nadwyżka </t>
  </si>
  <si>
    <t>Sprzęt  do utrzymania  zieleni  -  PZD   w  Toruniu - C</t>
  </si>
  <si>
    <t>Termoizolacja  -  bud.  PO-W Głuchowo -C</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</si>
  <si>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</si>
  <si>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</si>
  <si>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</si>
  <si>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</si>
  <si>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</si>
  <si>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</si>
  <si>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</si>
  <si>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</si>
  <si>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</si>
  <si>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</si>
  <si>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Zakup   sprzętu  informatycznego,oprogramowanie - C</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</si>
  <si>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</si>
  <si>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</si>
  <si>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</si>
  <si>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</si>
  <si>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</si>
  <si>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</si>
  <si>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</si>
  <si>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Kosze  do  koszykówki </t>
  </si>
  <si>
    <t xml:space="preserve">Zakupy   dot.  standardów  placówek </t>
  </si>
  <si>
    <t>POW  GŁUCHOWO</t>
  </si>
  <si>
    <t xml:space="preserve">standardy  DPS </t>
  </si>
  <si>
    <t>DPS BROWINA</t>
  </si>
  <si>
    <t>DS. PIGŻA</t>
  </si>
  <si>
    <t>6060/6050</t>
  </si>
  <si>
    <t xml:space="preserve">Wyposażenie   nowego  miejsca  pracy  dla  osoby  niepełnosprawnej  odpowiednio   do  jej   potrzeb  i  możliwości </t>
  </si>
  <si>
    <t>.0580</t>
  </si>
  <si>
    <t xml:space="preserve">  2120</t>
  </si>
  <si>
    <t>Dotacje celowe otrzymane z budżetu państwa na inwestycje i zakupy inwestycyjne realizowane przez powiat na podstawie porozumień z organami administracji rządowej</t>
  </si>
  <si>
    <t>Dotacje celowe przekazane z budżetu państwa na zadania bieżące realizowane przez powiat na podstawie porozumień z organami administracji rządowej</t>
  </si>
  <si>
    <t>Instalacja  p.poż  dla  Ośrodka  wsparcia   w Browine</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</si>
  <si>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</si>
  <si>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</si>
  <si>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</si>
  <si>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</si>
  <si>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</si>
  <si>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</si>
  <si>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</si>
  <si>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</si>
  <si>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</si>
  <si>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</si>
  <si>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młodzieży polonijnej   w  kraju </t>
  </si>
  <si>
    <t xml:space="preserve">Środki na finansowanie własnych zadań bieżących gmin            ( związków gmin ) , powiatów    ( związków powiatów ) , samorządów województw , pozyskane z innych źródeł </t>
  </si>
  <si>
    <t>Monitoring  szkoły</t>
  </si>
  <si>
    <t xml:space="preserve">B. Środki  otrzymane od innych jst oraz innych jednostek zaliczanych do sektora finansów publicznych   na  wpółfinansowanie   </t>
  </si>
  <si>
    <t>Modernizacja  drogi powiatowej  nr  2016 Łubianka  -Kończewice 1999- B</t>
  </si>
  <si>
    <t>zakup   urządzenia   typu  ATLAS - C</t>
  </si>
  <si>
    <t>Przystosowanie   windy do  potrzeb  osób   niepełnosprawnych ,   remont  pomieszczeń  mieszkalnych , ocieplenie budynku- Zespół nr 1,inne.-  C</t>
  </si>
  <si>
    <t xml:space="preserve">C. Powiatowy   Fundusz   Ochrony  Środowiska i  GW   lub  Powiatowy Fundusz Gospodarowania Zasobem Geodezyjnym i Kartograficznym ,  dochody wlasne  j.s.t </t>
  </si>
  <si>
    <t>środki pochodzące
 z innych  źródeł-B,  C, D</t>
  </si>
  <si>
    <t>Modernizacja  drogi powiatowej  nr  2016 Łubianka  -Kończewice 6+00:7+260 C</t>
  </si>
  <si>
    <t>Zakup   nieruchomości    zabudowanej    w  Toruniu -D</t>
  </si>
  <si>
    <t>C. Powiatowy   Fundusz   Ochrony  Środowiska i  GW   lub  Powiatowy Fundusz Gospodarowania Zasobem Geodezyjnym i Kartograficznym ,dochody  własne ,</t>
  </si>
  <si>
    <t>Zakup   nieruchomości    zabudowanej    w Toruniu -D</t>
  </si>
  <si>
    <t>zakup   urzadzenia   typu  ATLAS -C</t>
  </si>
  <si>
    <t>Przystosowanie   windy do  potrzeb  osób   niepełnosprawnych ,   remont  pomieszczeń  mieszkalnych , ocieplenie budynku- Zespół nr 1,inne.C</t>
  </si>
  <si>
    <t>Samochód   dla   ratownictwa   ekologicznego  C</t>
  </si>
  <si>
    <t xml:space="preserve">Modernizacja  łazienek  dla  osób  niepełnosprawnych  w DPS  Wielka  Nieszakwa </t>
  </si>
  <si>
    <t xml:space="preserve">podać   z   przetargu   </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</si>
  <si>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</si>
  <si>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</si>
  <si>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</si>
  <si>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</si>
  <si>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</si>
  <si>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</si>
  <si>
    <t xml:space="preserve">Wydatki  na  zakupy inwestycyjne jednostek budżetowych </t>
  </si>
  <si>
    <r>
      <t xml:space="preserve">Wyposażenie budynku  przy  ul.Sz.Chełmińska  30/32 w system sygnalizacji pożaru wraz z podłączeniem KM PSP  2007 ,  inne  inwestycje   w  budynku  -  </t>
    </r>
    <r>
      <rPr>
        <b/>
        <u val="single"/>
        <sz val="10"/>
        <rFont val="Times New Roman"/>
        <family val="1"/>
      </rPr>
      <t>B</t>
    </r>
  </si>
  <si>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</si>
  <si>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</si>
  <si>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</si>
  <si>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</si>
  <si>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</si>
  <si>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</si>
  <si>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</si>
  <si>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</si>
  <si>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</si>
  <si>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</si>
  <si>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</si>
  <si>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</si>
  <si>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</si>
  <si>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</si>
  <si>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</si>
  <si>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</si>
  <si>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</si>
  <si>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</si>
  <si>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</si>
  <si>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</si>
  <si>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</si>
  <si>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</si>
  <si>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</si>
  <si>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</si>
  <si>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</si>
  <si>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</si>
  <si>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</si>
  <si>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</si>
  <si>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</si>
  <si>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</si>
  <si>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</si>
  <si>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</si>
  <si>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</si>
  <si>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</si>
  <si>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</si>
  <si>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</si>
  <si>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</si>
  <si>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</si>
  <si>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</si>
  <si>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</si>
  <si>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</si>
  <si>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</si>
  <si>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</si>
  <si>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</si>
  <si>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</si>
  <si>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</si>
  <si>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</si>
  <si>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</si>
  <si>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</si>
  <si>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</si>
  <si>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</si>
  <si>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</si>
  <si>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</si>
  <si>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</si>
  <si>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</si>
  <si>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</si>
  <si>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</si>
  <si>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</si>
  <si>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</si>
  <si>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</si>
  <si>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</si>
  <si>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</si>
  <si>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</si>
  <si>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</si>
  <si>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</si>
  <si>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</si>
  <si>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</si>
  <si>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</si>
  <si>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</si>
  <si>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</si>
  <si>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</si>
  <si>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</si>
  <si>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</si>
  <si>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</si>
  <si>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</si>
  <si>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</si>
  <si>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</si>
  <si>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</si>
  <si>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</si>
  <si>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</si>
  <si>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</si>
  <si>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</si>
  <si>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</si>
  <si>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</si>
  <si>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</si>
  <si>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</si>
  <si>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</si>
  <si>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</si>
  <si>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</si>
  <si>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</si>
  <si>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</si>
  <si>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</si>
  <si>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</si>
  <si>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</si>
  <si>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</si>
  <si>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</si>
  <si>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</si>
  <si>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</si>
  <si>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</si>
  <si>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</si>
  <si>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</si>
  <si>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</si>
  <si>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</si>
  <si>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</si>
  <si>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</si>
  <si>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</si>
  <si>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</si>
  <si>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</si>
  <si>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</si>
  <si>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</si>
  <si>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</si>
  <si>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</si>
  <si>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</si>
  <si>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</si>
  <si>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</si>
  <si>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</si>
  <si>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</si>
  <si>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</si>
  <si>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</si>
  <si>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</si>
  <si>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</si>
  <si>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</si>
  <si>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</si>
  <si>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</si>
  <si>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</si>
  <si>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</si>
  <si>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</si>
  <si>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</si>
  <si>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</si>
  <si>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</si>
  <si>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</si>
  <si>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</si>
  <si>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</si>
  <si>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</si>
  <si>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</si>
  <si>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</si>
  <si>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 xml:space="preserve">Dotacje celowe otrzymane z budżetu państwa na inwestycje i zakupy inwestycyjne z zakresu administracji rządowej oraz inne zadania zlecone ustawami realizowane przez powiat </t>
  </si>
  <si>
    <t>Dotacje celowe otrzymane  z budżetu państwa na realizację  własnych  inwestycji i  zakupów  inwestycyjnych  powiatu</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</si>
  <si>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</si>
  <si>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</si>
  <si>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</si>
  <si>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</si>
  <si>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</si>
  <si>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</si>
  <si>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</si>
  <si>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</si>
  <si>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</si>
  <si>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</si>
  <si>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</si>
  <si>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</si>
  <si>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</si>
  <si>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</si>
  <si>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</si>
  <si>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</si>
  <si>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</si>
  <si>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</si>
  <si>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</si>
  <si>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</si>
  <si>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</si>
  <si>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</si>
  <si>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</si>
  <si>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</si>
  <si>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</si>
  <si>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</si>
  <si>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</si>
  <si>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</si>
  <si>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</si>
  <si>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</si>
  <si>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</si>
  <si>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</si>
  <si>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</si>
  <si>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</si>
  <si>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</si>
  <si>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</si>
  <si>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</si>
  <si>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</si>
  <si>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</si>
  <si>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</si>
  <si>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</si>
  <si>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</si>
  <si>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</si>
  <si>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</si>
  <si>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</si>
  <si>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</si>
  <si>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</si>
  <si>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</si>
  <si>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</si>
  <si>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</si>
  <si>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</si>
  <si>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</si>
  <si>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</si>
  <si>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</si>
  <si>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</si>
  <si>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</si>
  <si>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</si>
  <si>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</si>
  <si>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</si>
  <si>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</si>
  <si>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</si>
  <si>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</si>
  <si>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</si>
  <si>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</si>
  <si>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</si>
  <si>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</si>
  <si>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</si>
  <si>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</si>
  <si>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</si>
  <si>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</si>
  <si>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</si>
  <si>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</si>
  <si>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</si>
  <si>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</si>
  <si>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</si>
  <si>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</si>
  <si>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</si>
  <si>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</si>
  <si>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</si>
  <si>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</si>
  <si>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</si>
  <si>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</si>
  <si>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</si>
  <si>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</si>
  <si>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Udział w finansowaniu inwestycji w budynku przy ul. Szosa Chełmińska 30/32 – 21.240zł, montaż   drzwi  p.poż  i  ścianek  – 25.300,  wymiana  oświetlenia 8.500zł.(C)</t>
  </si>
  <si>
    <t>Udział w finansowaniu inwestycji w budynku przy ul. Szosa Chełmińska 30/32 – 21.240zł, montaż   drzwi  p.poż  i  ścianek  – 25.300,  wymiana  oświetlenia 8.500 zł.(C)</t>
  </si>
  <si>
    <t>.010</t>
  </si>
  <si>
    <t>ROLNICTWO I ŁOWIECTWO</t>
  </si>
  <si>
    <t>.01005</t>
  </si>
  <si>
    <t>4210 Materiałyi  wyposażenie</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</si>
  <si>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</si>
  <si>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</si>
  <si>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</si>
  <si>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</si>
  <si>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</si>
  <si>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</si>
  <si>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</si>
  <si>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</si>
  <si>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</si>
  <si>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</si>
  <si>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</si>
  <si>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</si>
  <si>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</si>
  <si>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</si>
  <si>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</si>
  <si>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</si>
  <si>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</si>
  <si>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</si>
  <si>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</si>
  <si>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</si>
  <si>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</si>
  <si>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</si>
  <si>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</si>
  <si>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Grzywny i inne kary pieniężne od  osób prawnych i innych  jednostek organizacyjnych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</si>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</sst>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b/>
      <sz val="6"/>
      <name val="Arial"/>
      <family val="2"/>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9">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3">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9" fillId="0" borderId="0" xfId="0" applyFont="1" applyAlignment="1">
      <alignment horizontal="justify"/>
    </xf>
    <xf numFmtId="0" fontId="4" fillId="0" borderId="1" xfId="0" applyFont="1" applyBorder="1" applyAlignment="1">
      <alignment wrapText="1"/>
    </xf>
    <xf numFmtId="0" fontId="26"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5"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6" xfId="0" applyFont="1" applyBorder="1" applyAlignment="1">
      <alignment vertical="center" wrapText="1"/>
    </xf>
    <xf numFmtId="3" fontId="40"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wrapText="1"/>
    </xf>
    <xf numFmtId="49" fontId="0" fillId="0" borderId="1" xfId="0" applyNumberFormat="1" applyFont="1" applyBorder="1" applyAlignment="1">
      <alignment/>
    </xf>
    <xf numFmtId="49" fontId="0" fillId="0" borderId="1" xfId="0" applyNumberFormat="1" applyFont="1" applyBorder="1" applyAlignment="1">
      <alignment horizontal="right"/>
    </xf>
    <xf numFmtId="3" fontId="18" fillId="0" borderId="12" xfId="0" applyNumberFormat="1" applyFont="1" applyBorder="1" applyAlignment="1">
      <alignment horizontal="right" vertical="top" wrapText="1"/>
    </xf>
    <xf numFmtId="3" fontId="0" fillId="0" borderId="1" xfId="0" applyNumberFormat="1" applyFont="1" applyBorder="1" applyAlignment="1">
      <alignment vertical="center"/>
    </xf>
    <xf numFmtId="3" fontId="0" fillId="0" borderId="1" xfId="0" applyNumberFormat="1" applyFont="1" applyBorder="1" applyAlignment="1">
      <alignment/>
    </xf>
    <xf numFmtId="0" fontId="0" fillId="0" borderId="0" xfId="0" applyBorder="1" applyAlignment="1">
      <alignment vertical="center" wrapText="1"/>
    </xf>
    <xf numFmtId="3" fontId="15" fillId="0" borderId="0" xfId="0" applyNumberFormat="1" applyFont="1" applyAlignment="1">
      <alignment/>
    </xf>
    <xf numFmtId="0" fontId="1" fillId="0" borderId="6" xfId="0" applyFont="1" applyBorder="1" applyAlignment="1">
      <alignment vertical="center"/>
    </xf>
    <xf numFmtId="0" fontId="18" fillId="0" borderId="0" xfId="18" applyFont="1" applyAlignment="1">
      <alignment horizontal="center"/>
      <protection/>
    </xf>
    <xf numFmtId="0" fontId="11" fillId="0" borderId="16" xfId="18" applyFont="1" applyBorder="1" applyAlignment="1">
      <alignment horizontal="center"/>
      <protection/>
    </xf>
    <xf numFmtId="0" fontId="11" fillId="0" borderId="17" xfId="18" applyFont="1" applyBorder="1" applyAlignment="1">
      <alignment horizontal="center"/>
      <protection/>
    </xf>
    <xf numFmtId="0" fontId="31" fillId="0" borderId="0" xfId="0" applyFont="1" applyBorder="1" applyAlignment="1">
      <alignment horizontal="center" wrapText="1"/>
    </xf>
    <xf numFmtId="0" fontId="31" fillId="0" borderId="18" xfId="0" applyFont="1" applyBorder="1" applyAlignment="1">
      <alignment horizontal="center" wrapText="1"/>
    </xf>
    <xf numFmtId="0" fontId="31" fillId="0" borderId="12" xfId="0" applyFont="1" applyBorder="1" applyAlignment="1">
      <alignment horizontal="center" wrapText="1"/>
    </xf>
    <xf numFmtId="0" fontId="31" fillId="0" borderId="19" xfId="0" applyFont="1" applyBorder="1" applyAlignment="1">
      <alignment horizontal="center" wrapText="1"/>
    </xf>
    <xf numFmtId="0" fontId="31" fillId="0" borderId="20" xfId="0" applyFont="1" applyBorder="1" applyAlignment="1">
      <alignment horizontal="center" wrapText="1"/>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11" fillId="2" borderId="1" xfId="18" applyFont="1" applyFill="1" applyBorder="1" applyAlignment="1">
      <alignment horizontal="center" vertical="center" wrapText="1"/>
      <protection/>
    </xf>
    <xf numFmtId="0" fontId="11" fillId="2" borderId="1" xfId="18" applyFont="1" applyFill="1" applyBorder="1" applyAlignment="1">
      <alignment horizontal="center" vertical="center"/>
      <protection/>
    </xf>
    <xf numFmtId="0" fontId="31" fillId="0" borderId="21" xfId="0" applyFont="1" applyBorder="1" applyAlignment="1">
      <alignment horizontal="center" wrapText="1"/>
    </xf>
    <xf numFmtId="0" fontId="31" fillId="0" borderId="22" xfId="0" applyFont="1" applyBorder="1" applyAlignment="1">
      <alignment horizontal="center" wrapText="1"/>
    </xf>
    <xf numFmtId="0" fontId="31" fillId="0" borderId="23" xfId="0" applyFont="1" applyBorder="1" applyAlignment="1">
      <alignment horizontal="center" wrapText="1"/>
    </xf>
    <xf numFmtId="0" fontId="31" fillId="0" borderId="24" xfId="0" applyFont="1" applyBorder="1" applyAlignment="1">
      <alignment horizontal="center" wrapTex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3" fontId="4" fillId="2" borderId="1" xfId="0" applyNumberFormat="1" applyFont="1" applyFill="1" applyBorder="1" applyAlignment="1">
      <alignment horizontal="center" vertical="center" wrapText="1"/>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0" fontId="11" fillId="0" borderId="1" xfId="18" applyFont="1" applyBorder="1" applyAlignment="1">
      <alignment horizont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11" fillId="0" borderId="21" xfId="18" applyFont="1" applyBorder="1" applyAlignment="1">
      <alignment horizontal="center"/>
      <protection/>
    </xf>
    <xf numFmtId="0" fontId="11" fillId="0" borderId="23" xfId="18" applyFont="1" applyBorder="1" applyAlignment="1">
      <alignment horizontal="center"/>
      <protection/>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3" fontId="2" fillId="0" borderId="8"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9" xfId="0" applyNumberFormat="1" applyFont="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4" fillId="0" borderId="6" xfId="0" applyNumberFormat="1" applyFont="1" applyBorder="1" applyAlignment="1">
      <alignment horizontal="right"/>
    </xf>
    <xf numFmtId="4" fontId="4" fillId="0" borderId="5" xfId="0" applyNumberFormat="1" applyFont="1" applyBorder="1" applyAlignment="1">
      <alignment horizontal="right"/>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xf numFmtId="0" fontId="1" fillId="0" borderId="1" xfId="0" applyFont="1" applyBorder="1" applyAlignment="1">
      <alignment vertical="center"/>
    </xf>
    <xf numFmtId="0" fontId="39" fillId="0" borderId="25" xfId="0" applyFont="1" applyBorder="1" applyAlignment="1">
      <alignment horizontal="justify"/>
    </xf>
    <xf numFmtId="0" fontId="29" fillId="0" borderId="6" xfId="0" applyFont="1" applyBorder="1" applyAlignment="1">
      <alignment wrapText="1"/>
    </xf>
    <xf numFmtId="0" fontId="26" fillId="4" borderId="8" xfId="0" applyFont="1" applyFill="1" applyBorder="1" applyAlignment="1">
      <alignment horizontal="center" vertical="center"/>
    </xf>
    <xf numFmtId="0" fontId="26" fillId="4" borderId="25" xfId="0" applyFont="1" applyFill="1" applyBorder="1" applyAlignment="1">
      <alignment horizontal="center" vertical="center"/>
    </xf>
    <xf numFmtId="0" fontId="26" fillId="4" borderId="9"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6"/>
  <sheetViews>
    <sheetView tabSelected="1" workbookViewId="0" topLeftCell="A1">
      <selection activeCell="E18" sqref="E18"/>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84" t="s">
        <v>598</v>
      </c>
      <c r="C1" s="384"/>
      <c r="D1" s="384"/>
      <c r="E1" s="384"/>
    </row>
    <row r="2" spans="2:5" ht="18">
      <c r="B2" s="128"/>
      <c r="C2" s="128"/>
      <c r="D2" s="128"/>
      <c r="E2" s="129"/>
    </row>
    <row r="3" ht="12.75">
      <c r="E3" s="130" t="s">
        <v>441</v>
      </c>
    </row>
    <row r="4" spans="1:5" s="131" customFormat="1" ht="15" customHeight="1">
      <c r="A4" s="385" t="s">
        <v>386</v>
      </c>
      <c r="B4" s="385" t="s">
        <v>387</v>
      </c>
      <c r="C4" s="385" t="s">
        <v>388</v>
      </c>
      <c r="D4" s="385" t="s">
        <v>535</v>
      </c>
      <c r="E4" s="388" t="s">
        <v>448</v>
      </c>
    </row>
    <row r="5" spans="1:5" s="131" customFormat="1" ht="15" customHeight="1">
      <c r="A5" s="386"/>
      <c r="B5" s="386"/>
      <c r="C5" s="387"/>
      <c r="D5" s="387"/>
      <c r="E5" s="389"/>
    </row>
    <row r="6" spans="1:5" s="49" customFormat="1" ht="7.5" customHeight="1">
      <c r="A6" s="23">
        <v>1</v>
      </c>
      <c r="B6" s="23">
        <v>2</v>
      </c>
      <c r="C6" s="23">
        <v>3</v>
      </c>
      <c r="D6" s="23">
        <v>4</v>
      </c>
      <c r="E6" s="132">
        <v>5</v>
      </c>
    </row>
    <row r="7" spans="1:5" ht="19.5" customHeight="1">
      <c r="A7" s="133" t="s">
        <v>75</v>
      </c>
      <c r="B7" s="134" t="s">
        <v>76</v>
      </c>
      <c r="C7" s="133" t="s">
        <v>77</v>
      </c>
      <c r="D7" s="135" t="s">
        <v>78</v>
      </c>
      <c r="E7" s="136"/>
    </row>
    <row r="8" spans="1:5" s="141" customFormat="1" ht="19.5" customHeight="1">
      <c r="A8" s="137" t="s">
        <v>607</v>
      </c>
      <c r="B8" s="138"/>
      <c r="C8" s="137"/>
      <c r="D8" s="139" t="s">
        <v>608</v>
      </c>
      <c r="E8" s="140">
        <f>SUM(E9+E11)</f>
        <v>40500</v>
      </c>
    </row>
    <row r="9" spans="1:5" s="144" customFormat="1" ht="19.5" customHeight="1">
      <c r="A9" s="142"/>
      <c r="B9" s="109" t="s">
        <v>609</v>
      </c>
      <c r="C9" s="142"/>
      <c r="D9" s="107" t="s">
        <v>79</v>
      </c>
      <c r="E9" s="143">
        <f>E10</f>
        <v>40000</v>
      </c>
    </row>
    <row r="10" spans="1:5" s="65" customFormat="1" ht="33.75">
      <c r="A10" s="145"/>
      <c r="B10" s="146"/>
      <c r="C10" s="145">
        <v>2110</v>
      </c>
      <c r="D10" s="147" t="s">
        <v>80</v>
      </c>
      <c r="E10" s="148">
        <v>40000</v>
      </c>
    </row>
    <row r="11" spans="1:5" s="144" customFormat="1" ht="12.75">
      <c r="A11" s="142"/>
      <c r="B11" s="109" t="s">
        <v>81</v>
      </c>
      <c r="C11" s="142"/>
      <c r="D11" s="107" t="s">
        <v>82</v>
      </c>
      <c r="E11" s="143">
        <f>E12</f>
        <v>500</v>
      </c>
    </row>
    <row r="12" spans="1:5" ht="33.75">
      <c r="A12" s="145"/>
      <c r="B12" s="146"/>
      <c r="C12" s="145">
        <v>2360</v>
      </c>
      <c r="D12" s="147" t="s">
        <v>83</v>
      </c>
      <c r="E12" s="136">
        <v>500</v>
      </c>
    </row>
    <row r="13" spans="1:5" s="141" customFormat="1" ht="12.75">
      <c r="A13" s="137" t="s">
        <v>613</v>
      </c>
      <c r="B13" s="138"/>
      <c r="C13" s="137"/>
      <c r="D13" s="139" t="s">
        <v>614</v>
      </c>
      <c r="E13" s="140">
        <f>E14</f>
        <v>266996</v>
      </c>
    </row>
    <row r="14" spans="1:5" s="144" customFormat="1" ht="12.75">
      <c r="A14" s="137"/>
      <c r="B14" s="109" t="s">
        <v>615</v>
      </c>
      <c r="C14" s="142"/>
      <c r="D14" s="107" t="s">
        <v>616</v>
      </c>
      <c r="E14" s="143">
        <f>E15</f>
        <v>266996</v>
      </c>
    </row>
    <row r="15" spans="1:5" ht="33.75">
      <c r="A15" s="145"/>
      <c r="B15" s="146"/>
      <c r="C15" s="149">
        <v>2700</v>
      </c>
      <c r="D15" s="147" t="s">
        <v>88</v>
      </c>
      <c r="E15" s="136">
        <f>260000-6102+13098</f>
        <v>266996</v>
      </c>
    </row>
    <row r="16" spans="1:5" s="141" customFormat="1" ht="12.75">
      <c r="A16" s="121">
        <v>600</v>
      </c>
      <c r="B16" s="121"/>
      <c r="C16" s="150"/>
      <c r="D16" s="151" t="s">
        <v>621</v>
      </c>
      <c r="E16" s="140">
        <f>E17</f>
        <v>346994</v>
      </c>
    </row>
    <row r="17" spans="1:5" s="144" customFormat="1" ht="12.75">
      <c r="A17" s="152"/>
      <c r="B17" s="152">
        <v>60014</v>
      </c>
      <c r="C17" s="153"/>
      <c r="D17" s="154" t="s">
        <v>622</v>
      </c>
      <c r="E17" s="143">
        <f>SUM(E18:E22)</f>
        <v>346994</v>
      </c>
    </row>
    <row r="18" spans="1:5" s="144" customFormat="1" ht="38.25">
      <c r="A18" s="152"/>
      <c r="B18" s="152"/>
      <c r="C18" s="85">
        <v>6610</v>
      </c>
      <c r="D18" s="80" t="s">
        <v>87</v>
      </c>
      <c r="E18" s="363">
        <v>24673</v>
      </c>
    </row>
    <row r="19" spans="1:5" s="144" customFormat="1" ht="38.25">
      <c r="A19" s="152"/>
      <c r="B19" s="152"/>
      <c r="C19" s="85">
        <v>2310</v>
      </c>
      <c r="D19" s="272" t="s">
        <v>86</v>
      </c>
      <c r="E19" s="363">
        <v>10000</v>
      </c>
    </row>
    <row r="20" spans="1:5" ht="12.75">
      <c r="A20" s="84"/>
      <c r="B20" s="84"/>
      <c r="C20" s="85" t="s">
        <v>89</v>
      </c>
      <c r="D20" s="102" t="s">
        <v>90</v>
      </c>
      <c r="E20" s="136"/>
    </row>
    <row r="21" spans="1:5" ht="33.75">
      <c r="A21" s="145"/>
      <c r="B21" s="81"/>
      <c r="C21" s="85">
        <v>6298</v>
      </c>
      <c r="D21" s="102" t="s">
        <v>222</v>
      </c>
      <c r="E21" s="136">
        <f>534358-48224-222037</f>
        <v>264097</v>
      </c>
    </row>
    <row r="22" spans="1:5" ht="22.5">
      <c r="A22" s="145"/>
      <c r="B22" s="81"/>
      <c r="C22" s="85">
        <v>6439</v>
      </c>
      <c r="D22" s="102" t="s">
        <v>184</v>
      </c>
      <c r="E22" s="136">
        <v>48224</v>
      </c>
    </row>
    <row r="23" spans="1:5" s="141" customFormat="1" ht="12.75">
      <c r="A23" s="137">
        <v>700</v>
      </c>
      <c r="B23" s="138"/>
      <c r="C23" s="137"/>
      <c r="D23" s="139" t="s">
        <v>646</v>
      </c>
      <c r="E23" s="140">
        <f>E24</f>
        <v>303905</v>
      </c>
    </row>
    <row r="24" spans="1:5" s="144" customFormat="1" ht="12.75">
      <c r="A24" s="142"/>
      <c r="B24" s="109">
        <v>70005</v>
      </c>
      <c r="C24" s="142"/>
      <c r="D24" s="107" t="s">
        <v>647</v>
      </c>
      <c r="E24" s="143">
        <f>SUM(E25:E28)</f>
        <v>303905</v>
      </c>
    </row>
    <row r="25" spans="1:5" ht="22.5">
      <c r="A25" s="145"/>
      <c r="B25" s="146"/>
      <c r="C25" s="145" t="s">
        <v>91</v>
      </c>
      <c r="D25" s="147" t="s">
        <v>92</v>
      </c>
      <c r="E25" s="136">
        <v>5000</v>
      </c>
    </row>
    <row r="26" spans="1:5" ht="45">
      <c r="A26" s="145"/>
      <c r="B26" s="146"/>
      <c r="C26" s="145" t="s">
        <v>93</v>
      </c>
      <c r="D26" s="147" t="s">
        <v>94</v>
      </c>
      <c r="E26" s="155">
        <v>38000</v>
      </c>
    </row>
    <row r="27" spans="1:5" ht="33.75">
      <c r="A27" s="145"/>
      <c r="B27" s="146"/>
      <c r="C27" s="145">
        <v>2110</v>
      </c>
      <c r="D27" s="147" t="s">
        <v>80</v>
      </c>
      <c r="E27" s="155">
        <f>16000+33351+95937+5725+1000+13892</f>
        <v>165905</v>
      </c>
    </row>
    <row r="28" spans="1:5" ht="33.75">
      <c r="A28" s="145"/>
      <c r="B28" s="146"/>
      <c r="C28" s="145">
        <v>2360</v>
      </c>
      <c r="D28" s="147" t="s">
        <v>83</v>
      </c>
      <c r="E28" s="155">
        <v>95000</v>
      </c>
    </row>
    <row r="29" spans="1:5" s="141" customFormat="1" ht="12.75">
      <c r="A29" s="137">
        <v>710</v>
      </c>
      <c r="B29" s="138"/>
      <c r="C29" s="137"/>
      <c r="D29" s="139" t="s">
        <v>650</v>
      </c>
      <c r="E29" s="156">
        <f>SUM(E30+E32+E34)</f>
        <v>352263</v>
      </c>
    </row>
    <row r="30" spans="1:5" s="144" customFormat="1" ht="12.75">
      <c r="A30" s="142"/>
      <c r="B30" s="109">
        <v>71013</v>
      </c>
      <c r="C30" s="142"/>
      <c r="D30" s="107" t="s">
        <v>95</v>
      </c>
      <c r="E30" s="157">
        <f>E31</f>
        <v>35000</v>
      </c>
    </row>
    <row r="31" spans="1:5" ht="33.75">
      <c r="A31" s="145"/>
      <c r="B31" s="146"/>
      <c r="C31" s="145">
        <v>2110</v>
      </c>
      <c r="D31" s="147" t="s">
        <v>80</v>
      </c>
      <c r="E31" s="155">
        <f>25000+10000</f>
        <v>35000</v>
      </c>
    </row>
    <row r="32" spans="1:5" s="144" customFormat="1" ht="12" customHeight="1">
      <c r="A32" s="142"/>
      <c r="B32" s="109">
        <v>71014</v>
      </c>
      <c r="C32" s="142"/>
      <c r="D32" s="107" t="s">
        <v>96</v>
      </c>
      <c r="E32" s="157">
        <f>E33</f>
        <v>18628</v>
      </c>
    </row>
    <row r="33" spans="1:5" ht="33.75">
      <c r="A33" s="145"/>
      <c r="B33" s="146"/>
      <c r="C33" s="145">
        <v>2110</v>
      </c>
      <c r="D33" s="147" t="s">
        <v>80</v>
      </c>
      <c r="E33" s="155">
        <f>3500+15128</f>
        <v>18628</v>
      </c>
    </row>
    <row r="34" spans="1:5" s="144" customFormat="1" ht="12.75">
      <c r="A34" s="142"/>
      <c r="B34" s="109">
        <v>71015</v>
      </c>
      <c r="C34" s="142"/>
      <c r="D34" s="107" t="s">
        <v>653</v>
      </c>
      <c r="E34" s="157">
        <f>E35</f>
        <v>298635</v>
      </c>
    </row>
    <row r="35" spans="1:5" ht="33.75">
      <c r="A35" s="142"/>
      <c r="B35" s="109"/>
      <c r="C35" s="145">
        <v>2110</v>
      </c>
      <c r="D35" s="147" t="s">
        <v>80</v>
      </c>
      <c r="E35" s="155">
        <f>275000+18635+5000</f>
        <v>298635</v>
      </c>
    </row>
    <row r="36" spans="1:5" s="141" customFormat="1" ht="12.75">
      <c r="A36" s="137">
        <v>750</v>
      </c>
      <c r="B36" s="138"/>
      <c r="C36" s="137"/>
      <c r="D36" s="139" t="s">
        <v>97</v>
      </c>
      <c r="E36" s="156">
        <f>SUM(E37+E39+E46)</f>
        <v>2594496</v>
      </c>
    </row>
    <row r="37" spans="1:5" s="144" customFormat="1" ht="12.75">
      <c r="A37" s="142"/>
      <c r="B37" s="109">
        <v>75011</v>
      </c>
      <c r="C37" s="142"/>
      <c r="D37" s="107" t="s">
        <v>99</v>
      </c>
      <c r="E37" s="157">
        <f>E38</f>
        <v>225200</v>
      </c>
    </row>
    <row r="38" spans="1:5" ht="33.75">
      <c r="A38" s="145"/>
      <c r="B38" s="146"/>
      <c r="C38" s="145">
        <v>2110</v>
      </c>
      <c r="D38" s="147" t="s">
        <v>80</v>
      </c>
      <c r="E38" s="155">
        <v>225200</v>
      </c>
    </row>
    <row r="39" spans="1:5" s="144" customFormat="1" ht="12.75">
      <c r="A39" s="142"/>
      <c r="B39" s="109">
        <v>75020</v>
      </c>
      <c r="C39" s="142"/>
      <c r="D39" s="107" t="s">
        <v>55</v>
      </c>
      <c r="E39" s="157">
        <f>SUM(E40:E45)</f>
        <v>2321596</v>
      </c>
    </row>
    <row r="40" spans="1:5" ht="12.75">
      <c r="A40" s="145"/>
      <c r="B40" s="146"/>
      <c r="C40" s="145" t="s">
        <v>100</v>
      </c>
      <c r="D40" s="147" t="s">
        <v>101</v>
      </c>
      <c r="E40" s="155">
        <f>1447000+277000+105000</f>
        <v>1829000</v>
      </c>
    </row>
    <row r="41" spans="1:5" ht="12.75">
      <c r="A41" s="145"/>
      <c r="B41" s="146"/>
      <c r="C41" s="145" t="s">
        <v>102</v>
      </c>
      <c r="D41" s="147" t="s">
        <v>103</v>
      </c>
      <c r="E41" s="155">
        <v>46500</v>
      </c>
    </row>
    <row r="42" spans="1:5" ht="45">
      <c r="A42" s="145"/>
      <c r="B42" s="146"/>
      <c r="C42" s="145" t="s">
        <v>93</v>
      </c>
      <c r="D42" s="147" t="s">
        <v>94</v>
      </c>
      <c r="E42" s="155">
        <f>357000+74000</f>
        <v>431000</v>
      </c>
    </row>
    <row r="43" spans="1:5" ht="12.75">
      <c r="A43" s="145"/>
      <c r="B43" s="146"/>
      <c r="C43" s="145" t="s">
        <v>104</v>
      </c>
      <c r="D43" s="147" t="s">
        <v>105</v>
      </c>
      <c r="E43" s="155">
        <f>3000+596</f>
        <v>3596</v>
      </c>
    </row>
    <row r="44" spans="1:5" ht="12.75">
      <c r="A44" s="145"/>
      <c r="B44" s="146"/>
      <c r="C44" s="145" t="s">
        <v>106</v>
      </c>
      <c r="D44" s="147" t="s">
        <v>107</v>
      </c>
      <c r="E44" s="155">
        <v>3500</v>
      </c>
    </row>
    <row r="45" spans="1:5" ht="12.75">
      <c r="A45" s="145"/>
      <c r="B45" s="146"/>
      <c r="C45" s="149" t="s">
        <v>108</v>
      </c>
      <c r="D45" s="147" t="s">
        <v>109</v>
      </c>
      <c r="E45" s="155">
        <v>8000</v>
      </c>
    </row>
    <row r="46" spans="1:5" s="144" customFormat="1" ht="12.75">
      <c r="A46" s="142"/>
      <c r="B46" s="109">
        <v>75045</v>
      </c>
      <c r="C46" s="142"/>
      <c r="D46" s="107" t="s">
        <v>672</v>
      </c>
      <c r="E46" s="157">
        <f>SUM(E47:E48)</f>
        <v>47700</v>
      </c>
    </row>
    <row r="47" spans="1:5" ht="33.75">
      <c r="A47" s="145"/>
      <c r="B47" s="146"/>
      <c r="C47" s="145">
        <v>2110</v>
      </c>
      <c r="D47" s="147" t="s">
        <v>80</v>
      </c>
      <c r="E47" s="155">
        <v>35000</v>
      </c>
    </row>
    <row r="48" spans="1:5" ht="33.75">
      <c r="A48" s="158"/>
      <c r="B48" s="159"/>
      <c r="C48" s="158">
        <v>2120</v>
      </c>
      <c r="D48" s="160" t="s">
        <v>111</v>
      </c>
      <c r="E48" s="161">
        <f>24000-11300</f>
        <v>12700</v>
      </c>
    </row>
    <row r="49" spans="1:5" s="162" customFormat="1" ht="22.5">
      <c r="A49" s="137">
        <v>756</v>
      </c>
      <c r="B49" s="138"/>
      <c r="C49" s="137"/>
      <c r="D49" s="139" t="s">
        <v>112</v>
      </c>
      <c r="E49" s="156">
        <f>E50</f>
        <v>7355767</v>
      </c>
    </row>
    <row r="50" spans="1:5" s="144" customFormat="1" ht="12.75">
      <c r="A50" s="142"/>
      <c r="B50" s="109">
        <v>75622</v>
      </c>
      <c r="C50" s="142"/>
      <c r="D50" s="107" t="s">
        <v>113</v>
      </c>
      <c r="E50" s="157">
        <f>SUM(E51:E53)</f>
        <v>7355767</v>
      </c>
    </row>
    <row r="51" spans="1:5" ht="12.75">
      <c r="A51" s="142"/>
      <c r="B51" s="109"/>
      <c r="C51" s="142"/>
      <c r="D51" s="107" t="s">
        <v>114</v>
      </c>
      <c r="E51" s="155"/>
    </row>
    <row r="52" spans="1:5" ht="12.75">
      <c r="A52" s="145"/>
      <c r="B52" s="146"/>
      <c r="C52" s="145" t="s">
        <v>115</v>
      </c>
      <c r="D52" s="147" t="s">
        <v>116</v>
      </c>
      <c r="E52" s="155">
        <f>6300000+600000+315767</f>
        <v>7215767</v>
      </c>
    </row>
    <row r="53" spans="1:5" ht="12.75">
      <c r="A53" s="145"/>
      <c r="B53" s="146"/>
      <c r="C53" s="145" t="s">
        <v>117</v>
      </c>
      <c r="D53" s="147" t="s">
        <v>118</v>
      </c>
      <c r="E53" s="155">
        <v>140000</v>
      </c>
    </row>
    <row r="54" spans="1:5" s="141" customFormat="1" ht="12.75">
      <c r="A54" s="137">
        <v>758</v>
      </c>
      <c r="B54" s="138"/>
      <c r="C54" s="137"/>
      <c r="D54" s="139" t="s">
        <v>682</v>
      </c>
      <c r="E54" s="156">
        <f>SUM(E55+E60+E62+E64+E57)</f>
        <v>19482561</v>
      </c>
    </row>
    <row r="55" spans="1:5" s="144" customFormat="1" ht="22.5">
      <c r="A55" s="142"/>
      <c r="B55" s="109">
        <v>75801</v>
      </c>
      <c r="C55" s="142"/>
      <c r="D55" s="107" t="s">
        <v>119</v>
      </c>
      <c r="E55" s="157">
        <f>E56</f>
        <v>13252827</v>
      </c>
    </row>
    <row r="56" spans="1:5" ht="12.75">
      <c r="A56" s="145"/>
      <c r="B56" s="146"/>
      <c r="C56" s="145">
        <v>2920</v>
      </c>
      <c r="D56" s="147" t="s">
        <v>120</v>
      </c>
      <c r="E56" s="155">
        <f>13154935+15000+78112+4780</f>
        <v>13252827</v>
      </c>
    </row>
    <row r="57" spans="1:5" ht="12.75">
      <c r="A57" s="142"/>
      <c r="B57" s="109">
        <v>75802</v>
      </c>
      <c r="C57" s="142"/>
      <c r="D57" s="107" t="s">
        <v>289</v>
      </c>
      <c r="E57" s="342">
        <f>SUM(E58:E59)</f>
        <v>636212</v>
      </c>
    </row>
    <row r="58" spans="1:5" ht="12.75">
      <c r="A58" s="142"/>
      <c r="B58" s="109"/>
      <c r="C58" s="145">
        <v>2760</v>
      </c>
      <c r="D58" s="147" t="s">
        <v>302</v>
      </c>
      <c r="E58" s="364">
        <v>186212</v>
      </c>
    </row>
    <row r="59" spans="1:5" ht="12.75">
      <c r="A59" s="145"/>
      <c r="B59" s="146"/>
      <c r="C59" s="145">
        <v>2780</v>
      </c>
      <c r="D59" s="147" t="s">
        <v>290</v>
      </c>
      <c r="E59" s="155">
        <v>450000</v>
      </c>
    </row>
    <row r="60" spans="1:5" s="144" customFormat="1" ht="12.75">
      <c r="A60" s="142"/>
      <c r="B60" s="109">
        <v>75803</v>
      </c>
      <c r="C60" s="142"/>
      <c r="D60" s="107" t="s">
        <v>121</v>
      </c>
      <c r="E60" s="157">
        <f>E61</f>
        <v>5341760</v>
      </c>
    </row>
    <row r="61" spans="1:5" ht="12.75">
      <c r="A61" s="145"/>
      <c r="B61" s="146"/>
      <c r="C61" s="145">
        <v>2920</v>
      </c>
      <c r="D61" s="147" t="s">
        <v>120</v>
      </c>
      <c r="E61" s="155">
        <v>5341760</v>
      </c>
    </row>
    <row r="62" spans="1:5" s="144" customFormat="1" ht="12.75">
      <c r="A62" s="142"/>
      <c r="B62" s="109">
        <v>75832</v>
      </c>
      <c r="C62" s="142"/>
      <c r="D62" s="107" t="s">
        <v>123</v>
      </c>
      <c r="E62" s="157">
        <f>E63</f>
        <v>101762</v>
      </c>
    </row>
    <row r="63" spans="1:5" ht="12.75">
      <c r="A63" s="145"/>
      <c r="B63" s="146"/>
      <c r="C63" s="145">
        <v>2920</v>
      </c>
      <c r="D63" s="147" t="s">
        <v>120</v>
      </c>
      <c r="E63" s="155">
        <v>101762</v>
      </c>
    </row>
    <row r="64" spans="1:5" s="144" customFormat="1" ht="12.75">
      <c r="A64" s="142"/>
      <c r="B64" s="109">
        <v>75814</v>
      </c>
      <c r="C64" s="142"/>
      <c r="D64" s="107" t="s">
        <v>124</v>
      </c>
      <c r="E64" s="157">
        <f>SUM(E65:E68)</f>
        <v>150000</v>
      </c>
    </row>
    <row r="65" spans="1:5" s="144" customFormat="1" ht="22.5">
      <c r="A65" s="346"/>
      <c r="B65" s="347"/>
      <c r="C65" s="346" t="s">
        <v>291</v>
      </c>
      <c r="D65" s="348" t="s">
        <v>292</v>
      </c>
      <c r="E65" s="338">
        <f>60000+20000</f>
        <v>80000</v>
      </c>
    </row>
    <row r="66" spans="1:5" s="144" customFormat="1" ht="22.5">
      <c r="A66" s="346"/>
      <c r="B66" s="347"/>
      <c r="C66" s="360" t="s">
        <v>342</v>
      </c>
      <c r="D66" s="348" t="s">
        <v>634</v>
      </c>
      <c r="E66" s="338">
        <v>30000</v>
      </c>
    </row>
    <row r="67" spans="1:5" s="144" customFormat="1" ht="22.5">
      <c r="A67" s="346"/>
      <c r="B67" s="347"/>
      <c r="C67" s="346" t="s">
        <v>102</v>
      </c>
      <c r="D67" s="348" t="s">
        <v>634</v>
      </c>
      <c r="E67" s="338">
        <f>30000-30000</f>
        <v>0</v>
      </c>
    </row>
    <row r="68" spans="1:5" ht="12.75">
      <c r="A68" s="145"/>
      <c r="B68" s="146"/>
      <c r="C68" s="145" t="s">
        <v>106</v>
      </c>
      <c r="D68" s="147" t="s">
        <v>125</v>
      </c>
      <c r="E68" s="155">
        <v>40000</v>
      </c>
    </row>
    <row r="69" spans="1:5" s="141" customFormat="1" ht="12.75">
      <c r="A69" s="137">
        <v>801</v>
      </c>
      <c r="B69" s="138"/>
      <c r="C69" s="137"/>
      <c r="D69" s="139" t="s">
        <v>685</v>
      </c>
      <c r="E69" s="156">
        <f>SUM(E70+E74+E79+E82)</f>
        <v>305495</v>
      </c>
    </row>
    <row r="70" spans="1:5" s="144" customFormat="1" ht="12.75">
      <c r="A70" s="142"/>
      <c r="B70" s="109">
        <v>80120</v>
      </c>
      <c r="C70" s="142"/>
      <c r="D70" s="107" t="s">
        <v>693</v>
      </c>
      <c r="E70" s="157">
        <f>SUM(E71:E73)</f>
        <v>11920</v>
      </c>
    </row>
    <row r="71" spans="1:5" ht="45">
      <c r="A71" s="145"/>
      <c r="B71" s="146"/>
      <c r="C71" s="149" t="s">
        <v>93</v>
      </c>
      <c r="D71" s="147" t="s">
        <v>94</v>
      </c>
      <c r="E71" s="155">
        <f>11000-1900</f>
        <v>9100</v>
      </c>
    </row>
    <row r="72" spans="1:5" ht="12.75">
      <c r="A72" s="145"/>
      <c r="B72" s="146"/>
      <c r="C72" s="149" t="s">
        <v>104</v>
      </c>
      <c r="D72" s="147" t="s">
        <v>126</v>
      </c>
      <c r="E72" s="155">
        <f>400-200</f>
        <v>200</v>
      </c>
    </row>
    <row r="73" spans="1:5" ht="12.75">
      <c r="A73" s="145"/>
      <c r="B73" s="146"/>
      <c r="C73" s="149" t="s">
        <v>106</v>
      </c>
      <c r="D73" s="147" t="s">
        <v>125</v>
      </c>
      <c r="E73" s="155">
        <f>3120-500</f>
        <v>2620</v>
      </c>
    </row>
    <row r="74" spans="1:5" s="144" customFormat="1" ht="12.75">
      <c r="A74" s="142"/>
      <c r="B74" s="109">
        <v>80130</v>
      </c>
      <c r="C74" s="142"/>
      <c r="D74" s="107" t="s">
        <v>127</v>
      </c>
      <c r="E74" s="157">
        <f>SUM(E75:E78)</f>
        <v>28400</v>
      </c>
    </row>
    <row r="75" spans="1:5" ht="12.75">
      <c r="A75" s="145"/>
      <c r="B75" s="146"/>
      <c r="C75" s="149" t="s">
        <v>104</v>
      </c>
      <c r="D75" s="147" t="s">
        <v>126</v>
      </c>
      <c r="E75" s="155">
        <v>15000</v>
      </c>
    </row>
    <row r="76" spans="1:5" ht="33.75">
      <c r="A76" s="145"/>
      <c r="B76" s="146"/>
      <c r="C76" s="149">
        <v>2120</v>
      </c>
      <c r="D76" s="147" t="s">
        <v>345</v>
      </c>
      <c r="E76" s="155"/>
    </row>
    <row r="77" spans="1:5" ht="45">
      <c r="A77" s="145"/>
      <c r="B77" s="146"/>
      <c r="C77" s="149" t="s">
        <v>93</v>
      </c>
      <c r="D77" s="147" t="s">
        <v>94</v>
      </c>
      <c r="E77" s="155">
        <v>8400</v>
      </c>
    </row>
    <row r="78" spans="1:5" ht="12.75">
      <c r="A78" s="145"/>
      <c r="B78" s="146"/>
      <c r="C78" s="149" t="s">
        <v>108</v>
      </c>
      <c r="D78" s="147" t="s">
        <v>109</v>
      </c>
      <c r="E78" s="155">
        <v>5000</v>
      </c>
    </row>
    <row r="79" spans="1:5" s="144" customFormat="1" ht="12.75">
      <c r="A79" s="142"/>
      <c r="B79" s="109">
        <v>80132</v>
      </c>
      <c r="C79" s="163"/>
      <c r="D79" s="107" t="s">
        <v>3</v>
      </c>
      <c r="E79" s="157">
        <f>SUM(E80:E81)</f>
        <v>32600</v>
      </c>
    </row>
    <row r="80" spans="1:5" ht="33.75">
      <c r="A80" s="145"/>
      <c r="B80" s="146"/>
      <c r="C80" s="145">
        <v>2120</v>
      </c>
      <c r="D80" s="147" t="s">
        <v>111</v>
      </c>
      <c r="E80" s="155">
        <v>0</v>
      </c>
    </row>
    <row r="81" spans="1:5" ht="33.75">
      <c r="A81" s="145"/>
      <c r="B81" s="146"/>
      <c r="C81" s="145">
        <v>2710</v>
      </c>
      <c r="D81" s="147" t="s">
        <v>128</v>
      </c>
      <c r="E81" s="155">
        <f>32000+600</f>
        <v>32600</v>
      </c>
    </row>
    <row r="82" spans="1:5" s="144" customFormat="1" ht="12.75">
      <c r="A82" s="142"/>
      <c r="B82" s="109">
        <v>80195</v>
      </c>
      <c r="C82" s="142"/>
      <c r="D82" s="109" t="s">
        <v>36</v>
      </c>
      <c r="E82" s="157">
        <f>SUM(E83:E84)</f>
        <v>232575</v>
      </c>
    </row>
    <row r="83" spans="1:5" ht="33.75">
      <c r="A83" s="145"/>
      <c r="B83" s="146"/>
      <c r="C83" s="145">
        <v>2120</v>
      </c>
      <c r="D83" s="147" t="s">
        <v>111</v>
      </c>
      <c r="E83" s="155">
        <f>2050+200000</f>
        <v>202050</v>
      </c>
    </row>
    <row r="84" spans="1:5" s="144" customFormat="1" ht="22.5">
      <c r="A84" s="142"/>
      <c r="B84" s="109"/>
      <c r="C84" s="346">
        <v>2130</v>
      </c>
      <c r="D84" s="147" t="s">
        <v>134</v>
      </c>
      <c r="E84" s="338">
        <f>11525+18400+600</f>
        <v>30525</v>
      </c>
    </row>
    <row r="85" spans="1:5" s="141" customFormat="1" ht="12.75">
      <c r="A85" s="121">
        <v>803</v>
      </c>
      <c r="B85" s="121"/>
      <c r="C85" s="150"/>
      <c r="D85" s="151" t="s">
        <v>10</v>
      </c>
      <c r="E85" s="156">
        <f>E86</f>
        <v>45197</v>
      </c>
    </row>
    <row r="86" spans="1:5" s="144" customFormat="1" ht="12.75">
      <c r="A86" s="152"/>
      <c r="B86" s="152">
        <v>80309</v>
      </c>
      <c r="C86" s="153"/>
      <c r="D86" s="154" t="s">
        <v>11</v>
      </c>
      <c r="E86" s="157">
        <f>SUM(E87:E88)</f>
        <v>45197</v>
      </c>
    </row>
    <row r="87" spans="1:5" ht="33.75">
      <c r="A87" s="121"/>
      <c r="B87" s="121"/>
      <c r="C87" s="164">
        <v>2328</v>
      </c>
      <c r="D87" s="165" t="s">
        <v>129</v>
      </c>
      <c r="E87" s="155">
        <v>33898</v>
      </c>
    </row>
    <row r="88" spans="1:5" ht="33.75">
      <c r="A88" s="121"/>
      <c r="B88" s="121"/>
      <c r="C88" s="164">
        <v>2329</v>
      </c>
      <c r="D88" s="165" t="s">
        <v>129</v>
      </c>
      <c r="E88" s="155">
        <v>11299</v>
      </c>
    </row>
    <row r="89" spans="1:5" s="141" customFormat="1" ht="12.75">
      <c r="A89" s="137">
        <v>851</v>
      </c>
      <c r="B89" s="138"/>
      <c r="C89" s="137"/>
      <c r="D89" s="139" t="s">
        <v>14</v>
      </c>
      <c r="E89" s="156">
        <f>SUM(E90)</f>
        <v>1103780</v>
      </c>
    </row>
    <row r="90" spans="1:5" s="144" customFormat="1" ht="22.5">
      <c r="A90" s="142"/>
      <c r="B90" s="109">
        <v>85156</v>
      </c>
      <c r="C90" s="142"/>
      <c r="D90" s="107" t="s">
        <v>130</v>
      </c>
      <c r="E90" s="157">
        <f>E91</f>
        <v>1103780</v>
      </c>
    </row>
    <row r="91" spans="1:5" ht="33.75">
      <c r="A91" s="145"/>
      <c r="B91" s="146"/>
      <c r="C91" s="145">
        <v>2110</v>
      </c>
      <c r="D91" s="147" t="s">
        <v>80</v>
      </c>
      <c r="E91" s="155">
        <f>1083000+67160-46380</f>
        <v>1103780</v>
      </c>
    </row>
    <row r="92" spans="1:5" s="141" customFormat="1" ht="12.75">
      <c r="A92" s="137">
        <v>852</v>
      </c>
      <c r="B92" s="138"/>
      <c r="C92" s="137"/>
      <c r="D92" s="139" t="s">
        <v>131</v>
      </c>
      <c r="E92" s="156">
        <f>SUM(E93+E99+E107+E110+E113+E117)</f>
        <v>10387534</v>
      </c>
    </row>
    <row r="93" spans="1:5" s="144" customFormat="1" ht="12.75">
      <c r="A93" s="142"/>
      <c r="B93" s="109">
        <v>85201</v>
      </c>
      <c r="C93" s="142"/>
      <c r="D93" s="107" t="s">
        <v>132</v>
      </c>
      <c r="E93" s="157">
        <f>SUM(E94:E98)</f>
        <v>250580</v>
      </c>
    </row>
    <row r="94" spans="1:5" s="144" customFormat="1" ht="33.75">
      <c r="A94" s="142"/>
      <c r="B94" s="109"/>
      <c r="C94" s="361" t="s">
        <v>343</v>
      </c>
      <c r="D94" s="348" t="s">
        <v>111</v>
      </c>
      <c r="E94" s="338">
        <f>1500+600</f>
        <v>2100</v>
      </c>
    </row>
    <row r="95" spans="1:5" s="144" customFormat="1" ht="22.5">
      <c r="A95" s="142"/>
      <c r="B95" s="109"/>
      <c r="C95" s="346">
        <v>2130</v>
      </c>
      <c r="D95" s="147" t="s">
        <v>134</v>
      </c>
      <c r="E95" s="338">
        <f>1500+45600</f>
        <v>47100</v>
      </c>
    </row>
    <row r="96" spans="1:5" ht="33.75">
      <c r="A96" s="145"/>
      <c r="B96" s="146"/>
      <c r="C96" s="149">
        <v>2320</v>
      </c>
      <c r="D96" s="165" t="s">
        <v>129</v>
      </c>
      <c r="E96" s="155">
        <f>127600+63780</f>
        <v>191380</v>
      </c>
    </row>
    <row r="97" spans="1:5" ht="33.75">
      <c r="A97" s="145"/>
      <c r="B97" s="146"/>
      <c r="C97" s="149">
        <v>6420</v>
      </c>
      <c r="D97" s="165" t="s">
        <v>344</v>
      </c>
      <c r="E97" s="155">
        <v>1500</v>
      </c>
    </row>
    <row r="98" spans="1:5" ht="22.5">
      <c r="A98" s="145"/>
      <c r="B98" s="146"/>
      <c r="C98" s="149">
        <v>6430</v>
      </c>
      <c r="D98" s="147" t="s">
        <v>520</v>
      </c>
      <c r="E98" s="155">
        <v>8500</v>
      </c>
    </row>
    <row r="99" spans="1:5" s="144" customFormat="1" ht="12.75">
      <c r="A99" s="142"/>
      <c r="B99" s="109">
        <v>85202</v>
      </c>
      <c r="C99" s="142"/>
      <c r="D99" s="107" t="s">
        <v>133</v>
      </c>
      <c r="E99" s="157">
        <f>SUM(E100:E106)</f>
        <v>9221853</v>
      </c>
    </row>
    <row r="100" spans="1:5" ht="45">
      <c r="A100" s="145"/>
      <c r="B100" s="146"/>
      <c r="C100" s="145" t="s">
        <v>93</v>
      </c>
      <c r="D100" s="147" t="s">
        <v>94</v>
      </c>
      <c r="E100" s="155">
        <f>63900+2200</f>
        <v>66100</v>
      </c>
    </row>
    <row r="101" spans="1:5" ht="12.75">
      <c r="A101" s="145"/>
      <c r="B101" s="146"/>
      <c r="C101" s="149" t="s">
        <v>104</v>
      </c>
      <c r="D101" s="147" t="s">
        <v>126</v>
      </c>
      <c r="E101" s="155">
        <f>3170000+955000-636731</f>
        <v>3488269</v>
      </c>
    </row>
    <row r="102" spans="1:5" ht="22.5">
      <c r="A102" s="145"/>
      <c r="B102" s="146"/>
      <c r="C102" s="145">
        <v>2130</v>
      </c>
      <c r="D102" s="147" t="s">
        <v>134</v>
      </c>
      <c r="E102" s="155">
        <f>4450000+168031+636731-5989</f>
        <v>5248773</v>
      </c>
    </row>
    <row r="103" spans="1:5" ht="12.75">
      <c r="A103" s="145"/>
      <c r="B103" s="146"/>
      <c r="C103" s="149" t="s">
        <v>106</v>
      </c>
      <c r="D103" s="147" t="s">
        <v>125</v>
      </c>
      <c r="E103" s="155">
        <v>6800</v>
      </c>
    </row>
    <row r="104" spans="1:5" ht="12.75">
      <c r="A104" s="145"/>
      <c r="B104" s="146"/>
      <c r="C104" s="149" t="s">
        <v>108</v>
      </c>
      <c r="D104" s="147" t="s">
        <v>109</v>
      </c>
      <c r="E104" s="155">
        <v>17000</v>
      </c>
    </row>
    <row r="105" spans="1:5" ht="33.75">
      <c r="A105" s="145"/>
      <c r="B105" s="146"/>
      <c r="C105" s="149">
        <v>6260</v>
      </c>
      <c r="D105" s="147" t="s">
        <v>293</v>
      </c>
      <c r="E105" s="155">
        <f>300000+13590</f>
        <v>313590</v>
      </c>
    </row>
    <row r="106" spans="1:5" ht="22.5">
      <c r="A106" s="145"/>
      <c r="B106" s="146"/>
      <c r="C106" s="149">
        <v>6430</v>
      </c>
      <c r="D106" s="147" t="s">
        <v>520</v>
      </c>
      <c r="E106" s="155">
        <f>27950+53371</f>
        <v>81321</v>
      </c>
    </row>
    <row r="107" spans="1:5" s="144" customFormat="1" ht="13.5" customHeight="1">
      <c r="A107" s="142"/>
      <c r="B107" s="109">
        <v>85203</v>
      </c>
      <c r="C107" s="142"/>
      <c r="D107" s="110" t="s">
        <v>30</v>
      </c>
      <c r="E107" s="157">
        <f>SUM(E108:E109)</f>
        <v>718854</v>
      </c>
    </row>
    <row r="108" spans="1:5" ht="33.75">
      <c r="A108" s="145"/>
      <c r="B108" s="146"/>
      <c r="C108" s="145">
        <v>2110</v>
      </c>
      <c r="D108" s="147" t="s">
        <v>80</v>
      </c>
      <c r="E108" s="155">
        <f>655200+26454+12700+12500</f>
        <v>706854</v>
      </c>
    </row>
    <row r="109" spans="1:5" ht="38.25">
      <c r="A109" s="145"/>
      <c r="B109" s="146"/>
      <c r="C109" s="145">
        <v>6410</v>
      </c>
      <c r="D109" s="272" t="s">
        <v>519</v>
      </c>
      <c r="E109" s="155">
        <v>12000</v>
      </c>
    </row>
    <row r="110" spans="1:5" s="144" customFormat="1" ht="12.75">
      <c r="A110" s="142"/>
      <c r="B110" s="109">
        <v>85204</v>
      </c>
      <c r="C110" s="142"/>
      <c r="D110" s="107" t="s">
        <v>31</v>
      </c>
      <c r="E110" s="157">
        <f>SUM(E111:E112)</f>
        <v>179247</v>
      </c>
    </row>
    <row r="111" spans="1:5" ht="12.75">
      <c r="A111" s="145"/>
      <c r="B111" s="146"/>
      <c r="C111" s="149" t="s">
        <v>89</v>
      </c>
      <c r="D111" s="147" t="s">
        <v>135</v>
      </c>
      <c r="E111" s="155">
        <v>2200</v>
      </c>
    </row>
    <row r="112" spans="1:5" ht="33.75">
      <c r="A112" s="145"/>
      <c r="B112" s="146"/>
      <c r="C112" s="149">
        <v>2320</v>
      </c>
      <c r="D112" s="165" t="s">
        <v>129</v>
      </c>
      <c r="E112" s="155">
        <f>116600+27447+33000</f>
        <v>177047</v>
      </c>
    </row>
    <row r="113" spans="1:5" s="144" customFormat="1" ht="12.75">
      <c r="A113" s="142"/>
      <c r="B113" s="109">
        <v>85218</v>
      </c>
      <c r="C113" s="142"/>
      <c r="D113" s="107" t="s">
        <v>136</v>
      </c>
      <c r="E113" s="157">
        <f>SUM(E114:E116)</f>
        <v>7400</v>
      </c>
    </row>
    <row r="114" spans="1:5" ht="22.5">
      <c r="A114" s="145"/>
      <c r="B114" s="146"/>
      <c r="C114" s="145">
        <v>2130</v>
      </c>
      <c r="D114" s="147" t="s">
        <v>134</v>
      </c>
      <c r="E114" s="155">
        <f>2996+3004</f>
        <v>6000</v>
      </c>
    </row>
    <row r="115" spans="1:5" ht="12.75">
      <c r="A115" s="145"/>
      <c r="B115" s="146"/>
      <c r="C115" s="149" t="s">
        <v>104</v>
      </c>
      <c r="D115" s="147" t="s">
        <v>126</v>
      </c>
      <c r="E115" s="155">
        <v>700</v>
      </c>
    </row>
    <row r="116" spans="1:5" ht="12.75">
      <c r="A116" s="145"/>
      <c r="B116" s="146"/>
      <c r="C116" s="149" t="s">
        <v>106</v>
      </c>
      <c r="D116" s="147" t="s">
        <v>125</v>
      </c>
      <c r="E116" s="155">
        <v>700</v>
      </c>
    </row>
    <row r="117" spans="1:5" ht="22.5">
      <c r="A117" s="145"/>
      <c r="B117" s="340">
        <v>85220</v>
      </c>
      <c r="C117" s="149"/>
      <c r="D117" s="341" t="s">
        <v>33</v>
      </c>
      <c r="E117" s="342">
        <f>SUM(E118:E118)</f>
        <v>9600</v>
      </c>
    </row>
    <row r="118" spans="1:5" ht="33.75">
      <c r="A118" s="145"/>
      <c r="B118" s="340"/>
      <c r="C118" s="149">
        <v>2120</v>
      </c>
      <c r="D118" s="348" t="s">
        <v>345</v>
      </c>
      <c r="E118" s="155">
        <f>5000+4600</f>
        <v>9600</v>
      </c>
    </row>
    <row r="119" spans="1:5" s="141" customFormat="1" ht="12.75">
      <c r="A119" s="137">
        <v>853</v>
      </c>
      <c r="B119" s="138"/>
      <c r="C119" s="166"/>
      <c r="D119" s="139" t="s">
        <v>137</v>
      </c>
      <c r="E119" s="156">
        <f>SUM(E120+E122+E127)</f>
        <v>1354158</v>
      </c>
    </row>
    <row r="120" spans="1:5" s="144" customFormat="1" ht="12.75">
      <c r="A120" s="142"/>
      <c r="B120" s="109">
        <v>85321</v>
      </c>
      <c r="C120" s="142"/>
      <c r="D120" s="107" t="s">
        <v>635</v>
      </c>
      <c r="E120" s="157">
        <f>E121</f>
        <v>83000</v>
      </c>
    </row>
    <row r="121" spans="1:5" ht="33.75">
      <c r="A121" s="145"/>
      <c r="B121" s="146"/>
      <c r="C121" s="145">
        <v>2110</v>
      </c>
      <c r="D121" s="147" t="s">
        <v>80</v>
      </c>
      <c r="E121" s="155">
        <f>79000+4000</f>
        <v>83000</v>
      </c>
    </row>
    <row r="122" spans="1:5" s="144" customFormat="1" ht="16.5" customHeight="1">
      <c r="A122" s="142"/>
      <c r="B122" s="109">
        <v>83333</v>
      </c>
      <c r="C122" s="142"/>
      <c r="D122" s="107" t="s">
        <v>138</v>
      </c>
      <c r="E122" s="157">
        <f>SUM(E123:E126)</f>
        <v>365691</v>
      </c>
    </row>
    <row r="123" spans="1:5" ht="45">
      <c r="A123" s="145"/>
      <c r="B123" s="146"/>
      <c r="C123" s="145" t="s">
        <v>93</v>
      </c>
      <c r="D123" s="147" t="s">
        <v>94</v>
      </c>
      <c r="E123" s="155">
        <v>11000</v>
      </c>
    </row>
    <row r="124" spans="1:5" ht="12.75">
      <c r="A124" s="145"/>
      <c r="B124" s="146"/>
      <c r="C124" s="145" t="s">
        <v>104</v>
      </c>
      <c r="D124" s="147" t="s">
        <v>126</v>
      </c>
      <c r="E124" s="155">
        <v>1500</v>
      </c>
    </row>
    <row r="125" spans="1:5" ht="12.75">
      <c r="A125" s="145"/>
      <c r="B125" s="146"/>
      <c r="C125" s="149" t="s">
        <v>106</v>
      </c>
      <c r="D125" s="147" t="s">
        <v>125</v>
      </c>
      <c r="E125" s="155">
        <v>1000</v>
      </c>
    </row>
    <row r="126" spans="1:5" ht="33.75">
      <c r="A126" s="145"/>
      <c r="B126" s="146"/>
      <c r="C126" s="149">
        <v>2690</v>
      </c>
      <c r="D126" s="147" t="s">
        <v>316</v>
      </c>
      <c r="E126" s="155">
        <v>352191</v>
      </c>
    </row>
    <row r="127" spans="1:5" s="144" customFormat="1" ht="12.75">
      <c r="A127" s="108"/>
      <c r="B127" s="107">
        <v>85395</v>
      </c>
      <c r="C127" s="108"/>
      <c r="D127" s="109" t="s">
        <v>36</v>
      </c>
      <c r="E127" s="157">
        <f>E128</f>
        <v>905467</v>
      </c>
    </row>
    <row r="128" spans="1:5" ht="33.75">
      <c r="A128" s="145"/>
      <c r="B128" s="146"/>
      <c r="C128" s="145">
        <v>2128</v>
      </c>
      <c r="D128" s="147" t="s">
        <v>111</v>
      </c>
      <c r="E128" s="155">
        <v>905467</v>
      </c>
    </row>
    <row r="129" spans="1:5" s="141" customFormat="1" ht="12.75">
      <c r="A129" s="137">
        <v>854</v>
      </c>
      <c r="B129" s="138"/>
      <c r="C129" s="137"/>
      <c r="D129" s="139" t="s">
        <v>45</v>
      </c>
      <c r="E129" s="156">
        <f>SUM(E130+E132+E137+E135)</f>
        <v>5978772</v>
      </c>
    </row>
    <row r="130" spans="1:5" s="141" customFormat="1" ht="22.5">
      <c r="A130" s="137"/>
      <c r="B130" s="109">
        <v>85406</v>
      </c>
      <c r="C130" s="137"/>
      <c r="D130" s="107" t="s">
        <v>5</v>
      </c>
      <c r="E130" s="157">
        <f>SUM(E131:E131)</f>
        <v>5515</v>
      </c>
    </row>
    <row r="131" spans="1:5" s="141" customFormat="1" ht="22.5">
      <c r="A131" s="137"/>
      <c r="B131" s="138"/>
      <c r="C131" s="145">
        <v>2130</v>
      </c>
      <c r="D131" s="147" t="s">
        <v>6</v>
      </c>
      <c r="E131" s="364">
        <f>5155+360</f>
        <v>5515</v>
      </c>
    </row>
    <row r="132" spans="1:5" s="144" customFormat="1" ht="12.75">
      <c r="A132" s="142"/>
      <c r="B132" s="109">
        <v>85410</v>
      </c>
      <c r="C132" s="142"/>
      <c r="D132" s="107" t="s">
        <v>139</v>
      </c>
      <c r="E132" s="157">
        <f>SUM(E133:E134)</f>
        <v>9000</v>
      </c>
    </row>
    <row r="133" spans="1:5" ht="12.75">
      <c r="A133" s="145"/>
      <c r="B133" s="146"/>
      <c r="C133" s="145" t="s">
        <v>104</v>
      </c>
      <c r="D133" s="147" t="s">
        <v>126</v>
      </c>
      <c r="E133" s="155">
        <v>6000</v>
      </c>
    </row>
    <row r="134" spans="1:5" ht="45">
      <c r="A134" s="145"/>
      <c r="B134" s="146"/>
      <c r="C134" s="145" t="s">
        <v>93</v>
      </c>
      <c r="D134" s="147" t="s">
        <v>94</v>
      </c>
      <c r="E134" s="155">
        <v>3000</v>
      </c>
    </row>
    <row r="135" spans="1:5" ht="12.75">
      <c r="A135" s="145"/>
      <c r="B135" s="122">
        <v>85413</v>
      </c>
      <c r="C135" s="340"/>
      <c r="D135" s="341" t="s">
        <v>357</v>
      </c>
      <c r="E135" s="342">
        <f>SUM(E136)</f>
        <v>151200</v>
      </c>
    </row>
    <row r="136" spans="1:5" ht="38.25">
      <c r="A136" s="145"/>
      <c r="B136" s="145"/>
      <c r="C136" s="146">
        <v>2700</v>
      </c>
      <c r="D136" s="146" t="s">
        <v>358</v>
      </c>
      <c r="E136" s="155">
        <v>151200</v>
      </c>
    </row>
    <row r="137" spans="1:5" s="144" customFormat="1" ht="12.75">
      <c r="A137" s="142"/>
      <c r="B137" s="109">
        <v>85415</v>
      </c>
      <c r="C137" s="142"/>
      <c r="D137" s="107" t="s">
        <v>50</v>
      </c>
      <c r="E137" s="157">
        <f>SUM(E138:E141)</f>
        <v>5813057</v>
      </c>
    </row>
    <row r="138" spans="1:5" s="144" customFormat="1" ht="22.5">
      <c r="A138" s="142"/>
      <c r="B138" s="109"/>
      <c r="C138" s="145">
        <v>2130</v>
      </c>
      <c r="D138" s="147" t="s">
        <v>134</v>
      </c>
      <c r="E138" s="338">
        <f>16800+4800</f>
        <v>21600</v>
      </c>
    </row>
    <row r="139" spans="1:5" ht="22.5">
      <c r="A139" s="145"/>
      <c r="B139" s="146"/>
      <c r="C139" s="145">
        <v>2338</v>
      </c>
      <c r="D139" s="147" t="s">
        <v>140</v>
      </c>
      <c r="E139" s="155">
        <v>3934961</v>
      </c>
    </row>
    <row r="140" spans="1:5" ht="22.5">
      <c r="A140" s="145"/>
      <c r="B140" s="146"/>
      <c r="C140" s="145">
        <v>2339</v>
      </c>
      <c r="D140" s="147" t="s">
        <v>140</v>
      </c>
      <c r="E140" s="155">
        <v>1847496</v>
      </c>
    </row>
    <row r="141" spans="1:5" ht="22.5">
      <c r="A141" s="145"/>
      <c r="B141" s="146"/>
      <c r="C141" s="145">
        <v>2330</v>
      </c>
      <c r="D141" s="147" t="s">
        <v>140</v>
      </c>
      <c r="E141" s="155">
        <v>9000</v>
      </c>
    </row>
    <row r="142" spans="1:5" s="141" customFormat="1" ht="12.75">
      <c r="A142" s="137">
        <v>921</v>
      </c>
      <c r="B142" s="138"/>
      <c r="C142" s="137"/>
      <c r="D142" s="167" t="s">
        <v>141</v>
      </c>
      <c r="E142" s="156">
        <f>SUM(E143)</f>
        <v>0</v>
      </c>
    </row>
    <row r="143" spans="1:5" s="144" customFormat="1" ht="12.75">
      <c r="A143" s="142"/>
      <c r="B143" s="109">
        <v>92195</v>
      </c>
      <c r="C143" s="142"/>
      <c r="D143" s="109" t="s">
        <v>36</v>
      </c>
      <c r="E143" s="157">
        <f>SUM(E144)</f>
        <v>0</v>
      </c>
    </row>
    <row r="144" spans="1:5" ht="33.75">
      <c r="A144" s="145"/>
      <c r="B144" s="146"/>
      <c r="C144" s="145">
        <v>2120</v>
      </c>
      <c r="D144" s="147" t="s">
        <v>111</v>
      </c>
      <c r="E144" s="155">
        <f>2050-2050</f>
        <v>0</v>
      </c>
    </row>
    <row r="145" spans="1:5" ht="12.75">
      <c r="A145" s="145"/>
      <c r="B145" s="146"/>
      <c r="C145" s="145"/>
      <c r="D145" s="147"/>
      <c r="E145" s="155"/>
    </row>
    <row r="146" spans="1:5" ht="12.75">
      <c r="A146" s="137"/>
      <c r="B146" s="138"/>
      <c r="C146" s="137"/>
      <c r="D146" s="139" t="s">
        <v>142</v>
      </c>
      <c r="E146" s="157">
        <f>SUM(E8+E13+E16+E23+E29+E36+E49+E54+E69+E85+E89+E92+E119+E129+E142)</f>
        <v>49918418</v>
      </c>
    </row>
  </sheetData>
  <mergeCells count="6">
    <mergeCell ref="B1:E1"/>
    <mergeCell ref="A4:A5"/>
    <mergeCell ref="B4:B5"/>
    <mergeCell ref="C4:C5"/>
    <mergeCell ref="D4:D5"/>
    <mergeCell ref="E4:E5"/>
  </mergeCells>
  <printOptions horizontalCentered="1"/>
  <pageMargins left="0.5511811023622047" right="0.5511811023622047" top="1.6141732283464567" bottom="0.5905511811023623" header="0.5118110236220472" footer="0.5118110236220472"/>
  <pageSetup horizontalDpi="300" verticalDpi="300" orientation="portrait" paperSize="9" scale="90" r:id="rId1"/>
  <headerFooter alignWithMargins="0">
    <oddHeader>&amp;R&amp;9Załącznik nr 1
do uchwały Rady Powiatu
 nr X/60/07
z dnia 5.12.2007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1">
      <selection activeCell="H13" sqref="H13"/>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26" t="s">
        <v>446</v>
      </c>
      <c r="B1" s="426"/>
      <c r="C1" s="426"/>
      <c r="D1" s="426"/>
      <c r="E1" s="426"/>
      <c r="F1" s="426"/>
      <c r="G1" s="426"/>
      <c r="H1" s="426"/>
      <c r="I1" s="426"/>
      <c r="J1" s="426"/>
    </row>
    <row r="2" spans="1:10" ht="16.5">
      <c r="A2" s="426" t="s">
        <v>548</v>
      </c>
      <c r="B2" s="426"/>
      <c r="C2" s="426"/>
      <c r="D2" s="426"/>
      <c r="E2" s="426"/>
      <c r="F2" s="426"/>
      <c r="G2" s="426"/>
      <c r="H2" s="426"/>
      <c r="I2" s="426"/>
      <c r="J2" s="426"/>
    </row>
    <row r="3" spans="1:10" ht="6" customHeight="1">
      <c r="A3" s="6"/>
      <c r="B3" s="6"/>
      <c r="C3" s="6"/>
      <c r="D3" s="6"/>
      <c r="E3" s="6"/>
      <c r="F3" s="6"/>
      <c r="G3" s="6"/>
      <c r="H3" s="6"/>
      <c r="I3" s="6"/>
      <c r="J3" s="6"/>
    </row>
    <row r="4" spans="1:11" ht="12.75">
      <c r="A4" s="1"/>
      <c r="B4" s="1"/>
      <c r="C4" s="1"/>
      <c r="D4" s="1"/>
      <c r="E4" s="1"/>
      <c r="F4" s="1"/>
      <c r="G4" s="1"/>
      <c r="H4" s="1"/>
      <c r="I4" s="1"/>
      <c r="K4" s="9" t="s">
        <v>425</v>
      </c>
    </row>
    <row r="5" spans="1:11" ht="15" customHeight="1">
      <c r="A5" s="397" t="s">
        <v>447</v>
      </c>
      <c r="B5" s="397" t="s">
        <v>384</v>
      </c>
      <c r="C5" s="398" t="s">
        <v>552</v>
      </c>
      <c r="D5" s="427" t="s">
        <v>463</v>
      </c>
      <c r="E5" s="428"/>
      <c r="F5" s="428"/>
      <c r="G5" s="429"/>
      <c r="H5" s="398" t="s">
        <v>392</v>
      </c>
      <c r="I5" s="398"/>
      <c r="J5" s="398" t="s">
        <v>553</v>
      </c>
      <c r="K5" s="398" t="s">
        <v>558</v>
      </c>
    </row>
    <row r="6" spans="1:11" ht="15" customHeight="1">
      <c r="A6" s="397"/>
      <c r="B6" s="397"/>
      <c r="C6" s="398"/>
      <c r="D6" s="398" t="s">
        <v>391</v>
      </c>
      <c r="E6" s="432" t="s">
        <v>390</v>
      </c>
      <c r="F6" s="433"/>
      <c r="G6" s="434"/>
      <c r="H6" s="398" t="s">
        <v>391</v>
      </c>
      <c r="I6" s="398" t="s">
        <v>452</v>
      </c>
      <c r="J6" s="398"/>
      <c r="K6" s="398"/>
    </row>
    <row r="7" spans="1:11" ht="18" customHeight="1">
      <c r="A7" s="397"/>
      <c r="B7" s="397"/>
      <c r="C7" s="398"/>
      <c r="D7" s="398"/>
      <c r="E7" s="430" t="s">
        <v>554</v>
      </c>
      <c r="F7" s="432" t="s">
        <v>390</v>
      </c>
      <c r="G7" s="434"/>
      <c r="H7" s="398"/>
      <c r="I7" s="398"/>
      <c r="J7" s="398"/>
      <c r="K7" s="398"/>
    </row>
    <row r="8" spans="1:11" ht="42" customHeight="1">
      <c r="A8" s="397"/>
      <c r="B8" s="397"/>
      <c r="C8" s="398"/>
      <c r="D8" s="398"/>
      <c r="E8" s="431"/>
      <c r="F8" s="77" t="s">
        <v>551</v>
      </c>
      <c r="G8" s="77" t="s">
        <v>550</v>
      </c>
      <c r="H8" s="398"/>
      <c r="I8" s="398"/>
      <c r="J8" s="398"/>
      <c r="K8" s="398"/>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394</v>
      </c>
      <c r="B10" s="260" t="s">
        <v>398</v>
      </c>
      <c r="C10" s="261">
        <f>SUM(C12:C13)</f>
        <v>117545</v>
      </c>
      <c r="D10" s="261">
        <f aca="true" t="shared" si="0" ref="D10:J10">SUM(D12:D13)</f>
        <v>1206310</v>
      </c>
      <c r="E10" s="261">
        <f t="shared" si="0"/>
        <v>0</v>
      </c>
      <c r="F10" s="261">
        <f t="shared" si="0"/>
        <v>0</v>
      </c>
      <c r="G10" s="261">
        <f t="shared" si="0"/>
        <v>0</v>
      </c>
      <c r="H10" s="261">
        <f t="shared" si="0"/>
        <v>1206310</v>
      </c>
      <c r="I10" s="261">
        <f t="shared" si="0"/>
        <v>0</v>
      </c>
      <c r="J10" s="261">
        <f t="shared" si="0"/>
        <v>117545</v>
      </c>
      <c r="K10" s="262" t="s">
        <v>432</v>
      </c>
    </row>
    <row r="11" spans="1:11" ht="19.5" customHeight="1">
      <c r="A11" s="34"/>
      <c r="B11" s="35" t="s">
        <v>474</v>
      </c>
      <c r="C11" s="233"/>
      <c r="D11" s="233"/>
      <c r="E11" s="233"/>
      <c r="F11" s="234"/>
      <c r="G11" s="233"/>
      <c r="H11" s="233"/>
      <c r="I11" s="233"/>
      <c r="J11" s="233"/>
      <c r="K11" s="234"/>
    </row>
    <row r="12" spans="1:11" ht="38.25">
      <c r="A12" s="34"/>
      <c r="B12" s="256" t="s">
        <v>202</v>
      </c>
      <c r="C12" s="233">
        <v>0</v>
      </c>
      <c r="D12" s="233">
        <f>578798+17512</f>
        <v>596310</v>
      </c>
      <c r="E12" s="233"/>
      <c r="F12" s="234" t="s">
        <v>432</v>
      </c>
      <c r="G12" s="233"/>
      <c r="H12" s="233">
        <f>578798+17512</f>
        <v>596310</v>
      </c>
      <c r="I12" s="233">
        <v>0</v>
      </c>
      <c r="J12" s="233">
        <v>0</v>
      </c>
      <c r="K12" s="234" t="s">
        <v>432</v>
      </c>
    </row>
    <row r="13" spans="1:11" ht="38.25">
      <c r="A13" s="34"/>
      <c r="B13" s="257" t="s">
        <v>206</v>
      </c>
      <c r="C13" s="233">
        <v>117545</v>
      </c>
      <c r="D13" s="233">
        <f>509000+91000+10000</f>
        <v>610000</v>
      </c>
      <c r="E13" s="233"/>
      <c r="F13" s="234" t="s">
        <v>432</v>
      </c>
      <c r="G13" s="233"/>
      <c r="H13" s="233">
        <f>509000+91000+10000</f>
        <v>610000</v>
      </c>
      <c r="I13" s="233"/>
      <c r="J13" s="233">
        <v>117545</v>
      </c>
      <c r="K13" s="234" t="s">
        <v>432</v>
      </c>
    </row>
    <row r="14" spans="1:11" s="65" customFormat="1" ht="25.5">
      <c r="A14" s="259" t="s">
        <v>399</v>
      </c>
      <c r="B14" s="263" t="s">
        <v>549</v>
      </c>
      <c r="C14" s="261">
        <f>SUM(C16:C19)</f>
        <v>15124</v>
      </c>
      <c r="D14" s="261">
        <f>SUM(D16:D19)</f>
        <v>352000</v>
      </c>
      <c r="E14" s="261">
        <f>SUM(E16:E19)</f>
        <v>0</v>
      </c>
      <c r="F14" s="264" t="s">
        <v>432</v>
      </c>
      <c r="G14" s="264" t="s">
        <v>432</v>
      </c>
      <c r="H14" s="261">
        <f>SUM(H16:H19)</f>
        <v>344600</v>
      </c>
      <c r="I14" s="264" t="s">
        <v>432</v>
      </c>
      <c r="J14" s="261">
        <f>SUM(J16:J19)</f>
        <v>22524</v>
      </c>
      <c r="K14" s="261"/>
    </row>
    <row r="15" spans="1:11" ht="19.5" customHeight="1">
      <c r="A15" s="21"/>
      <c r="B15" s="35" t="s">
        <v>474</v>
      </c>
      <c r="C15" s="233"/>
      <c r="D15" s="233"/>
      <c r="E15" s="234"/>
      <c r="F15" s="234"/>
      <c r="G15" s="234"/>
      <c r="H15" s="233"/>
      <c r="I15" s="234"/>
      <c r="J15" s="233"/>
      <c r="K15" s="233"/>
    </row>
    <row r="16" spans="1:11" ht="25.5">
      <c r="A16" s="21"/>
      <c r="B16" s="257" t="s">
        <v>210</v>
      </c>
      <c r="C16" s="233"/>
      <c r="D16" s="233">
        <f>37000+3000</f>
        <v>40000</v>
      </c>
      <c r="E16" s="234"/>
      <c r="F16" s="234" t="s">
        <v>432</v>
      </c>
      <c r="G16" s="234" t="s">
        <v>432</v>
      </c>
      <c r="H16" s="233">
        <f>37000+3000</f>
        <v>40000</v>
      </c>
      <c r="I16" s="234" t="s">
        <v>432</v>
      </c>
      <c r="J16" s="233"/>
      <c r="K16" s="233"/>
    </row>
    <row r="17" spans="1:11" ht="25.5">
      <c r="A17" s="21"/>
      <c r="B17" s="257" t="s">
        <v>211</v>
      </c>
      <c r="C17" s="233">
        <v>3000</v>
      </c>
      <c r="D17" s="233">
        <f>190000+70000</f>
        <v>260000</v>
      </c>
      <c r="E17" s="234"/>
      <c r="F17" s="234" t="s">
        <v>432</v>
      </c>
      <c r="G17" s="234" t="s">
        <v>432</v>
      </c>
      <c r="H17" s="233">
        <f>188000+70000</f>
        <v>258000</v>
      </c>
      <c r="I17" s="234" t="s">
        <v>432</v>
      </c>
      <c r="J17" s="233">
        <v>5000</v>
      </c>
      <c r="K17" s="233"/>
    </row>
    <row r="18" spans="1:11" ht="25.5">
      <c r="A18" s="21"/>
      <c r="B18" s="257" t="s">
        <v>207</v>
      </c>
      <c r="C18" s="233"/>
      <c r="D18" s="233"/>
      <c r="E18" s="234"/>
      <c r="F18" s="234" t="s">
        <v>432</v>
      </c>
      <c r="G18" s="234" t="s">
        <v>432</v>
      </c>
      <c r="H18" s="233"/>
      <c r="I18" s="234" t="s">
        <v>432</v>
      </c>
      <c r="J18" s="233"/>
      <c r="K18" s="233"/>
    </row>
    <row r="19" spans="1:11" ht="38.25">
      <c r="A19" s="22"/>
      <c r="B19" s="258" t="s">
        <v>209</v>
      </c>
      <c r="C19" s="235">
        <v>12124</v>
      </c>
      <c r="D19" s="235">
        <v>52000</v>
      </c>
      <c r="E19" s="236"/>
      <c r="F19" s="236" t="s">
        <v>432</v>
      </c>
      <c r="G19" s="236" t="s">
        <v>432</v>
      </c>
      <c r="H19" s="235">
        <f>53000-6400</f>
        <v>46600</v>
      </c>
      <c r="I19" s="236" t="s">
        <v>432</v>
      </c>
      <c r="J19" s="235">
        <f>C19+D19-H19</f>
        <v>17524</v>
      </c>
      <c r="K19" s="235"/>
    </row>
    <row r="20" spans="1:11" s="65" customFormat="1" ht="19.5" customHeight="1">
      <c r="A20" s="416" t="s">
        <v>531</v>
      </c>
      <c r="B20" s="416"/>
      <c r="C20" s="206">
        <f>C10+C14</f>
        <v>132669</v>
      </c>
      <c r="D20" s="206">
        <f>D10+D14</f>
        <v>1558310</v>
      </c>
      <c r="E20" s="206">
        <f>E10+E14</f>
        <v>0</v>
      </c>
      <c r="F20" s="206"/>
      <c r="G20" s="206"/>
      <c r="H20" s="206">
        <f>H10+H14</f>
        <v>1550910</v>
      </c>
      <c r="I20" s="206"/>
      <c r="J20" s="206">
        <f>J10+J14</f>
        <v>140069</v>
      </c>
      <c r="K20" s="206"/>
    </row>
    <row r="21" ht="4.5" customHeight="1"/>
    <row r="22" ht="12.75" customHeight="1">
      <c r="A22" s="78" t="s">
        <v>555</v>
      </c>
    </row>
    <row r="23" ht="14.25">
      <c r="A23" s="78" t="s">
        <v>556</v>
      </c>
    </row>
    <row r="24" ht="12.75">
      <c r="A24" s="78" t="s">
        <v>557</v>
      </c>
    </row>
    <row r="25" ht="12.75">
      <c r="A25" s="78" t="s">
        <v>600</v>
      </c>
    </row>
  </sheetData>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X/60/07
z dnia 5.12.2007 r.</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14" t="s">
        <v>466</v>
      </c>
      <c r="B1" s="414"/>
      <c r="C1" s="414"/>
      <c r="D1" s="414"/>
      <c r="E1" s="414"/>
      <c r="F1" s="414"/>
      <c r="G1" s="414"/>
    </row>
    <row r="2" spans="5:7" ht="19.5" customHeight="1">
      <c r="E2" s="6"/>
      <c r="F2" s="6"/>
      <c r="G2" s="6"/>
    </row>
    <row r="3" spans="5:7" ht="19.5" customHeight="1">
      <c r="E3" s="1"/>
      <c r="F3" s="1"/>
      <c r="G3" s="10" t="s">
        <v>425</v>
      </c>
    </row>
    <row r="4" spans="1:7" ht="19.5" customHeight="1">
      <c r="A4" s="397" t="s">
        <v>447</v>
      </c>
      <c r="B4" s="397" t="s">
        <v>386</v>
      </c>
      <c r="C4" s="397" t="s">
        <v>387</v>
      </c>
      <c r="D4" s="418" t="s">
        <v>538</v>
      </c>
      <c r="E4" s="398" t="s">
        <v>464</v>
      </c>
      <c r="F4" s="398" t="s">
        <v>465</v>
      </c>
      <c r="G4" s="398" t="s">
        <v>426</v>
      </c>
    </row>
    <row r="5" spans="1:7" ht="19.5" customHeight="1">
      <c r="A5" s="397"/>
      <c r="B5" s="397"/>
      <c r="C5" s="397"/>
      <c r="D5" s="419"/>
      <c r="E5" s="398"/>
      <c r="F5" s="398"/>
      <c r="G5" s="398"/>
    </row>
    <row r="6" spans="1:7" ht="19.5" customHeight="1">
      <c r="A6" s="397"/>
      <c r="B6" s="397"/>
      <c r="C6" s="397"/>
      <c r="D6" s="420"/>
      <c r="E6" s="398"/>
      <c r="F6" s="398"/>
      <c r="G6" s="398"/>
    </row>
    <row r="7" spans="1:7" ht="7.5" customHeight="1">
      <c r="A7" s="18">
        <v>1</v>
      </c>
      <c r="B7" s="18">
        <v>2</v>
      </c>
      <c r="C7" s="18">
        <v>3</v>
      </c>
      <c r="D7" s="18">
        <v>4</v>
      </c>
      <c r="E7" s="18">
        <v>5</v>
      </c>
      <c r="F7" s="18">
        <v>6</v>
      </c>
      <c r="G7" s="18">
        <v>7</v>
      </c>
    </row>
    <row r="8" spans="1:7" ht="30" customHeight="1">
      <c r="A8" s="36"/>
      <c r="B8" s="36"/>
      <c r="C8" s="36"/>
      <c r="D8" s="36"/>
      <c r="E8" s="36" t="s">
        <v>164</v>
      </c>
      <c r="F8" s="36"/>
      <c r="G8" s="36"/>
    </row>
    <row r="9" spans="1:7" s="1" customFormat="1" ht="30" customHeight="1">
      <c r="A9" s="435" t="s">
        <v>531</v>
      </c>
      <c r="B9" s="436"/>
      <c r="C9" s="436"/>
      <c r="D9" s="436"/>
      <c r="E9" s="437"/>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96" t="s">
        <v>188</v>
      </c>
      <c r="B1" s="396"/>
      <c r="C1" s="396"/>
      <c r="D1" s="396"/>
      <c r="E1" s="396"/>
      <c r="F1" s="396"/>
    </row>
    <row r="2" spans="5:6" ht="19.5" customHeight="1">
      <c r="E2" s="6"/>
      <c r="F2" s="196"/>
    </row>
    <row r="3" ht="19.5" customHeight="1">
      <c r="F3" s="197" t="s">
        <v>425</v>
      </c>
    </row>
    <row r="4" spans="1:6" ht="19.5" customHeight="1">
      <c r="A4" s="15" t="s">
        <v>447</v>
      </c>
      <c r="B4" s="15" t="s">
        <v>386</v>
      </c>
      <c r="C4" s="15" t="s">
        <v>387</v>
      </c>
      <c r="D4" s="15" t="s">
        <v>538</v>
      </c>
      <c r="E4" s="15" t="s">
        <v>429</v>
      </c>
      <c r="F4" s="198" t="s">
        <v>428</v>
      </c>
    </row>
    <row r="5" spans="1:6" ht="7.5" customHeight="1">
      <c r="A5" s="18">
        <v>1</v>
      </c>
      <c r="B5" s="18">
        <v>2</v>
      </c>
      <c r="C5" s="18">
        <v>3</v>
      </c>
      <c r="D5" s="18">
        <v>4</v>
      </c>
      <c r="E5" s="18">
        <v>5</v>
      </c>
      <c r="F5" s="174">
        <v>6</v>
      </c>
    </row>
    <row r="6" spans="1:6" ht="165.75">
      <c r="A6" s="28">
        <v>1</v>
      </c>
      <c r="B6" s="28">
        <v>801</v>
      </c>
      <c r="C6" s="28">
        <v>80120</v>
      </c>
      <c r="D6" s="28">
        <v>2540</v>
      </c>
      <c r="E6" s="88" t="s">
        <v>189</v>
      </c>
      <c r="F6" s="186">
        <f>2!J197</f>
        <v>54990</v>
      </c>
    </row>
    <row r="7" spans="1:256" s="208" customFormat="1" ht="30" customHeight="1">
      <c r="A7" s="438" t="s">
        <v>531</v>
      </c>
      <c r="B7" s="439"/>
      <c r="C7" s="439"/>
      <c r="D7" s="439"/>
      <c r="E7" s="440"/>
      <c r="F7" s="206">
        <f>SUM(F6)</f>
        <v>54990</v>
      </c>
      <c r="IV7" s="209">
        <f>SUM(F7:IU7)</f>
        <v>54990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11
do uchwały Rady Powiatu 
nr X/60/07
z dnia 5.12.2007 r.</oddHeader>
  </headerFooter>
</worksheet>
</file>

<file path=xl/worksheets/sheet13.xml><?xml version="1.0" encoding="utf-8"?>
<worksheet xmlns="http://schemas.openxmlformats.org/spreadsheetml/2006/main" xmlns:r="http://schemas.openxmlformats.org/officeDocument/2006/relationships">
  <dimension ref="A1:F28"/>
  <sheetViews>
    <sheetView workbookViewId="0" topLeftCell="A8">
      <selection activeCell="F8" sqref="F8"/>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417" t="s">
        <v>601</v>
      </c>
      <c r="B1" s="417"/>
      <c r="C1" s="417"/>
      <c r="D1" s="417"/>
      <c r="E1" s="417"/>
      <c r="F1" s="417"/>
    </row>
    <row r="2" spans="5:6" ht="19.5" customHeight="1">
      <c r="E2" s="6"/>
      <c r="F2" s="191"/>
    </row>
    <row r="3" spans="5:6" ht="19.5" customHeight="1">
      <c r="E3" s="1"/>
      <c r="F3" s="192" t="s">
        <v>425</v>
      </c>
    </row>
    <row r="4" spans="1:6" ht="19.5" customHeight="1">
      <c r="A4" s="15" t="s">
        <v>447</v>
      </c>
      <c r="B4" s="15" t="s">
        <v>386</v>
      </c>
      <c r="C4" s="15" t="s">
        <v>387</v>
      </c>
      <c r="D4" s="15" t="s">
        <v>536</v>
      </c>
      <c r="E4" s="15" t="s">
        <v>427</v>
      </c>
      <c r="F4" s="193" t="s">
        <v>428</v>
      </c>
    </row>
    <row r="5" spans="1:6" s="72" customFormat="1" ht="7.5" customHeight="1">
      <c r="A5" s="18">
        <v>1</v>
      </c>
      <c r="B5" s="18">
        <v>2</v>
      </c>
      <c r="C5" s="18">
        <v>3</v>
      </c>
      <c r="D5" s="18">
        <v>4</v>
      </c>
      <c r="E5" s="18">
        <v>5</v>
      </c>
      <c r="F5" s="174">
        <v>6</v>
      </c>
    </row>
    <row r="6" spans="1:6" ht="153">
      <c r="A6" s="145">
        <v>1</v>
      </c>
      <c r="B6" s="145" t="s">
        <v>613</v>
      </c>
      <c r="C6" s="145" t="s">
        <v>618</v>
      </c>
      <c r="D6" s="145">
        <v>2830</v>
      </c>
      <c r="E6" s="88" t="s">
        <v>167</v>
      </c>
      <c r="F6" s="195">
        <f>2!J15</f>
        <v>39600</v>
      </c>
    </row>
    <row r="7" spans="1:6" ht="114.75">
      <c r="A7" s="145">
        <v>2</v>
      </c>
      <c r="B7" s="145">
        <v>754</v>
      </c>
      <c r="C7" s="145">
        <v>75495</v>
      </c>
      <c r="D7" s="145">
        <v>2310</v>
      </c>
      <c r="E7" s="88" t="s">
        <v>173</v>
      </c>
      <c r="F7" s="195">
        <f>2!J158</f>
        <v>30000</v>
      </c>
    </row>
    <row r="8" spans="1:6" ht="140.25">
      <c r="A8" s="145">
        <v>3</v>
      </c>
      <c r="B8" s="145">
        <v>801</v>
      </c>
      <c r="C8" s="145">
        <v>80130</v>
      </c>
      <c r="D8" s="145">
        <v>2310</v>
      </c>
      <c r="E8" s="88" t="s">
        <v>383</v>
      </c>
      <c r="F8" s="195">
        <f>2!J209</f>
        <v>0</v>
      </c>
    </row>
    <row r="9" spans="1:6" ht="140.25">
      <c r="A9" s="145">
        <v>4</v>
      </c>
      <c r="B9" s="145"/>
      <c r="C9" s="145"/>
      <c r="D9" s="145">
        <v>2320</v>
      </c>
      <c r="E9" s="88" t="s">
        <v>380</v>
      </c>
      <c r="F9" s="195">
        <f>2!J210</f>
        <v>235</v>
      </c>
    </row>
    <row r="10" spans="1:6" ht="140.25">
      <c r="A10" s="145">
        <v>5</v>
      </c>
      <c r="B10" s="145"/>
      <c r="C10" s="145"/>
      <c r="D10" s="145">
        <v>2330</v>
      </c>
      <c r="E10" s="88" t="s">
        <v>182</v>
      </c>
      <c r="F10" s="195">
        <f>2!J211</f>
        <v>24765</v>
      </c>
    </row>
    <row r="11" spans="1:6" ht="63.75">
      <c r="A11" s="145">
        <v>6</v>
      </c>
      <c r="B11" s="145">
        <v>801</v>
      </c>
      <c r="C11" s="145">
        <v>80146</v>
      </c>
      <c r="D11" s="145">
        <v>2310</v>
      </c>
      <c r="E11" s="88" t="s">
        <v>185</v>
      </c>
      <c r="F11" s="195">
        <f>2!J269</f>
        <v>8000</v>
      </c>
    </row>
    <row r="12" spans="1:6" ht="33.75">
      <c r="A12" s="145">
        <v>7</v>
      </c>
      <c r="B12" s="145">
        <v>851</v>
      </c>
      <c r="C12" s="145">
        <v>85195</v>
      </c>
      <c r="D12" s="145">
        <v>2820</v>
      </c>
      <c r="E12" s="102" t="s">
        <v>317</v>
      </c>
      <c r="F12" s="195">
        <f>2!J311</f>
        <v>2000</v>
      </c>
    </row>
    <row r="13" spans="1:6" ht="127.5">
      <c r="A13" s="145">
        <v>8</v>
      </c>
      <c r="B13" s="145">
        <v>852</v>
      </c>
      <c r="C13" s="145">
        <v>85201</v>
      </c>
      <c r="D13" s="145">
        <v>2320</v>
      </c>
      <c r="E13" s="88" t="s">
        <v>303</v>
      </c>
      <c r="F13" s="195">
        <f>2!J315</f>
        <v>210603</v>
      </c>
    </row>
    <row r="14" spans="1:6" ht="114.75">
      <c r="A14" s="145">
        <v>9</v>
      </c>
      <c r="B14" s="145">
        <v>852</v>
      </c>
      <c r="C14" s="145">
        <v>85204</v>
      </c>
      <c r="D14" s="145">
        <v>2320</v>
      </c>
      <c r="E14" s="88" t="s">
        <v>304</v>
      </c>
      <c r="F14" s="195">
        <f>2!J396</f>
        <v>91532</v>
      </c>
    </row>
    <row r="15" spans="1:6" ht="38.25">
      <c r="A15" s="145">
        <v>10</v>
      </c>
      <c r="B15" s="145">
        <v>853</v>
      </c>
      <c r="C15" s="145">
        <v>85311</v>
      </c>
      <c r="D15" s="145">
        <v>2320</v>
      </c>
      <c r="E15" s="88" t="s">
        <v>181</v>
      </c>
      <c r="F15" s="195">
        <f>2!J446</f>
        <v>7301</v>
      </c>
    </row>
    <row r="16" spans="1:6" ht="267.75">
      <c r="A16" s="145">
        <v>9</v>
      </c>
      <c r="B16" s="145">
        <v>854</v>
      </c>
      <c r="C16" s="145">
        <v>85406</v>
      </c>
      <c r="D16" s="145">
        <v>2310</v>
      </c>
      <c r="E16" s="88" t="s">
        <v>177</v>
      </c>
      <c r="F16" s="195">
        <f>2!J501</f>
        <v>267557</v>
      </c>
    </row>
    <row r="17" spans="1:6" ht="204">
      <c r="A17" s="145">
        <v>11</v>
      </c>
      <c r="B17" s="145">
        <v>854</v>
      </c>
      <c r="C17" s="145">
        <v>85415</v>
      </c>
      <c r="D17" s="85">
        <v>2318</v>
      </c>
      <c r="E17" s="88" t="s">
        <v>186</v>
      </c>
      <c r="F17" s="202">
        <f>2!J546</f>
        <v>66840</v>
      </c>
    </row>
    <row r="18" spans="1:6" ht="38.25">
      <c r="A18" s="145">
        <v>12</v>
      </c>
      <c r="B18" s="145"/>
      <c r="C18" s="145"/>
      <c r="D18" s="85">
        <v>2319</v>
      </c>
      <c r="E18" s="88" t="s">
        <v>178</v>
      </c>
      <c r="F18" s="202">
        <f>2!J547</f>
        <v>31382</v>
      </c>
    </row>
    <row r="19" spans="1:6" ht="38.25">
      <c r="A19" s="145">
        <v>13</v>
      </c>
      <c r="B19" s="145"/>
      <c r="C19" s="145"/>
      <c r="D19" s="85">
        <v>2328</v>
      </c>
      <c r="E19" s="88" t="s">
        <v>178</v>
      </c>
      <c r="F19" s="202">
        <f>2!J548</f>
        <v>3632135</v>
      </c>
    </row>
    <row r="20" spans="1:6" ht="38.25">
      <c r="A20" s="145">
        <v>14</v>
      </c>
      <c r="B20" s="145"/>
      <c r="C20" s="145"/>
      <c r="D20" s="85">
        <v>2329</v>
      </c>
      <c r="E20" s="88" t="s">
        <v>178</v>
      </c>
      <c r="F20" s="202">
        <f>2!J549</f>
        <v>1705316</v>
      </c>
    </row>
    <row r="21" spans="1:6" ht="33.75">
      <c r="A21" s="145">
        <v>15</v>
      </c>
      <c r="B21" s="145">
        <v>921</v>
      </c>
      <c r="C21" s="145">
        <v>92108</v>
      </c>
      <c r="D21" s="85">
        <v>2820</v>
      </c>
      <c r="E21" s="102" t="s">
        <v>317</v>
      </c>
      <c r="F21" s="202">
        <f>2!J589</f>
        <v>5000</v>
      </c>
    </row>
    <row r="22" spans="1:6" ht="89.25">
      <c r="A22" s="145">
        <v>16</v>
      </c>
      <c r="B22" s="145">
        <v>921</v>
      </c>
      <c r="C22" s="145">
        <v>92116</v>
      </c>
      <c r="D22" s="145">
        <v>2310</v>
      </c>
      <c r="E22" s="88" t="s">
        <v>187</v>
      </c>
      <c r="F22" s="195">
        <f>2!J591</f>
        <v>48269</v>
      </c>
    </row>
    <row r="23" spans="1:6" ht="33.75">
      <c r="A23" s="145">
        <v>17</v>
      </c>
      <c r="B23" s="145"/>
      <c r="C23" s="145">
        <v>92195</v>
      </c>
      <c r="D23" s="145">
        <v>2820</v>
      </c>
      <c r="E23" s="102" t="s">
        <v>317</v>
      </c>
      <c r="F23" s="195">
        <f>2!J594</f>
        <v>15000</v>
      </c>
    </row>
    <row r="24" spans="1:6" ht="22.5">
      <c r="A24" s="145">
        <v>18</v>
      </c>
      <c r="B24" s="145"/>
      <c r="C24" s="145"/>
      <c r="D24" s="145">
        <v>2810</v>
      </c>
      <c r="E24" s="102" t="s">
        <v>318</v>
      </c>
      <c r="F24" s="195">
        <f>2!J593</f>
        <v>8000</v>
      </c>
    </row>
    <row r="25" spans="1:6" ht="33.75">
      <c r="A25" s="145">
        <v>19</v>
      </c>
      <c r="B25" s="145">
        <v>926</v>
      </c>
      <c r="C25" s="145">
        <v>92605</v>
      </c>
      <c r="D25" s="145">
        <v>2820</v>
      </c>
      <c r="E25" s="102" t="s">
        <v>317</v>
      </c>
      <c r="F25" s="195">
        <f>2!J605</f>
        <v>60000</v>
      </c>
    </row>
    <row r="26" spans="1:6" s="65" customFormat="1" ht="30" customHeight="1">
      <c r="A26" s="416" t="s">
        <v>531</v>
      </c>
      <c r="B26" s="416"/>
      <c r="C26" s="416"/>
      <c r="D26" s="416"/>
      <c r="E26" s="416"/>
      <c r="F26" s="210">
        <f>SUM(F6:F25)</f>
        <v>6253535</v>
      </c>
    </row>
    <row r="27" spans="1:6" ht="12.75">
      <c r="A27" s="441" t="s">
        <v>251</v>
      </c>
      <c r="B27" s="441"/>
      <c r="C27" s="441"/>
      <c r="D27" s="441"/>
      <c r="E27" s="441"/>
      <c r="F27" s="442" t="s">
        <v>432</v>
      </c>
    </row>
    <row r="28" spans="1:6" ht="12.75">
      <c r="A28" s="441"/>
      <c r="B28" s="441"/>
      <c r="C28" s="441"/>
      <c r="D28" s="441"/>
      <c r="E28" s="441"/>
      <c r="F28" s="443"/>
    </row>
  </sheetData>
  <mergeCells count="4">
    <mergeCell ref="A1:F1"/>
    <mergeCell ref="A26:E26"/>
    <mergeCell ref="A27:E28"/>
    <mergeCell ref="F27:F28"/>
  </mergeCells>
  <printOptions horizontalCentered="1"/>
  <pageMargins left="0.3937007874015748" right="0.3937007874015748" top="1.67" bottom="0.984251968503937" header="0.5118110236220472" footer="0.5118110236220472"/>
  <pageSetup horizontalDpi="600" verticalDpi="600" orientation="portrait" paperSize="9" scale="85" r:id="rId1"/>
  <headerFooter alignWithMargins="0">
    <oddHeader>&amp;R&amp;9Załącznik nr 12
do uchwały Rady Powiatu 
nr X/60/07
z dnia 5.12.2007 r.</oddHeader>
  </headerFooter>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C14" sqref="C14"/>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90" t="s">
        <v>602</v>
      </c>
      <c r="B1" s="390"/>
      <c r="C1" s="390"/>
      <c r="D1" s="6"/>
      <c r="E1" s="6"/>
      <c r="F1" s="6"/>
      <c r="G1" s="6"/>
      <c r="H1" s="6"/>
      <c r="I1" s="6"/>
      <c r="J1" s="6"/>
    </row>
    <row r="2" spans="1:7" ht="19.5" customHeight="1">
      <c r="A2" s="390" t="s">
        <v>430</v>
      </c>
      <c r="B2" s="390"/>
      <c r="C2" s="390"/>
      <c r="D2" s="6"/>
      <c r="E2" s="6"/>
      <c r="F2" s="6"/>
      <c r="G2" s="6"/>
    </row>
    <row r="4" ht="12.75">
      <c r="C4" s="123" t="s">
        <v>425</v>
      </c>
    </row>
    <row r="5" spans="1:10" ht="19.5" customHeight="1">
      <c r="A5" s="15" t="s">
        <v>447</v>
      </c>
      <c r="B5" s="15" t="s">
        <v>384</v>
      </c>
      <c r="C5" s="124" t="s">
        <v>443</v>
      </c>
      <c r="D5" s="7"/>
      <c r="E5" s="7"/>
      <c r="F5" s="7"/>
      <c r="G5" s="7"/>
      <c r="H5" s="7"/>
      <c r="I5" s="8"/>
      <c r="J5" s="8"/>
    </row>
    <row r="6" spans="1:10" ht="19.5" customHeight="1">
      <c r="A6" s="24" t="s">
        <v>394</v>
      </c>
      <c r="B6" s="37" t="s">
        <v>451</v>
      </c>
      <c r="C6" s="125">
        <f>695245-238</f>
        <v>695007</v>
      </c>
      <c r="D6" s="7"/>
      <c r="E6" s="7"/>
      <c r="F6" s="7"/>
      <c r="G6" s="7"/>
      <c r="H6" s="7"/>
      <c r="I6" s="8"/>
      <c r="J6" s="8"/>
    </row>
    <row r="7" spans="1:10" ht="19.5" customHeight="1">
      <c r="A7" s="24" t="s">
        <v>399</v>
      </c>
      <c r="B7" s="37" t="s">
        <v>393</v>
      </c>
      <c r="C7" s="125">
        <f>SUM(C8)</f>
        <v>1100000</v>
      </c>
      <c r="D7" s="7"/>
      <c r="E7" s="7"/>
      <c r="F7" s="7"/>
      <c r="G7" s="7"/>
      <c r="H7" s="7"/>
      <c r="I7" s="8"/>
      <c r="J7" s="8"/>
    </row>
    <row r="8" spans="1:10" ht="19.5" customHeight="1">
      <c r="A8" s="25">
        <v>1</v>
      </c>
      <c r="B8" s="211" t="s">
        <v>70</v>
      </c>
      <c r="C8" s="212">
        <v>1100000</v>
      </c>
      <c r="D8" s="7"/>
      <c r="E8" s="7"/>
      <c r="F8" s="7"/>
      <c r="G8" s="7"/>
      <c r="H8" s="7"/>
      <c r="I8" s="8"/>
      <c r="J8" s="8"/>
    </row>
    <row r="9" spans="1:10" ht="19.5" customHeight="1">
      <c r="A9" s="24" t="s">
        <v>400</v>
      </c>
      <c r="B9" s="37" t="s">
        <v>392</v>
      </c>
      <c r="C9" s="125">
        <f>SUM(C10:C15)</f>
        <v>1677856</v>
      </c>
      <c r="D9" s="7"/>
      <c r="E9" s="7"/>
      <c r="F9" s="7"/>
      <c r="G9" s="7"/>
      <c r="H9" s="7"/>
      <c r="I9" s="8"/>
      <c r="J9" s="8"/>
    </row>
    <row r="10" spans="1:10" ht="19.5" customHeight="1">
      <c r="A10" s="25">
        <v>1</v>
      </c>
      <c r="B10" s="275" t="s">
        <v>421</v>
      </c>
      <c r="C10" s="212">
        <f>20000+42000+55651+3000</f>
        <v>120651</v>
      </c>
      <c r="D10" s="7"/>
      <c r="E10" s="7"/>
      <c r="F10" s="7"/>
      <c r="G10" s="7"/>
      <c r="H10" s="7"/>
      <c r="I10" s="8"/>
      <c r="J10" s="8"/>
    </row>
    <row r="11" spans="1:10" ht="38.25">
      <c r="A11" s="25">
        <v>2</v>
      </c>
      <c r="B11" s="275" t="s">
        <v>248</v>
      </c>
      <c r="C11" s="212">
        <f>280000+175000</f>
        <v>455000</v>
      </c>
      <c r="D11" s="7"/>
      <c r="E11" s="7"/>
      <c r="F11" s="7"/>
      <c r="G11" s="7"/>
      <c r="H11" s="7"/>
      <c r="I11" s="8"/>
      <c r="J11" s="8"/>
    </row>
    <row r="12" spans="1:10" ht="25.5">
      <c r="A12" s="25">
        <v>3</v>
      </c>
      <c r="B12" s="275" t="s">
        <v>347</v>
      </c>
      <c r="C12" s="212">
        <v>30000</v>
      </c>
      <c r="D12" s="7"/>
      <c r="E12" s="7"/>
      <c r="F12" s="7"/>
      <c r="G12" s="7"/>
      <c r="H12" s="7"/>
      <c r="I12" s="8"/>
      <c r="J12" s="8"/>
    </row>
    <row r="13" spans="1:10" ht="38.25">
      <c r="A13" s="25">
        <v>4</v>
      </c>
      <c r="B13" s="275" t="s">
        <v>276</v>
      </c>
      <c r="C13" s="212">
        <f>270000+100000</f>
        <v>370000</v>
      </c>
      <c r="D13" s="7"/>
      <c r="E13" s="7"/>
      <c r="F13" s="7"/>
      <c r="G13" s="7"/>
      <c r="H13" s="7"/>
      <c r="I13" s="8"/>
      <c r="J13" s="8"/>
    </row>
    <row r="14" spans="1:10" ht="19.5" customHeight="1">
      <c r="A14" s="25">
        <v>5</v>
      </c>
      <c r="B14" s="275" t="s">
        <v>249</v>
      </c>
      <c r="C14" s="212">
        <f>40000+25000+30000+418705+175000+13500-175000-25000</f>
        <v>502205</v>
      </c>
      <c r="D14" s="7"/>
      <c r="E14" s="7"/>
      <c r="F14" s="7"/>
      <c r="G14" s="7"/>
      <c r="H14" s="7"/>
      <c r="I14" s="8"/>
      <c r="J14" s="8"/>
    </row>
    <row r="15" spans="1:10" ht="19.5" customHeight="1">
      <c r="A15" s="25" t="s">
        <v>405</v>
      </c>
      <c r="B15" s="211" t="s">
        <v>221</v>
      </c>
      <c r="C15" s="212">
        <v>200000</v>
      </c>
      <c r="D15" s="7"/>
      <c r="E15" s="7"/>
      <c r="F15" s="7"/>
      <c r="G15" s="7"/>
      <c r="H15" s="7"/>
      <c r="I15" s="8"/>
      <c r="J15" s="8"/>
    </row>
    <row r="16" spans="1:10" ht="19.5" customHeight="1">
      <c r="A16" s="24" t="s">
        <v>422</v>
      </c>
      <c r="B16" s="37" t="s">
        <v>453</v>
      </c>
      <c r="C16" s="125">
        <f>C6+C7-C9</f>
        <v>117151</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X/60/07
z dnia 5.12.2007 r.</oddHeader>
  </headerFooter>
</worksheet>
</file>

<file path=xl/worksheets/sheet15.xml><?xml version="1.0" encoding="utf-8"?>
<worksheet xmlns="http://schemas.openxmlformats.org/spreadsheetml/2006/main" xmlns:r="http://schemas.openxmlformats.org/officeDocument/2006/relationships">
  <dimension ref="A1:J28"/>
  <sheetViews>
    <sheetView workbookViewId="0" topLeftCell="A1">
      <selection activeCell="C18" sqref="C18"/>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90" t="s">
        <v>602</v>
      </c>
      <c r="B1" s="390"/>
      <c r="C1" s="390"/>
      <c r="D1" s="6"/>
      <c r="E1" s="6"/>
      <c r="F1" s="6"/>
      <c r="G1" s="6"/>
      <c r="H1" s="6"/>
      <c r="I1" s="6"/>
      <c r="J1" s="6"/>
    </row>
    <row r="2" spans="1:7" ht="19.5" customHeight="1">
      <c r="A2" s="390" t="s">
        <v>500</v>
      </c>
      <c r="B2" s="390"/>
      <c r="C2" s="390"/>
      <c r="D2" s="6"/>
      <c r="E2" s="6"/>
      <c r="F2" s="6"/>
      <c r="G2" s="6"/>
    </row>
    <row r="4" ht="12.75">
      <c r="C4" s="123" t="s">
        <v>425</v>
      </c>
    </row>
    <row r="5" spans="1:10" ht="19.5" customHeight="1">
      <c r="A5" s="15" t="s">
        <v>447</v>
      </c>
      <c r="B5" s="15" t="s">
        <v>384</v>
      </c>
      <c r="C5" s="124" t="s">
        <v>443</v>
      </c>
      <c r="D5" s="7"/>
      <c r="E5" s="7"/>
      <c r="F5" s="7"/>
      <c r="G5" s="7"/>
      <c r="H5" s="7"/>
      <c r="I5" s="8"/>
      <c r="J5" s="8"/>
    </row>
    <row r="6" spans="1:10" ht="19.5" customHeight="1">
      <c r="A6" s="24" t="s">
        <v>394</v>
      </c>
      <c r="B6" s="37" t="s">
        <v>451</v>
      </c>
      <c r="C6" s="125">
        <v>99571</v>
      </c>
      <c r="D6" s="7"/>
      <c r="E6" s="7"/>
      <c r="F6" s="7"/>
      <c r="G6" s="7"/>
      <c r="H6" s="7"/>
      <c r="I6" s="8"/>
      <c r="J6" s="8"/>
    </row>
    <row r="7" spans="1:10" ht="19.5" customHeight="1">
      <c r="A7" s="24" t="s">
        <v>399</v>
      </c>
      <c r="B7" s="37" t="s">
        <v>393</v>
      </c>
      <c r="C7" s="125">
        <f>SUM(C8:C10)</f>
        <v>884515</v>
      </c>
      <c r="D7" s="7"/>
      <c r="E7" s="7"/>
      <c r="F7" s="7"/>
      <c r="G7" s="7"/>
      <c r="H7" s="7"/>
      <c r="I7" s="8"/>
      <c r="J7" s="8"/>
    </row>
    <row r="8" spans="1:10" ht="19.5" customHeight="1">
      <c r="A8" s="25" t="s">
        <v>395</v>
      </c>
      <c r="B8" s="211" t="s">
        <v>71</v>
      </c>
      <c r="C8" s="212">
        <v>882015</v>
      </c>
      <c r="D8" s="7"/>
      <c r="E8" s="7"/>
      <c r="F8" s="7"/>
      <c r="G8" s="7"/>
      <c r="H8" s="7"/>
      <c r="I8" s="8"/>
      <c r="J8" s="8"/>
    </row>
    <row r="9" spans="1:10" ht="19.5" customHeight="1">
      <c r="A9" s="25" t="s">
        <v>396</v>
      </c>
      <c r="B9" s="211" t="s">
        <v>72</v>
      </c>
      <c r="C9" s="212">
        <v>1000</v>
      </c>
      <c r="D9" s="7"/>
      <c r="E9" s="7"/>
      <c r="F9" s="7"/>
      <c r="G9" s="7"/>
      <c r="H9" s="7"/>
      <c r="I9" s="8"/>
      <c r="J9" s="8"/>
    </row>
    <row r="10" spans="1:10" ht="19.5" customHeight="1">
      <c r="A10" s="25" t="s">
        <v>397</v>
      </c>
      <c r="B10" s="211" t="s">
        <v>73</v>
      </c>
      <c r="C10" s="212">
        <v>1500</v>
      </c>
      <c r="D10" s="7"/>
      <c r="E10" s="7"/>
      <c r="F10" s="7"/>
      <c r="G10" s="7"/>
      <c r="H10" s="7"/>
      <c r="I10" s="8"/>
      <c r="J10" s="8"/>
    </row>
    <row r="11" spans="1:10" ht="19.5" customHeight="1">
      <c r="A11" s="24" t="s">
        <v>400</v>
      </c>
      <c r="B11" s="37" t="s">
        <v>392</v>
      </c>
      <c r="C11" s="125">
        <f>C12+C17</f>
        <v>918033</v>
      </c>
      <c r="D11" s="7"/>
      <c r="E11" s="7"/>
      <c r="F11" s="7"/>
      <c r="G11" s="7"/>
      <c r="H11" s="7"/>
      <c r="I11" s="8"/>
      <c r="J11" s="8"/>
    </row>
    <row r="12" spans="1:10" ht="19.5" customHeight="1">
      <c r="A12" s="25" t="s">
        <v>395</v>
      </c>
      <c r="B12" s="211" t="s">
        <v>421</v>
      </c>
      <c r="C12" s="212">
        <f>SUM(C13:C16)</f>
        <v>826333</v>
      </c>
      <c r="D12" s="7"/>
      <c r="E12" s="7"/>
      <c r="F12" s="7"/>
      <c r="G12" s="7"/>
      <c r="H12" s="7"/>
      <c r="I12" s="8"/>
      <c r="J12" s="8"/>
    </row>
    <row r="13" spans="1:10" ht="15" customHeight="1">
      <c r="A13" s="25"/>
      <c r="B13" s="111" t="s">
        <v>12</v>
      </c>
      <c r="C13" s="212">
        <v>176903</v>
      </c>
      <c r="D13" s="7"/>
      <c r="E13" s="7"/>
      <c r="F13" s="7"/>
      <c r="G13" s="7"/>
      <c r="H13" s="7"/>
      <c r="I13" s="8"/>
      <c r="J13" s="8"/>
    </row>
    <row r="14" spans="1:10" ht="15" customHeight="1">
      <c r="A14" s="25"/>
      <c r="B14" s="111" t="s">
        <v>610</v>
      </c>
      <c r="C14" s="212">
        <v>4000</v>
      </c>
      <c r="D14" s="7"/>
      <c r="E14" s="7"/>
      <c r="F14" s="7"/>
      <c r="G14" s="7"/>
      <c r="H14" s="7"/>
      <c r="I14" s="8"/>
      <c r="J14" s="8"/>
    </row>
    <row r="15" spans="1:10" ht="15" customHeight="1">
      <c r="A15" s="25"/>
      <c r="B15" s="111" t="s">
        <v>74</v>
      </c>
      <c r="C15" s="212">
        <v>632430</v>
      </c>
      <c r="D15" s="7"/>
      <c r="E15" s="7"/>
      <c r="F15" s="7"/>
      <c r="G15" s="7"/>
      <c r="H15" s="7"/>
      <c r="I15" s="8"/>
      <c r="J15" s="8"/>
    </row>
    <row r="16" spans="1:10" ht="15" customHeight="1">
      <c r="A16" s="25"/>
      <c r="B16" s="88" t="s">
        <v>348</v>
      </c>
      <c r="C16" s="212">
        <f>9000+4000</f>
        <v>13000</v>
      </c>
      <c r="D16" s="7"/>
      <c r="E16" s="7"/>
      <c r="F16" s="7"/>
      <c r="G16" s="7"/>
      <c r="H16" s="7"/>
      <c r="I16" s="8"/>
      <c r="J16" s="8"/>
    </row>
    <row r="17" spans="1:10" ht="19.5" customHeight="1">
      <c r="A17" s="25" t="s">
        <v>396</v>
      </c>
      <c r="B17" s="211" t="s">
        <v>250</v>
      </c>
      <c r="C17" s="212">
        <f>53240+32600+15860-10000</f>
        <v>91700</v>
      </c>
      <c r="D17" s="7"/>
      <c r="E17" s="7"/>
      <c r="F17" s="7"/>
      <c r="G17" s="7"/>
      <c r="H17" s="7"/>
      <c r="I17" s="8"/>
      <c r="J17" s="8"/>
    </row>
    <row r="18" spans="1:10" ht="19.5" customHeight="1">
      <c r="A18" s="24" t="s">
        <v>422</v>
      </c>
      <c r="B18" s="37" t="s">
        <v>453</v>
      </c>
      <c r="C18" s="125">
        <f>C6+C7-C11</f>
        <v>66053</v>
      </c>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7"/>
      <c r="B23" s="7"/>
      <c r="C23" s="126"/>
      <c r="D23" s="7"/>
      <c r="E23" s="7"/>
      <c r="F23" s="7"/>
      <c r="G23" s="7"/>
      <c r="H23" s="7"/>
      <c r="I23" s="8"/>
      <c r="J23" s="8"/>
    </row>
    <row r="24" spans="1:10" ht="15">
      <c r="A24" s="7"/>
      <c r="B24" s="7"/>
      <c r="C24" s="126"/>
      <c r="D24" s="7"/>
      <c r="E24" s="7"/>
      <c r="F24" s="7"/>
      <c r="G24" s="7"/>
      <c r="H24" s="7"/>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row r="27" spans="1:10" ht="15">
      <c r="A27" s="8"/>
      <c r="B27" s="8"/>
      <c r="C27" s="126"/>
      <c r="D27" s="8"/>
      <c r="E27" s="8"/>
      <c r="F27" s="8"/>
      <c r="G27" s="8"/>
      <c r="H27" s="8"/>
      <c r="I27" s="8"/>
      <c r="J27" s="8"/>
    </row>
    <row r="28" spans="1:10" ht="15">
      <c r="A28" s="8"/>
      <c r="B28" s="8"/>
      <c r="C28" s="126"/>
      <c r="D28" s="8"/>
      <c r="E28" s="8"/>
      <c r="F28" s="8"/>
      <c r="G28" s="8"/>
      <c r="H28" s="8"/>
      <c r="I28" s="8"/>
      <c r="J28"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7" t="s">
        <v>458</v>
      </c>
      <c r="B1" s="417"/>
      <c r="C1" s="417"/>
      <c r="D1" s="417"/>
      <c r="E1" s="417"/>
      <c r="F1" s="417"/>
    </row>
    <row r="2" spans="1:6" ht="65.25" customHeight="1">
      <c r="A2" s="15" t="s">
        <v>447</v>
      </c>
      <c r="B2" s="15" t="s">
        <v>559</v>
      </c>
      <c r="C2" s="15" t="s">
        <v>454</v>
      </c>
      <c r="D2" s="16" t="s">
        <v>455</v>
      </c>
      <c r="E2" s="16" t="s">
        <v>456</v>
      </c>
      <c r="F2" s="16" t="s">
        <v>457</v>
      </c>
    </row>
    <row r="3" spans="1:6" ht="9" customHeight="1">
      <c r="A3" s="18">
        <v>1</v>
      </c>
      <c r="B3" s="18">
        <v>2</v>
      </c>
      <c r="C3" s="18">
        <v>3</v>
      </c>
      <c r="D3" s="18">
        <v>4</v>
      </c>
      <c r="E3" s="18">
        <v>5</v>
      </c>
      <c r="F3" s="18">
        <v>6</v>
      </c>
    </row>
    <row r="4" spans="1:6" s="38" customFormat="1" ht="47.25" customHeight="1">
      <c r="A4" s="445" t="s">
        <v>395</v>
      </c>
      <c r="B4" s="444" t="s">
        <v>159</v>
      </c>
      <c r="C4" s="448" t="s">
        <v>159</v>
      </c>
      <c r="D4" s="448" t="s">
        <v>159</v>
      </c>
      <c r="E4" s="451" t="s">
        <v>159</v>
      </c>
      <c r="F4" s="170">
        <v>0</v>
      </c>
    </row>
    <row r="5" spans="1:6" s="38" customFormat="1" ht="47.25" customHeight="1">
      <c r="A5" s="446"/>
      <c r="B5" s="444"/>
      <c r="C5" s="449"/>
      <c r="D5" s="449"/>
      <c r="E5" s="452"/>
      <c r="F5" s="171"/>
    </row>
    <row r="6" spans="1:7" s="38" customFormat="1" ht="47.25" customHeight="1">
      <c r="A6" s="447"/>
      <c r="B6" s="444"/>
      <c r="C6" s="450"/>
      <c r="D6" s="450"/>
      <c r="E6" s="453"/>
      <c r="F6" s="172"/>
      <c r="G6" s="38" t="s">
        <v>408</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8">
      <selection activeCell="A21" sqref="A21"/>
    </sheetView>
  </sheetViews>
  <sheetFormatPr defaultColWidth="9.00390625" defaultRowHeight="12.75"/>
  <cols>
    <col min="4" max="4" width="31.625" style="293" customWidth="1"/>
    <col min="5" max="5" width="22.125" style="0" customWidth="1"/>
  </cols>
  <sheetData>
    <row r="1" spans="1:5" s="281" customFormat="1" ht="33.75">
      <c r="A1" s="290"/>
      <c r="B1" s="277"/>
      <c r="C1" s="278"/>
      <c r="D1" s="294" t="s">
        <v>252</v>
      </c>
      <c r="E1" s="279"/>
    </row>
    <row r="2" spans="1:5" s="281" customFormat="1" ht="14.25">
      <c r="A2" s="276"/>
      <c r="B2" s="277"/>
      <c r="C2" s="278"/>
      <c r="D2" s="291"/>
      <c r="E2" s="279"/>
    </row>
    <row r="3" spans="1:5" s="281" customFormat="1" ht="15.75">
      <c r="A3" s="295" t="s">
        <v>253</v>
      </c>
      <c r="B3" s="277"/>
      <c r="C3" s="278"/>
      <c r="D3" s="280"/>
      <c r="E3" s="279"/>
    </row>
    <row r="4" spans="1:5" s="281" customFormat="1" ht="15" thickBot="1">
      <c r="A4" s="276"/>
      <c r="B4" s="277"/>
      <c r="C4" s="278"/>
      <c r="D4" s="292"/>
      <c r="E4" s="279"/>
    </row>
    <row r="5" spans="1:251" s="283" customFormat="1" ht="30" customHeight="1">
      <c r="A5" s="323" t="s">
        <v>75</v>
      </c>
      <c r="B5" s="324" t="s">
        <v>76</v>
      </c>
      <c r="C5" s="325" t="s">
        <v>77</v>
      </c>
      <c r="D5" s="326" t="s">
        <v>254</v>
      </c>
      <c r="E5" s="327" t="s">
        <v>268</v>
      </c>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c r="GU5" s="282"/>
      <c r="GV5" s="282"/>
      <c r="GW5" s="282"/>
      <c r="GX5" s="282"/>
      <c r="GY5" s="282"/>
      <c r="GZ5" s="282"/>
      <c r="HA5" s="282"/>
      <c r="HB5" s="282"/>
      <c r="HC5" s="282"/>
      <c r="HD5" s="282"/>
      <c r="HE5" s="282"/>
      <c r="HF5" s="282"/>
      <c r="HG5" s="282"/>
      <c r="HH5" s="282"/>
      <c r="HI5" s="282"/>
      <c r="HJ5" s="282"/>
      <c r="HK5" s="282"/>
      <c r="HL5" s="282"/>
      <c r="HM5" s="282"/>
      <c r="HN5" s="282"/>
      <c r="HO5" s="282"/>
      <c r="HP5" s="282"/>
      <c r="HQ5" s="282"/>
      <c r="HR5" s="282"/>
      <c r="HS5" s="282"/>
      <c r="HT5" s="282"/>
      <c r="HU5" s="282"/>
      <c r="HV5" s="282"/>
      <c r="HW5" s="282"/>
      <c r="HX5" s="282"/>
      <c r="HY5" s="282"/>
      <c r="HZ5" s="282"/>
      <c r="IA5" s="282"/>
      <c r="IB5" s="282"/>
      <c r="IC5" s="282"/>
      <c r="ID5" s="282"/>
      <c r="IE5" s="282"/>
      <c r="IF5" s="282"/>
      <c r="IG5" s="282"/>
      <c r="IH5" s="282"/>
      <c r="II5" s="282"/>
      <c r="IJ5" s="282"/>
      <c r="IK5" s="282"/>
      <c r="IL5" s="282"/>
      <c r="IM5" s="282"/>
      <c r="IN5" s="282"/>
      <c r="IO5" s="282"/>
      <c r="IP5" s="282"/>
      <c r="IQ5" s="282"/>
    </row>
    <row r="6" spans="1:5" s="284" customFormat="1" ht="15">
      <c r="A6" s="296" t="s">
        <v>607</v>
      </c>
      <c r="B6" s="296"/>
      <c r="C6" s="297"/>
      <c r="D6" s="298" t="s">
        <v>608</v>
      </c>
      <c r="E6" s="299">
        <f>E7</f>
        <v>17000</v>
      </c>
    </row>
    <row r="7" spans="1:5" s="285" customFormat="1" ht="26.25">
      <c r="A7" s="300"/>
      <c r="B7" s="301" t="s">
        <v>81</v>
      </c>
      <c r="C7" s="302"/>
      <c r="D7" s="303" t="s">
        <v>255</v>
      </c>
      <c r="E7" s="304">
        <f>SUM(E8:E8)</f>
        <v>17000</v>
      </c>
    </row>
    <row r="8" spans="1:5" s="285" customFormat="1" ht="14.25">
      <c r="A8" s="300"/>
      <c r="B8" s="300"/>
      <c r="C8" s="302" t="s">
        <v>89</v>
      </c>
      <c r="D8" s="305" t="s">
        <v>256</v>
      </c>
      <c r="E8" s="306">
        <v>17000</v>
      </c>
    </row>
    <row r="9" spans="1:5" s="286" customFormat="1" ht="15">
      <c r="A9" s="307">
        <v>700</v>
      </c>
      <c r="B9" s="307"/>
      <c r="C9" s="308"/>
      <c r="D9" s="309" t="s">
        <v>646</v>
      </c>
      <c r="E9" s="310">
        <f>E10</f>
        <v>351000</v>
      </c>
    </row>
    <row r="10" spans="1:5" s="288" customFormat="1" ht="26.25">
      <c r="A10" s="311"/>
      <c r="B10" s="311">
        <v>70005</v>
      </c>
      <c r="C10" s="312"/>
      <c r="D10" s="313" t="s">
        <v>647</v>
      </c>
      <c r="E10" s="314">
        <f>SUM(E11:E13)</f>
        <v>351000</v>
      </c>
    </row>
    <row r="11" spans="1:5" s="287" customFormat="1" ht="38.25">
      <c r="A11" s="315"/>
      <c r="B11" s="315"/>
      <c r="C11" s="316" t="s">
        <v>257</v>
      </c>
      <c r="D11" s="317" t="s">
        <v>258</v>
      </c>
      <c r="E11" s="318">
        <v>316000</v>
      </c>
    </row>
    <row r="12" spans="1:5" s="287" customFormat="1" ht="89.25">
      <c r="A12" s="315"/>
      <c r="B12" s="315"/>
      <c r="C12" s="316" t="s">
        <v>93</v>
      </c>
      <c r="D12" s="317" t="s">
        <v>259</v>
      </c>
      <c r="E12" s="318">
        <v>20000</v>
      </c>
    </row>
    <row r="13" spans="1:5" s="287" customFormat="1" ht="51">
      <c r="A13" s="315"/>
      <c r="B13" s="315"/>
      <c r="C13" s="316" t="s">
        <v>260</v>
      </c>
      <c r="D13" s="317" t="s">
        <v>261</v>
      </c>
      <c r="E13" s="318">
        <v>15000</v>
      </c>
    </row>
    <row r="14" spans="1:5" s="286" customFormat="1" ht="15">
      <c r="A14" s="307">
        <v>710</v>
      </c>
      <c r="B14" s="307"/>
      <c r="C14" s="308"/>
      <c r="D14" s="309" t="s">
        <v>262</v>
      </c>
      <c r="E14" s="310">
        <f>E15</f>
        <v>1000</v>
      </c>
    </row>
    <row r="15" spans="1:5" s="288" customFormat="1" ht="15">
      <c r="A15" s="311"/>
      <c r="B15" s="311">
        <v>71015</v>
      </c>
      <c r="C15" s="312"/>
      <c r="D15" s="313" t="s">
        <v>263</v>
      </c>
      <c r="E15" s="314">
        <f>SUM(E16)</f>
        <v>1000</v>
      </c>
    </row>
    <row r="16" spans="1:5" s="287" customFormat="1" ht="25.5">
      <c r="A16" s="315"/>
      <c r="B16" s="315"/>
      <c r="C16" s="316" t="s">
        <v>264</v>
      </c>
      <c r="D16" s="317" t="s">
        <v>265</v>
      </c>
      <c r="E16" s="318">
        <v>1000</v>
      </c>
    </row>
    <row r="17" spans="1:5" s="286" customFormat="1" ht="15">
      <c r="A17" s="307">
        <v>852</v>
      </c>
      <c r="B17" s="307"/>
      <c r="C17" s="308"/>
      <c r="D17" s="309" t="s">
        <v>266</v>
      </c>
      <c r="E17" s="310">
        <f>E18</f>
        <v>15300</v>
      </c>
    </row>
    <row r="18" spans="1:5" s="288" customFormat="1" ht="15">
      <c r="A18" s="311"/>
      <c r="B18" s="311">
        <v>85203</v>
      </c>
      <c r="C18" s="312"/>
      <c r="D18" s="313" t="s">
        <v>269</v>
      </c>
      <c r="E18" s="314">
        <f>SUM(E19)</f>
        <v>15300</v>
      </c>
    </row>
    <row r="19" spans="1:5" s="287" customFormat="1" ht="14.25">
      <c r="A19" s="315"/>
      <c r="B19" s="315"/>
      <c r="C19" s="316" t="s">
        <v>104</v>
      </c>
      <c r="D19" s="146" t="s">
        <v>105</v>
      </c>
      <c r="E19" s="318">
        <v>15300</v>
      </c>
    </row>
    <row r="20" spans="1:5" s="289" customFormat="1" ht="26.25">
      <c r="A20" s="319"/>
      <c r="B20" s="319"/>
      <c r="C20" s="320"/>
      <c r="D20" s="321" t="s">
        <v>267</v>
      </c>
      <c r="E20" s="322">
        <f>E6+E10+E14+E17</f>
        <v>384300</v>
      </c>
    </row>
    <row r="21" spans="1:5" s="287" customFormat="1" ht="14.25">
      <c r="A21" s="315"/>
      <c r="B21" s="315"/>
      <c r="C21" s="316"/>
      <c r="D21" s="317"/>
      <c r="E21" s="318"/>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4"/>
  <sheetViews>
    <sheetView showGridLines="0" workbookViewId="0" topLeftCell="A21">
      <selection activeCell="D36" sqref="D36"/>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90" t="s">
        <v>592</v>
      </c>
      <c r="B1" s="390"/>
      <c r="C1" s="390"/>
      <c r="D1" s="390"/>
      <c r="E1" s="390"/>
      <c r="F1" s="390"/>
      <c r="G1" s="390"/>
      <c r="H1" s="390"/>
      <c r="I1" s="390"/>
    </row>
    <row r="2" spans="1:9" ht="9" customHeight="1">
      <c r="A2" s="6"/>
      <c r="B2" s="6"/>
      <c r="C2" s="6"/>
      <c r="D2" s="6"/>
      <c r="E2" s="6"/>
      <c r="F2" s="6"/>
      <c r="G2" s="6"/>
      <c r="H2" s="6"/>
      <c r="I2" s="6"/>
    </row>
    <row r="3" ht="12.75">
      <c r="I3" s="64" t="s">
        <v>425</v>
      </c>
    </row>
    <row r="4" spans="1:9" s="48" customFormat="1" ht="35.25" customHeight="1">
      <c r="A4" s="392" t="s">
        <v>447</v>
      </c>
      <c r="B4" s="392" t="s">
        <v>384</v>
      </c>
      <c r="C4" s="454" t="s">
        <v>511</v>
      </c>
      <c r="D4" s="456" t="s">
        <v>501</v>
      </c>
      <c r="E4" s="456"/>
      <c r="F4" s="456"/>
      <c r="G4" s="456"/>
      <c r="H4" s="456"/>
      <c r="I4" s="456"/>
    </row>
    <row r="5" spans="1:9" s="48" customFormat="1" ht="23.25" customHeight="1">
      <c r="A5" s="392"/>
      <c r="B5" s="392"/>
      <c r="C5" s="455"/>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395</v>
      </c>
      <c r="B7" s="63" t="s">
        <v>562</v>
      </c>
      <c r="C7" s="220">
        <f aca="true" t="shared" si="0" ref="C7:I7">C8+C16+C21</f>
        <v>5634158</v>
      </c>
      <c r="D7" s="220">
        <f t="shared" si="0"/>
        <v>4879158</v>
      </c>
      <c r="E7" s="220">
        <f t="shared" si="0"/>
        <v>2871316</v>
      </c>
      <c r="F7" s="220">
        <f t="shared" si="0"/>
        <v>1821316</v>
      </c>
      <c r="G7" s="220">
        <f t="shared" si="0"/>
        <v>850000</v>
      </c>
      <c r="H7" s="220">
        <f t="shared" si="0"/>
        <v>425000</v>
      </c>
      <c r="I7" s="220">
        <f t="shared" si="0"/>
        <v>0</v>
      </c>
    </row>
    <row r="8" spans="1:9" s="46" customFormat="1" ht="15" customHeight="1">
      <c r="A8" s="53" t="s">
        <v>484</v>
      </c>
      <c r="B8" s="55" t="s">
        <v>583</v>
      </c>
      <c r="C8" s="219">
        <f aca="true" t="shared" si="1" ref="C8:I8">SUM(C9:C15)-C10</f>
        <v>5634158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567</v>
      </c>
      <c r="B9" s="56" t="s">
        <v>502</v>
      </c>
      <c r="C9" s="219"/>
      <c r="D9" s="219"/>
      <c r="E9" s="219"/>
      <c r="F9" s="219"/>
      <c r="G9" s="219"/>
      <c r="H9" s="219"/>
      <c r="I9" s="219"/>
    </row>
    <row r="10" spans="1:9" s="46" customFormat="1" ht="15" customHeight="1">
      <c r="A10" s="58" t="s">
        <v>568</v>
      </c>
      <c r="B10" s="56" t="s">
        <v>503</v>
      </c>
      <c r="C10" s="219">
        <f>SUM(C11:C14)</f>
        <v>5634158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193</v>
      </c>
      <c r="C11" s="221">
        <v>1150000</v>
      </c>
      <c r="D11" s="219"/>
      <c r="E11" s="219"/>
      <c r="F11" s="219"/>
      <c r="G11" s="219"/>
      <c r="H11" s="219"/>
      <c r="I11" s="219"/>
    </row>
    <row r="12" spans="1:9" s="46" customFormat="1" ht="15" customHeight="1">
      <c r="A12" s="58"/>
      <c r="B12" s="56" t="s">
        <v>194</v>
      </c>
      <c r="C12" s="222">
        <v>557842</v>
      </c>
      <c r="D12" s="223">
        <v>157842</v>
      </c>
      <c r="E12" s="219"/>
      <c r="F12" s="219"/>
      <c r="G12" s="219"/>
      <c r="H12" s="219"/>
      <c r="I12" s="219"/>
    </row>
    <row r="13" spans="1:9" s="46" customFormat="1" ht="15" customHeight="1">
      <c r="A13" s="58"/>
      <c r="B13" s="56" t="s">
        <v>195</v>
      </c>
      <c r="C13" s="222">
        <v>900000</v>
      </c>
      <c r="D13" s="223">
        <v>800000</v>
      </c>
      <c r="E13" s="219"/>
      <c r="F13" s="219"/>
      <c r="G13" s="219"/>
      <c r="H13" s="219"/>
      <c r="I13" s="219"/>
    </row>
    <row r="14" spans="1:9" s="46" customFormat="1" ht="15" customHeight="1">
      <c r="A14" s="58"/>
      <c r="B14" s="56" t="s">
        <v>196</v>
      </c>
      <c r="C14" s="222">
        <f>3021316+5000</f>
        <v>3026316</v>
      </c>
      <c r="D14" s="223">
        <f>C14-105000</f>
        <v>2921316</v>
      </c>
      <c r="E14" s="224">
        <f>D14-1000000</f>
        <v>1921316</v>
      </c>
      <c r="F14" s="224">
        <f>E14-1000000</f>
        <v>921316</v>
      </c>
      <c r="G14" s="219"/>
      <c r="H14" s="219"/>
      <c r="I14" s="219"/>
    </row>
    <row r="15" spans="1:9" s="46" customFormat="1" ht="15" customHeight="1">
      <c r="A15" s="58" t="s">
        <v>569</v>
      </c>
      <c r="B15" s="56" t="s">
        <v>504</v>
      </c>
      <c r="C15" s="219"/>
      <c r="D15" s="219"/>
      <c r="E15" s="219"/>
      <c r="F15" s="219"/>
      <c r="G15" s="219"/>
      <c r="H15" s="219"/>
      <c r="I15" s="219"/>
    </row>
    <row r="16" spans="1:9" s="46" customFormat="1" ht="15" customHeight="1">
      <c r="A16" s="53" t="s">
        <v>490</v>
      </c>
      <c r="B16" s="55" t="s">
        <v>585</v>
      </c>
      <c r="C16" s="219">
        <f>SUM(C17:C18)</f>
        <v>0</v>
      </c>
      <c r="D16" s="219">
        <f aca="true" t="shared" si="3" ref="D16:I16">SUM(D17:D18)</f>
        <v>1000000</v>
      </c>
      <c r="E16" s="219">
        <f t="shared" si="3"/>
        <v>950000</v>
      </c>
      <c r="F16" s="219">
        <f t="shared" si="3"/>
        <v>900000</v>
      </c>
      <c r="G16" s="219">
        <f t="shared" si="3"/>
        <v>850000</v>
      </c>
      <c r="H16" s="219">
        <f t="shared" si="3"/>
        <v>425000</v>
      </c>
      <c r="I16" s="219">
        <f t="shared" si="3"/>
        <v>0</v>
      </c>
    </row>
    <row r="17" spans="1:9" s="46" customFormat="1" ht="15" customHeight="1">
      <c r="A17" s="58" t="s">
        <v>570</v>
      </c>
      <c r="B17" s="56" t="s">
        <v>505</v>
      </c>
      <c r="C17" s="219"/>
      <c r="D17" s="219"/>
      <c r="E17" s="219"/>
      <c r="F17" s="219"/>
      <c r="G17" s="219"/>
      <c r="H17" s="219"/>
      <c r="I17" s="219"/>
    </row>
    <row r="18" spans="1:9" s="46" customFormat="1" ht="15" customHeight="1">
      <c r="A18" s="58" t="s">
        <v>571</v>
      </c>
      <c r="B18" s="56" t="s">
        <v>506</v>
      </c>
      <c r="C18" s="219"/>
      <c r="D18" s="219">
        <v>1000000</v>
      </c>
      <c r="E18" s="219">
        <v>950000</v>
      </c>
      <c r="F18" s="219">
        <v>900000</v>
      </c>
      <c r="G18" s="219">
        <v>850000</v>
      </c>
      <c r="H18" s="219">
        <v>425000</v>
      </c>
      <c r="I18" s="219"/>
    </row>
    <row r="19" spans="1:9" s="46" customFormat="1" ht="15" customHeight="1">
      <c r="A19" s="58"/>
      <c r="B19" s="57" t="s">
        <v>507</v>
      </c>
      <c r="C19" s="219"/>
      <c r="D19" s="219"/>
      <c r="E19" s="219"/>
      <c r="F19" s="219"/>
      <c r="G19" s="219"/>
      <c r="H19" s="219"/>
      <c r="I19" s="219"/>
    </row>
    <row r="20" spans="1:9" s="46" customFormat="1" ht="15" customHeight="1">
      <c r="A20" s="58" t="s">
        <v>572</v>
      </c>
      <c r="B20" s="56" t="s">
        <v>479</v>
      </c>
      <c r="C20" s="219"/>
      <c r="D20" s="219"/>
      <c r="E20" s="219"/>
      <c r="F20" s="219"/>
      <c r="G20" s="219"/>
      <c r="H20" s="219"/>
      <c r="I20" s="219"/>
    </row>
    <row r="21" spans="1:9" s="46" customFormat="1" ht="15" customHeight="1">
      <c r="A21" s="53" t="s">
        <v>491</v>
      </c>
      <c r="B21" s="55" t="s">
        <v>508</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586</v>
      </c>
      <c r="B22" s="80" t="s">
        <v>588</v>
      </c>
      <c r="C22" s="226"/>
      <c r="D22" s="226"/>
      <c r="E22" s="226"/>
      <c r="F22" s="226"/>
      <c r="G22" s="226"/>
      <c r="H22" s="226"/>
      <c r="I22" s="226"/>
    </row>
    <row r="23" spans="1:9" s="46" customFormat="1" ht="15" customHeight="1">
      <c r="A23" s="58" t="s">
        <v>587</v>
      </c>
      <c r="B23" s="80" t="s">
        <v>589</v>
      </c>
      <c r="C23" s="226"/>
      <c r="D23" s="226"/>
      <c r="E23" s="226"/>
      <c r="F23" s="226"/>
      <c r="G23" s="226"/>
      <c r="H23" s="226"/>
      <c r="I23" s="226"/>
    </row>
    <row r="24" spans="1:9" s="48" customFormat="1" ht="22.5" customHeight="1">
      <c r="A24" s="45">
        <v>2</v>
      </c>
      <c r="B24" s="63" t="s">
        <v>277</v>
      </c>
      <c r="C24" s="220">
        <f aca="true" t="shared" si="5" ref="C24:I24">C25+C35+C36</f>
        <v>2123580</v>
      </c>
      <c r="D24" s="220">
        <f t="shared" si="5"/>
        <v>2018100</v>
      </c>
      <c r="E24" s="220">
        <f t="shared" si="5"/>
        <v>2265767</v>
      </c>
      <c r="F24" s="220">
        <f t="shared" si="5"/>
        <v>1203087</v>
      </c>
      <c r="G24" s="220">
        <f t="shared" si="5"/>
        <v>1063694</v>
      </c>
      <c r="H24" s="220">
        <f t="shared" si="5"/>
        <v>462038</v>
      </c>
      <c r="I24" s="220">
        <f t="shared" si="5"/>
        <v>439236</v>
      </c>
    </row>
    <row r="25" spans="1:9" s="48" customFormat="1" ht="15" customHeight="1">
      <c r="A25" s="45" t="s">
        <v>493</v>
      </c>
      <c r="B25" s="63" t="s">
        <v>582</v>
      </c>
      <c r="C25" s="220">
        <f aca="true" t="shared" si="6" ref="C25:I25">SUM(C26:C34)-C26</f>
        <v>1955461</v>
      </c>
      <c r="D25" s="220">
        <f t="shared" si="6"/>
        <v>1755000</v>
      </c>
      <c r="E25" s="220">
        <f t="shared" si="6"/>
        <v>2007842</v>
      </c>
      <c r="F25" s="220">
        <f t="shared" si="6"/>
        <v>1050000</v>
      </c>
      <c r="G25" s="220">
        <f t="shared" si="6"/>
        <v>971316</v>
      </c>
      <c r="H25" s="220">
        <f t="shared" si="6"/>
        <v>425000</v>
      </c>
      <c r="I25" s="220">
        <f t="shared" si="6"/>
        <v>425000</v>
      </c>
    </row>
    <row r="26" spans="1:9" s="46" customFormat="1" ht="15" customHeight="1">
      <c r="A26" s="58" t="s">
        <v>564</v>
      </c>
      <c r="B26" s="56" t="s">
        <v>575</v>
      </c>
      <c r="C26" s="219">
        <f>SUM(C27:C32)</f>
        <v>1955461</v>
      </c>
      <c r="D26" s="219">
        <f aca="true" t="shared" si="7" ref="D26:I26">SUM(D27:D32)</f>
        <v>1755000</v>
      </c>
      <c r="E26" s="219">
        <f t="shared" si="7"/>
        <v>2007842</v>
      </c>
      <c r="F26" s="219">
        <f t="shared" si="7"/>
        <v>1050000</v>
      </c>
      <c r="G26" s="219">
        <f t="shared" si="7"/>
        <v>971316</v>
      </c>
      <c r="H26" s="219">
        <f t="shared" si="7"/>
        <v>425000</v>
      </c>
      <c r="I26" s="219">
        <f t="shared" si="7"/>
        <v>425000</v>
      </c>
    </row>
    <row r="27" spans="1:9" s="46" customFormat="1" ht="15" customHeight="1">
      <c r="A27" s="58"/>
      <c r="B27" s="218" t="s">
        <v>201</v>
      </c>
      <c r="C27" s="219">
        <v>305461</v>
      </c>
      <c r="D27" s="219"/>
      <c r="E27" s="219"/>
      <c r="F27" s="219"/>
      <c r="G27" s="219"/>
      <c r="H27" s="219"/>
      <c r="I27" s="219"/>
    </row>
    <row r="28" spans="1:9" s="46" customFormat="1" ht="15" customHeight="1">
      <c r="A28" s="58"/>
      <c r="B28" s="218" t="s">
        <v>197</v>
      </c>
      <c r="C28" s="221">
        <v>1150000</v>
      </c>
      <c r="D28" s="227">
        <v>1150000</v>
      </c>
      <c r="E28" s="219"/>
      <c r="F28" s="219"/>
      <c r="G28" s="219"/>
      <c r="H28" s="219"/>
      <c r="I28" s="219"/>
    </row>
    <row r="29" spans="1:9" s="46" customFormat="1" ht="15" customHeight="1">
      <c r="A29" s="58"/>
      <c r="B29" s="218" t="s">
        <v>198</v>
      </c>
      <c r="C29" s="221">
        <v>400000</v>
      </c>
      <c r="D29" s="227">
        <v>400000</v>
      </c>
      <c r="E29" s="227">
        <v>157842</v>
      </c>
      <c r="F29" s="219"/>
      <c r="G29" s="219"/>
      <c r="H29" s="228"/>
      <c r="I29" s="219"/>
    </row>
    <row r="30" spans="1:9" s="46" customFormat="1" ht="15" customHeight="1">
      <c r="A30" s="58"/>
      <c r="B30" s="218" t="s">
        <v>199</v>
      </c>
      <c r="C30" s="221">
        <v>100000</v>
      </c>
      <c r="D30" s="227">
        <v>100000</v>
      </c>
      <c r="E30" s="227">
        <v>800000</v>
      </c>
      <c r="F30" s="219"/>
      <c r="G30" s="219"/>
      <c r="H30" s="228"/>
      <c r="I30" s="219"/>
    </row>
    <row r="31" spans="1:9" s="46" customFormat="1" ht="15" customHeight="1">
      <c r="A31" s="58"/>
      <c r="B31" s="218" t="s">
        <v>200</v>
      </c>
      <c r="C31" s="219"/>
      <c r="D31" s="227">
        <v>105000</v>
      </c>
      <c r="E31" s="227">
        <v>1000000</v>
      </c>
      <c r="F31" s="229">
        <v>1000000</v>
      </c>
      <c r="G31" s="230">
        <v>921316</v>
      </c>
      <c r="H31" s="228"/>
      <c r="I31" s="219"/>
    </row>
    <row r="32" spans="1:10" s="46" customFormat="1" ht="15" customHeight="1">
      <c r="A32" s="58"/>
      <c r="B32" s="218" t="s">
        <v>208</v>
      </c>
      <c r="C32" s="219"/>
      <c r="D32" s="227"/>
      <c r="E32" s="227">
        <v>50000</v>
      </c>
      <c r="F32" s="229">
        <v>50000</v>
      </c>
      <c r="G32" s="230">
        <v>50000</v>
      </c>
      <c r="H32" s="228">
        <v>425000</v>
      </c>
      <c r="I32" s="219">
        <v>425000</v>
      </c>
      <c r="J32" s="366"/>
    </row>
    <row r="33" spans="1:9" s="46" customFormat="1" ht="15" customHeight="1">
      <c r="A33" s="58" t="s">
        <v>565</v>
      </c>
      <c r="B33" s="56" t="s">
        <v>577</v>
      </c>
      <c r="C33" s="219"/>
      <c r="D33" s="219"/>
      <c r="E33" s="219"/>
      <c r="F33" s="219"/>
      <c r="G33" s="219"/>
      <c r="H33" s="219"/>
      <c r="I33" s="219"/>
    </row>
    <row r="34" spans="1:9" s="46" customFormat="1" ht="15" customHeight="1">
      <c r="A34" s="58" t="s">
        <v>566</v>
      </c>
      <c r="B34" s="56" t="s">
        <v>576</v>
      </c>
      <c r="C34" s="219"/>
      <c r="D34" s="219"/>
      <c r="E34" s="219"/>
      <c r="F34" s="219"/>
      <c r="G34" s="219"/>
      <c r="H34" s="219"/>
      <c r="I34" s="219"/>
    </row>
    <row r="35" spans="1:9" s="46" customFormat="1" ht="15" customHeight="1">
      <c r="A35" s="53" t="s">
        <v>494</v>
      </c>
      <c r="B35" s="55" t="s">
        <v>574</v>
      </c>
      <c r="C35" s="219">
        <v>0</v>
      </c>
      <c r="D35" s="219">
        <v>0</v>
      </c>
      <c r="E35" s="219">
        <v>0</v>
      </c>
      <c r="F35" s="219">
        <v>0</v>
      </c>
      <c r="G35" s="219">
        <v>0</v>
      </c>
      <c r="H35" s="219"/>
      <c r="I35" s="219"/>
    </row>
    <row r="36" spans="1:10" s="79" customFormat="1" ht="14.25" customHeight="1">
      <c r="A36" s="53" t="s">
        <v>563</v>
      </c>
      <c r="B36" s="55" t="s">
        <v>573</v>
      </c>
      <c r="C36" s="231">
        <v>168119</v>
      </c>
      <c r="D36" s="231">
        <f>2!K162</f>
        <v>263100</v>
      </c>
      <c r="E36" s="231">
        <f>195000+10000+52925</f>
        <v>257925</v>
      </c>
      <c r="F36" s="231">
        <f>95000+8000+50087</f>
        <v>153087</v>
      </c>
      <c r="G36" s="231">
        <f>40000+5000+47378</f>
        <v>92378</v>
      </c>
      <c r="H36" s="231">
        <v>37038</v>
      </c>
      <c r="I36" s="231">
        <v>14236</v>
      </c>
      <c r="J36" s="79" t="s">
        <v>374</v>
      </c>
    </row>
    <row r="37" spans="1:9" s="48" customFormat="1" ht="22.5" customHeight="1">
      <c r="A37" s="45" t="s">
        <v>397</v>
      </c>
      <c r="B37" s="63" t="s">
        <v>509</v>
      </c>
      <c r="C37" s="220">
        <v>51953507</v>
      </c>
      <c r="D37" s="220">
        <f>1!E146</f>
        <v>49918418</v>
      </c>
      <c r="E37" s="220">
        <v>45820000</v>
      </c>
      <c r="F37" s="220">
        <v>46600000</v>
      </c>
      <c r="G37" s="220">
        <v>47390000</v>
      </c>
      <c r="H37" s="220">
        <v>48000000</v>
      </c>
      <c r="I37" s="220">
        <v>48000000</v>
      </c>
    </row>
    <row r="38" spans="1:9" s="73" customFormat="1" ht="22.5" customHeight="1">
      <c r="A38" s="45" t="s">
        <v>385</v>
      </c>
      <c r="B38" s="63" t="s">
        <v>532</v>
      </c>
      <c r="C38" s="220">
        <v>55880051</v>
      </c>
      <c r="D38" s="220">
        <f>2!E611</f>
        <v>50997995</v>
      </c>
      <c r="E38" s="220">
        <v>45350000</v>
      </c>
      <c r="F38" s="220">
        <v>45900000</v>
      </c>
      <c r="G38" s="220">
        <v>45900000</v>
      </c>
      <c r="H38" s="220">
        <v>47000000</v>
      </c>
      <c r="I38" s="220">
        <v>47000000</v>
      </c>
    </row>
    <row r="39" spans="1:9" s="73" customFormat="1" ht="22.5" customHeight="1">
      <c r="A39" s="45" t="s">
        <v>402</v>
      </c>
      <c r="B39" s="63" t="s">
        <v>533</v>
      </c>
      <c r="C39" s="220">
        <f>C37-C38</f>
        <v>-3926544</v>
      </c>
      <c r="D39" s="220">
        <f aca="true" t="shared" si="8" ref="D39:I39">D37-D38</f>
        <v>-1079577</v>
      </c>
      <c r="E39" s="220">
        <f t="shared" si="8"/>
        <v>470000</v>
      </c>
      <c r="F39" s="220">
        <f t="shared" si="8"/>
        <v>700000</v>
      </c>
      <c r="G39" s="220">
        <f t="shared" si="8"/>
        <v>1490000</v>
      </c>
      <c r="H39" s="220">
        <f t="shared" si="8"/>
        <v>1000000</v>
      </c>
      <c r="I39" s="220">
        <f t="shared" si="8"/>
        <v>1000000</v>
      </c>
    </row>
    <row r="40" spans="1:9" s="48" customFormat="1" ht="22.5" customHeight="1">
      <c r="A40" s="45" t="s">
        <v>405</v>
      </c>
      <c r="B40" s="63" t="s">
        <v>510</v>
      </c>
      <c r="C40" s="220"/>
      <c r="D40" s="220"/>
      <c r="E40" s="220"/>
      <c r="F40" s="220"/>
      <c r="G40" s="220"/>
      <c r="H40" s="220"/>
      <c r="I40" s="220"/>
    </row>
    <row r="41" spans="1:9" s="46" customFormat="1" ht="15" customHeight="1">
      <c r="A41" s="53" t="s">
        <v>578</v>
      </c>
      <c r="B41" s="54" t="s">
        <v>279</v>
      </c>
      <c r="C41" s="232">
        <f aca="true" t="shared" si="9" ref="C41:I41">(C7-C35)/C37</f>
        <v>0.10844615359652236</v>
      </c>
      <c r="D41" s="232">
        <f t="shared" si="9"/>
        <v>0.09774264080243888</v>
      </c>
      <c r="E41" s="232">
        <f t="shared" si="9"/>
        <v>0.0626651243998254</v>
      </c>
      <c r="F41" s="232">
        <f t="shared" si="9"/>
        <v>0.03908403433476395</v>
      </c>
      <c r="G41" s="232">
        <f t="shared" si="9"/>
        <v>0.017936273475416754</v>
      </c>
      <c r="H41" s="232">
        <f t="shared" si="9"/>
        <v>0.008854166666666666</v>
      </c>
      <c r="I41" s="232">
        <f t="shared" si="9"/>
        <v>0</v>
      </c>
    </row>
    <row r="42" spans="1:9" s="46" customFormat="1" ht="28.5" customHeight="1">
      <c r="A42" s="53" t="s">
        <v>579</v>
      </c>
      <c r="B42" s="54" t="s">
        <v>278</v>
      </c>
      <c r="C42" s="232">
        <f aca="true" t="shared" si="10" ref="C42:I42">(C8+C16)/C37</f>
        <v>0.10844615359652236</v>
      </c>
      <c r="D42" s="232">
        <f t="shared" si="10"/>
        <v>0.09774264080243888</v>
      </c>
      <c r="E42" s="232">
        <f t="shared" si="10"/>
        <v>0.0626651243998254</v>
      </c>
      <c r="F42" s="232">
        <f t="shared" si="10"/>
        <v>0.03908403433476395</v>
      </c>
      <c r="G42" s="232">
        <f t="shared" si="10"/>
        <v>0.017936273475416754</v>
      </c>
      <c r="H42" s="232">
        <f t="shared" si="10"/>
        <v>0.008854166666666666</v>
      </c>
      <c r="I42" s="232">
        <f t="shared" si="10"/>
        <v>0</v>
      </c>
    </row>
    <row r="43" spans="1:9" s="46" customFormat="1" ht="15" customHeight="1">
      <c r="A43" s="53" t="s">
        <v>580</v>
      </c>
      <c r="B43" s="54" t="s">
        <v>590</v>
      </c>
      <c r="C43" s="232">
        <f aca="true" t="shared" si="11" ref="C43:I43">C24/C37</f>
        <v>0.04087462276608199</v>
      </c>
      <c r="D43" s="232">
        <f t="shared" si="11"/>
        <v>0.04042796388299004</v>
      </c>
      <c r="E43" s="232">
        <f t="shared" si="11"/>
        <v>0.049449301615015276</v>
      </c>
      <c r="F43" s="232">
        <f t="shared" si="11"/>
        <v>0.025817317596566525</v>
      </c>
      <c r="G43" s="232">
        <f t="shared" si="11"/>
        <v>0.02244553703312935</v>
      </c>
      <c r="H43" s="232">
        <f t="shared" si="11"/>
        <v>0.009625791666666666</v>
      </c>
      <c r="I43" s="232">
        <f t="shared" si="11"/>
        <v>0.00915075</v>
      </c>
    </row>
    <row r="44" spans="1:9" s="46" customFormat="1" ht="25.5" customHeight="1">
      <c r="A44" s="53" t="s">
        <v>581</v>
      </c>
      <c r="B44" s="54" t="s">
        <v>591</v>
      </c>
      <c r="C44" s="232">
        <f aca="true" t="shared" si="12" ref="C44:I44">(C25+C36)/C37</f>
        <v>0.04087462276608199</v>
      </c>
      <c r="D44" s="232">
        <f t="shared" si="12"/>
        <v>0.04042796388299004</v>
      </c>
      <c r="E44" s="232">
        <f t="shared" si="12"/>
        <v>0.049449301615015276</v>
      </c>
      <c r="F44" s="232">
        <f t="shared" si="12"/>
        <v>0.025817317596566525</v>
      </c>
      <c r="G44" s="232">
        <f t="shared" si="12"/>
        <v>0.02244553703312935</v>
      </c>
      <c r="H44" s="232">
        <f t="shared" si="12"/>
        <v>0.009625791666666666</v>
      </c>
      <c r="I44" s="232">
        <f t="shared" si="12"/>
        <v>0.00915075</v>
      </c>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8" r:id="rId1"/>
  <headerFooter alignWithMargins="0">
    <oddHeader>&amp;R&amp;9Załącznik nr 16
do uchwały Rady Powiatu 
nr X/60/07
z dnia 5.12.2007 r.</oddHeader>
  </headerFooter>
</worksheet>
</file>

<file path=xl/worksheets/sheet2.xml><?xml version="1.0" encoding="utf-8"?>
<worksheet xmlns="http://schemas.openxmlformats.org/spreadsheetml/2006/main" xmlns:r="http://schemas.openxmlformats.org/officeDocument/2006/relationships">
  <dimension ref="A1:O613"/>
  <sheetViews>
    <sheetView workbookViewId="0" topLeftCell="B368">
      <selection activeCell="M389" sqref="M389"/>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875" style="114" bestFit="1" customWidth="1"/>
    <col min="11" max="11" width="8.25390625" style="114" bestFit="1" customWidth="1"/>
    <col min="12" max="12" width="9.125" style="114" bestFit="1" customWidth="1"/>
    <col min="13" max="13" width="9.875" style="114" bestFit="1" customWidth="1"/>
    <col min="14" max="14" width="11.375" style="114" customWidth="1"/>
  </cols>
  <sheetData>
    <row r="1" spans="1:14" ht="18">
      <c r="A1" s="390" t="s">
        <v>599</v>
      </c>
      <c r="B1" s="390"/>
      <c r="C1" s="390"/>
      <c r="D1" s="390"/>
      <c r="E1" s="390"/>
      <c r="F1" s="390"/>
      <c r="G1" s="390"/>
      <c r="H1" s="390"/>
      <c r="I1" s="390"/>
      <c r="J1" s="390"/>
      <c r="K1" s="390"/>
      <c r="L1" s="390"/>
      <c r="M1" s="390"/>
      <c r="N1" s="390"/>
    </row>
    <row r="2" spans="1:8" ht="18">
      <c r="A2" s="2"/>
      <c r="B2" s="2"/>
      <c r="C2" s="2"/>
      <c r="D2" s="2"/>
      <c r="E2" s="113"/>
      <c r="F2" s="113"/>
      <c r="G2" s="113"/>
      <c r="H2" s="113"/>
    </row>
    <row r="3" spans="1:14" ht="12.75">
      <c r="A3" s="44"/>
      <c r="B3" s="44"/>
      <c r="C3" s="44"/>
      <c r="D3" s="44"/>
      <c r="E3" s="115"/>
      <c r="F3" s="115"/>
      <c r="I3" s="116"/>
      <c r="J3" s="116"/>
      <c r="K3" s="116"/>
      <c r="L3" s="116"/>
      <c r="M3" s="116"/>
      <c r="N3" s="117" t="s">
        <v>441</v>
      </c>
    </row>
    <row r="4" spans="1:14" s="46" customFormat="1" ht="18.75" customHeight="1">
      <c r="A4" s="392" t="s">
        <v>386</v>
      </c>
      <c r="B4" s="392" t="s">
        <v>387</v>
      </c>
      <c r="C4" s="392" t="s">
        <v>388</v>
      </c>
      <c r="D4" s="392" t="s">
        <v>401</v>
      </c>
      <c r="E4" s="391" t="s">
        <v>34</v>
      </c>
      <c r="F4" s="391" t="s">
        <v>474</v>
      </c>
      <c r="G4" s="391"/>
      <c r="H4" s="391"/>
      <c r="I4" s="391"/>
      <c r="J4" s="391"/>
      <c r="K4" s="391"/>
      <c r="L4" s="391"/>
      <c r="M4" s="391"/>
      <c r="N4" s="391"/>
    </row>
    <row r="5" spans="1:14" s="46" customFormat="1" ht="20.25" customHeight="1">
      <c r="A5" s="392"/>
      <c r="B5" s="392"/>
      <c r="C5" s="392"/>
      <c r="D5" s="392"/>
      <c r="E5" s="391"/>
      <c r="F5" s="391" t="s">
        <v>421</v>
      </c>
      <c r="G5" s="391" t="s">
        <v>390</v>
      </c>
      <c r="H5" s="391"/>
      <c r="I5" s="391"/>
      <c r="J5" s="391"/>
      <c r="K5" s="391"/>
      <c r="L5" s="391"/>
      <c r="M5" s="391"/>
      <c r="N5" s="391" t="s">
        <v>423</v>
      </c>
    </row>
    <row r="6" spans="1:14" s="46" customFormat="1" ht="66">
      <c r="A6" s="392"/>
      <c r="B6" s="392"/>
      <c r="C6" s="392"/>
      <c r="D6" s="392"/>
      <c r="E6" s="391"/>
      <c r="F6" s="391"/>
      <c r="G6" s="112" t="s">
        <v>499</v>
      </c>
      <c r="H6" s="213" t="s">
        <v>66</v>
      </c>
      <c r="I6" s="112" t="s">
        <v>597</v>
      </c>
      <c r="J6" s="112" t="s">
        <v>497</v>
      </c>
      <c r="K6" s="112" t="s">
        <v>537</v>
      </c>
      <c r="L6" s="351" t="s">
        <v>636</v>
      </c>
      <c r="M6" s="112" t="s">
        <v>65</v>
      </c>
      <c r="N6" s="391"/>
    </row>
    <row r="7" spans="1:14" s="46" customFormat="1" ht="6" customHeight="1">
      <c r="A7" s="47">
        <v>1</v>
      </c>
      <c r="B7" s="47">
        <v>2</v>
      </c>
      <c r="C7" s="47">
        <v>3</v>
      </c>
      <c r="D7" s="47">
        <v>4</v>
      </c>
      <c r="E7" s="118">
        <v>5</v>
      </c>
      <c r="F7" s="118">
        <v>6</v>
      </c>
      <c r="G7" s="118">
        <v>7</v>
      </c>
      <c r="H7" s="118" t="s">
        <v>68</v>
      </c>
      <c r="I7" s="118">
        <v>8</v>
      </c>
      <c r="J7" s="118">
        <v>9</v>
      </c>
      <c r="K7" s="118">
        <v>10</v>
      </c>
      <c r="L7" s="118">
        <v>11</v>
      </c>
      <c r="M7" s="118">
        <v>12</v>
      </c>
      <c r="N7" s="118">
        <v>13</v>
      </c>
    </row>
    <row r="8" spans="1:14" s="120" customFormat="1" ht="12.75">
      <c r="A8" s="81" t="s">
        <v>607</v>
      </c>
      <c r="B8" s="81"/>
      <c r="C8" s="82"/>
      <c r="D8" s="83" t="s">
        <v>608</v>
      </c>
      <c r="E8" s="214">
        <f>F8+N8</f>
        <v>40000</v>
      </c>
      <c r="F8" s="214">
        <f aca="true" t="shared" si="0" ref="F8:F15">SUM(G8:M8)</f>
        <v>40000</v>
      </c>
      <c r="G8" s="214">
        <f>SUM(G9)</f>
        <v>0</v>
      </c>
      <c r="H8" s="214">
        <f aca="true" t="shared" si="1" ref="H8:M8">SUM(H9:H9)</f>
        <v>0</v>
      </c>
      <c r="I8" s="214">
        <f t="shared" si="1"/>
        <v>0</v>
      </c>
      <c r="J8" s="214">
        <f t="shared" si="1"/>
        <v>0</v>
      </c>
      <c r="K8" s="214">
        <f t="shared" si="1"/>
        <v>0</v>
      </c>
      <c r="L8" s="214">
        <f t="shared" si="1"/>
        <v>0</v>
      </c>
      <c r="M8" s="214">
        <f t="shared" si="1"/>
        <v>40000</v>
      </c>
      <c r="N8" s="214">
        <v>0</v>
      </c>
    </row>
    <row r="9" spans="1:14" s="79" customFormat="1" ht="38.25">
      <c r="A9" s="86"/>
      <c r="B9" s="86" t="s">
        <v>609</v>
      </c>
      <c r="C9" s="89"/>
      <c r="D9" s="87" t="s">
        <v>611</v>
      </c>
      <c r="E9" s="215">
        <f aca="true" t="shared" si="2" ref="E9:E73">F9+N9</f>
        <v>40000</v>
      </c>
      <c r="F9" s="215">
        <f t="shared" si="0"/>
        <v>40000</v>
      </c>
      <c r="G9" s="215">
        <f>SUM(G10)</f>
        <v>0</v>
      </c>
      <c r="H9" s="215">
        <f aca="true" t="shared" si="3" ref="H9:N9">SUM(H10)</f>
        <v>0</v>
      </c>
      <c r="I9" s="215">
        <f t="shared" si="3"/>
        <v>0</v>
      </c>
      <c r="J9" s="215">
        <f t="shared" si="3"/>
        <v>0</v>
      </c>
      <c r="K9" s="215">
        <f t="shared" si="3"/>
        <v>0</v>
      </c>
      <c r="L9" s="215"/>
      <c r="M9" s="215">
        <f t="shared" si="3"/>
        <v>40000</v>
      </c>
      <c r="N9" s="215">
        <f t="shared" si="3"/>
        <v>0</v>
      </c>
    </row>
    <row r="10" spans="1:14" s="46" customFormat="1" ht="12.75">
      <c r="A10" s="84"/>
      <c r="B10" s="84"/>
      <c r="C10" s="85">
        <v>4300</v>
      </c>
      <c r="D10" s="88" t="s">
        <v>612</v>
      </c>
      <c r="E10" s="202">
        <f t="shared" si="2"/>
        <v>40000</v>
      </c>
      <c r="F10" s="202">
        <f t="shared" si="0"/>
        <v>40000</v>
      </c>
      <c r="G10" s="202"/>
      <c r="H10" s="202"/>
      <c r="I10" s="202"/>
      <c r="J10" s="202"/>
      <c r="K10" s="202"/>
      <c r="L10" s="202"/>
      <c r="M10" s="202">
        <v>40000</v>
      </c>
      <c r="N10" s="202"/>
    </row>
    <row r="11" spans="1:14" s="120" customFormat="1" ht="12.75">
      <c r="A11" s="81" t="s">
        <v>613</v>
      </c>
      <c r="B11" s="81"/>
      <c r="C11" s="82"/>
      <c r="D11" s="83" t="s">
        <v>614</v>
      </c>
      <c r="E11" s="214">
        <f t="shared" si="2"/>
        <v>306596</v>
      </c>
      <c r="F11" s="214">
        <f t="shared" si="0"/>
        <v>306596</v>
      </c>
      <c r="G11" s="214">
        <f>SUM(G12+G14)</f>
        <v>0</v>
      </c>
      <c r="H11" s="214">
        <f aca="true" t="shared" si="4" ref="H11:N11">H12+H14</f>
        <v>0</v>
      </c>
      <c r="I11" s="214">
        <f t="shared" si="4"/>
        <v>0</v>
      </c>
      <c r="J11" s="214">
        <f t="shared" si="4"/>
        <v>39600</v>
      </c>
      <c r="K11" s="214">
        <f t="shared" si="4"/>
        <v>0</v>
      </c>
      <c r="L11" s="214">
        <f t="shared" si="4"/>
        <v>0</v>
      </c>
      <c r="M11" s="214">
        <f t="shared" si="4"/>
        <v>266996</v>
      </c>
      <c r="N11" s="214">
        <f t="shared" si="4"/>
        <v>0</v>
      </c>
    </row>
    <row r="12" spans="1:14" s="79" customFormat="1" ht="12.75">
      <c r="A12" s="86"/>
      <c r="B12" s="86" t="s">
        <v>615</v>
      </c>
      <c r="C12" s="89"/>
      <c r="D12" s="87" t="s">
        <v>616</v>
      </c>
      <c r="E12" s="215">
        <f t="shared" si="2"/>
        <v>266996</v>
      </c>
      <c r="F12" s="215">
        <f t="shared" si="0"/>
        <v>266996</v>
      </c>
      <c r="G12" s="215">
        <f aca="true" t="shared" si="5" ref="G12:N12">SUM(G13)</f>
        <v>0</v>
      </c>
      <c r="H12" s="215">
        <f t="shared" si="5"/>
        <v>0</v>
      </c>
      <c r="I12" s="215">
        <f t="shared" si="5"/>
        <v>0</v>
      </c>
      <c r="J12" s="215">
        <f t="shared" si="5"/>
        <v>0</v>
      </c>
      <c r="K12" s="215">
        <f t="shared" si="5"/>
        <v>0</v>
      </c>
      <c r="L12" s="215">
        <f t="shared" si="5"/>
        <v>0</v>
      </c>
      <c r="M12" s="215">
        <f t="shared" si="5"/>
        <v>266996</v>
      </c>
      <c r="N12" s="215">
        <f t="shared" si="5"/>
        <v>0</v>
      </c>
    </row>
    <row r="13" spans="1:14" s="46" customFormat="1" ht="25.5">
      <c r="A13" s="90"/>
      <c r="B13" s="90"/>
      <c r="C13" s="91">
        <v>3030</v>
      </c>
      <c r="D13" s="92" t="s">
        <v>617</v>
      </c>
      <c r="E13" s="202">
        <f t="shared" si="2"/>
        <v>266996</v>
      </c>
      <c r="F13" s="202">
        <f t="shared" si="0"/>
        <v>266996</v>
      </c>
      <c r="G13" s="202"/>
      <c r="H13" s="202"/>
      <c r="I13" s="202"/>
      <c r="J13" s="202"/>
      <c r="K13" s="202"/>
      <c r="L13" s="202"/>
      <c r="M13" s="202">
        <f>260000-6102+13098</f>
        <v>266996</v>
      </c>
      <c r="N13" s="202"/>
    </row>
    <row r="14" spans="1:14" s="79" customFormat="1" ht="12.75">
      <c r="A14" s="86"/>
      <c r="B14" s="86" t="s">
        <v>618</v>
      </c>
      <c r="C14" s="89"/>
      <c r="D14" s="93" t="s">
        <v>619</v>
      </c>
      <c r="E14" s="215">
        <f t="shared" si="2"/>
        <v>39600</v>
      </c>
      <c r="F14" s="215">
        <f t="shared" si="0"/>
        <v>39600</v>
      </c>
      <c r="G14" s="215"/>
      <c r="H14" s="215">
        <f aca="true" t="shared" si="6" ref="H14:N14">SUM(H15)</f>
        <v>0</v>
      </c>
      <c r="I14" s="215">
        <f t="shared" si="6"/>
        <v>0</v>
      </c>
      <c r="J14" s="215">
        <f t="shared" si="6"/>
        <v>39600</v>
      </c>
      <c r="K14" s="215">
        <f t="shared" si="6"/>
        <v>0</v>
      </c>
      <c r="L14" s="215">
        <f t="shared" si="6"/>
        <v>0</v>
      </c>
      <c r="M14" s="215">
        <f t="shared" si="6"/>
        <v>0</v>
      </c>
      <c r="N14" s="215">
        <f t="shared" si="6"/>
        <v>0</v>
      </c>
    </row>
    <row r="15" spans="1:14" s="46" customFormat="1" ht="76.5">
      <c r="A15" s="84"/>
      <c r="B15" s="84"/>
      <c r="C15" s="85">
        <v>2830</v>
      </c>
      <c r="D15" s="88" t="s">
        <v>620</v>
      </c>
      <c r="E15" s="202">
        <f t="shared" si="2"/>
        <v>39600</v>
      </c>
      <c r="F15" s="202">
        <f t="shared" si="0"/>
        <v>39600</v>
      </c>
      <c r="G15" s="202"/>
      <c r="H15" s="202"/>
      <c r="I15" s="202"/>
      <c r="J15" s="202">
        <v>39600</v>
      </c>
      <c r="K15" s="202"/>
      <c r="L15" s="202"/>
      <c r="M15" s="202"/>
      <c r="N15" s="202"/>
    </row>
    <row r="16" spans="1:14" s="46" customFormat="1" ht="12.75">
      <c r="A16" s="84"/>
      <c r="B16" s="84"/>
      <c r="C16" s="85"/>
      <c r="D16" s="88"/>
      <c r="E16" s="202"/>
      <c r="F16" s="202"/>
      <c r="G16" s="202"/>
      <c r="H16" s="202"/>
      <c r="I16" s="202"/>
      <c r="J16" s="202"/>
      <c r="K16" s="202"/>
      <c r="L16" s="202"/>
      <c r="M16" s="202"/>
      <c r="N16" s="202"/>
    </row>
    <row r="17" spans="1:14" s="120" customFormat="1" ht="12.75">
      <c r="A17" s="81">
        <v>600</v>
      </c>
      <c r="B17" s="81"/>
      <c r="C17" s="82"/>
      <c r="D17" s="94" t="s">
        <v>621</v>
      </c>
      <c r="E17" s="214">
        <f t="shared" si="2"/>
        <v>4240297</v>
      </c>
      <c r="F17" s="214">
        <f>SUM(G17:M17)</f>
        <v>2425939</v>
      </c>
      <c r="G17" s="214">
        <f>SUM(G18)</f>
        <v>532660</v>
      </c>
      <c r="H17" s="214">
        <f aca="true" t="shared" si="7" ref="H17:N17">SUM(H18)</f>
        <v>38000</v>
      </c>
      <c r="I17" s="214">
        <f t="shared" si="7"/>
        <v>112176</v>
      </c>
      <c r="J17" s="214">
        <f t="shared" si="7"/>
        <v>0</v>
      </c>
      <c r="K17" s="214">
        <f t="shared" si="7"/>
        <v>0</v>
      </c>
      <c r="L17" s="214">
        <f t="shared" si="7"/>
        <v>0</v>
      </c>
      <c r="M17" s="214">
        <f t="shared" si="7"/>
        <v>1743103</v>
      </c>
      <c r="N17" s="214">
        <f t="shared" si="7"/>
        <v>1814358</v>
      </c>
    </row>
    <row r="18" spans="1:14" s="79" customFormat="1" ht="12.75">
      <c r="A18" s="86"/>
      <c r="B18" s="86">
        <v>60014</v>
      </c>
      <c r="C18" s="89"/>
      <c r="D18" s="93" t="s">
        <v>622</v>
      </c>
      <c r="E18" s="215">
        <f t="shared" si="2"/>
        <v>4240297</v>
      </c>
      <c r="F18" s="215">
        <f aca="true" t="shared" si="8" ref="F18:N18">SUM(F19:F43)</f>
        <v>2425939</v>
      </c>
      <c r="G18" s="215">
        <f t="shared" si="8"/>
        <v>532660</v>
      </c>
      <c r="H18" s="215">
        <f t="shared" si="8"/>
        <v>38000</v>
      </c>
      <c r="I18" s="215">
        <f t="shared" si="8"/>
        <v>112176</v>
      </c>
      <c r="J18" s="215">
        <f t="shared" si="8"/>
        <v>0</v>
      </c>
      <c r="K18" s="215">
        <f t="shared" si="8"/>
        <v>0</v>
      </c>
      <c r="L18" s="215">
        <f t="shared" si="8"/>
        <v>0</v>
      </c>
      <c r="M18" s="215">
        <f t="shared" si="8"/>
        <v>1743103</v>
      </c>
      <c r="N18" s="215">
        <f t="shared" si="8"/>
        <v>1814358</v>
      </c>
    </row>
    <row r="19" spans="1:14" s="46" customFormat="1" ht="25.5">
      <c r="A19" s="81"/>
      <c r="B19" s="81"/>
      <c r="C19" s="85">
        <v>3020</v>
      </c>
      <c r="D19" s="88" t="s">
        <v>623</v>
      </c>
      <c r="E19" s="202">
        <f t="shared" si="2"/>
        <v>14400</v>
      </c>
      <c r="F19" s="202">
        <f aca="true" t="shared" si="9" ref="F19:F49">SUM(G19:M19)</f>
        <v>14400</v>
      </c>
      <c r="G19" s="202"/>
      <c r="H19" s="202"/>
      <c r="I19" s="202"/>
      <c r="J19" s="202"/>
      <c r="K19" s="202"/>
      <c r="L19" s="202"/>
      <c r="M19" s="202">
        <v>14400</v>
      </c>
      <c r="N19" s="202"/>
    </row>
    <row r="20" spans="1:14" s="46" customFormat="1" ht="25.5">
      <c r="A20" s="81"/>
      <c r="B20" s="81"/>
      <c r="C20" s="95">
        <v>4010</v>
      </c>
      <c r="D20" s="88" t="s">
        <v>624</v>
      </c>
      <c r="E20" s="202">
        <f t="shared" si="2"/>
        <v>532660</v>
      </c>
      <c r="F20" s="202">
        <f t="shared" si="9"/>
        <v>532660</v>
      </c>
      <c r="G20" s="202">
        <f>471200+20880+23350+17230</f>
        <v>532660</v>
      </c>
      <c r="H20" s="202"/>
      <c r="I20" s="202"/>
      <c r="J20" s="202"/>
      <c r="K20" s="202"/>
      <c r="L20" s="202"/>
      <c r="M20" s="202"/>
      <c r="N20" s="202"/>
    </row>
    <row r="21" spans="1:14" s="46" customFormat="1" ht="12.75">
      <c r="A21" s="81"/>
      <c r="B21" s="81"/>
      <c r="C21" s="85">
        <v>4040</v>
      </c>
      <c r="D21" s="88" t="s">
        <v>625</v>
      </c>
      <c r="E21" s="202">
        <f t="shared" si="2"/>
        <v>38000</v>
      </c>
      <c r="F21" s="202">
        <f t="shared" si="9"/>
        <v>38000</v>
      </c>
      <c r="G21" s="202"/>
      <c r="H21" s="202">
        <f>36800+1200</f>
        <v>38000</v>
      </c>
      <c r="I21" s="202"/>
      <c r="J21" s="202"/>
      <c r="K21" s="202"/>
      <c r="L21" s="202"/>
      <c r="M21" s="202"/>
      <c r="N21" s="202"/>
    </row>
    <row r="22" spans="1:14" s="46" customFormat="1" ht="12.75">
      <c r="A22" s="81"/>
      <c r="B22" s="81"/>
      <c r="C22" s="85">
        <v>4110</v>
      </c>
      <c r="D22" s="88" t="s">
        <v>626</v>
      </c>
      <c r="E22" s="202">
        <f t="shared" si="2"/>
        <v>98334</v>
      </c>
      <c r="F22" s="202">
        <f t="shared" si="9"/>
        <v>98334</v>
      </c>
      <c r="G22" s="202"/>
      <c r="H22" s="202"/>
      <c r="I22" s="202">
        <f>90000+1170+4150+3014</f>
        <v>98334</v>
      </c>
      <c r="J22" s="202"/>
      <c r="K22" s="202"/>
      <c r="L22" s="202"/>
      <c r="M22" s="202"/>
      <c r="N22" s="202"/>
    </row>
    <row r="23" spans="1:14" s="46" customFormat="1" ht="12.75">
      <c r="A23" s="81"/>
      <c r="B23" s="81"/>
      <c r="C23" s="85">
        <v>4120</v>
      </c>
      <c r="D23" s="88" t="s">
        <v>627</v>
      </c>
      <c r="E23" s="202">
        <f t="shared" si="2"/>
        <v>13842</v>
      </c>
      <c r="F23" s="202">
        <f t="shared" si="9"/>
        <v>13842</v>
      </c>
      <c r="G23" s="202"/>
      <c r="H23" s="202"/>
      <c r="I23" s="202">
        <f>12000+850+570+422</f>
        <v>13842</v>
      </c>
      <c r="J23" s="202"/>
      <c r="K23" s="202"/>
      <c r="L23" s="202"/>
      <c r="M23" s="202"/>
      <c r="N23" s="202"/>
    </row>
    <row r="24" spans="1:14" s="46" customFormat="1" ht="12.75">
      <c r="A24" s="81"/>
      <c r="B24" s="81"/>
      <c r="C24" s="85">
        <v>4170</v>
      </c>
      <c r="D24" s="88" t="s">
        <v>628</v>
      </c>
      <c r="E24" s="202">
        <f t="shared" si="2"/>
        <v>5500</v>
      </c>
      <c r="F24" s="202">
        <f t="shared" si="9"/>
        <v>5500</v>
      </c>
      <c r="G24" s="202"/>
      <c r="H24" s="202"/>
      <c r="I24" s="202"/>
      <c r="J24" s="202"/>
      <c r="K24" s="202"/>
      <c r="L24" s="202"/>
      <c r="M24" s="202">
        <f>4000+1500</f>
        <v>5500</v>
      </c>
      <c r="N24" s="202"/>
    </row>
    <row r="25" spans="1:14" s="46" customFormat="1" ht="12.75">
      <c r="A25" s="81"/>
      <c r="B25" s="81"/>
      <c r="C25" s="85">
        <v>4210</v>
      </c>
      <c r="D25" s="88" t="s">
        <v>629</v>
      </c>
      <c r="E25" s="202">
        <f t="shared" si="2"/>
        <v>159000</v>
      </c>
      <c r="F25" s="202">
        <f t="shared" si="9"/>
        <v>159000</v>
      </c>
      <c r="G25" s="202"/>
      <c r="H25" s="202"/>
      <c r="I25" s="202"/>
      <c r="J25" s="202"/>
      <c r="K25" s="202"/>
      <c r="L25" s="202"/>
      <c r="M25" s="202">
        <f>114000+45000</f>
        <v>159000</v>
      </c>
      <c r="N25" s="202"/>
    </row>
    <row r="26" spans="1:14" s="46" customFormat="1" ht="12.75">
      <c r="A26" s="81"/>
      <c r="B26" s="81"/>
      <c r="C26" s="85">
        <v>4260</v>
      </c>
      <c r="D26" s="88" t="s">
        <v>630</v>
      </c>
      <c r="E26" s="202">
        <f t="shared" si="2"/>
        <v>19300</v>
      </c>
      <c r="F26" s="202">
        <f t="shared" si="9"/>
        <v>19300</v>
      </c>
      <c r="G26" s="202"/>
      <c r="H26" s="202"/>
      <c r="I26" s="202"/>
      <c r="J26" s="202"/>
      <c r="K26" s="202"/>
      <c r="L26" s="202"/>
      <c r="M26" s="202">
        <v>19300</v>
      </c>
      <c r="N26" s="202"/>
    </row>
    <row r="27" spans="1:14" s="46" customFormat="1" ht="12.75">
      <c r="A27" s="81"/>
      <c r="B27" s="81"/>
      <c r="C27" s="85">
        <v>4270</v>
      </c>
      <c r="D27" s="88" t="s">
        <v>631</v>
      </c>
      <c r="E27" s="202">
        <f t="shared" si="2"/>
        <v>300000</v>
      </c>
      <c r="F27" s="202">
        <f t="shared" si="9"/>
        <v>300000</v>
      </c>
      <c r="G27" s="202"/>
      <c r="H27" s="202"/>
      <c r="I27" s="202"/>
      <c r="J27" s="202"/>
      <c r="K27" s="202"/>
      <c r="L27" s="202"/>
      <c r="M27" s="202">
        <v>300000</v>
      </c>
      <c r="N27" s="202"/>
    </row>
    <row r="28" spans="1:14" s="46" customFormat="1" ht="12.75">
      <c r="A28" s="81"/>
      <c r="B28" s="81"/>
      <c r="C28" s="85">
        <v>4280</v>
      </c>
      <c r="D28" s="88" t="s">
        <v>632</v>
      </c>
      <c r="E28" s="202">
        <f t="shared" si="2"/>
        <v>900</v>
      </c>
      <c r="F28" s="202">
        <f t="shared" si="9"/>
        <v>900</v>
      </c>
      <c r="G28" s="202"/>
      <c r="H28" s="202"/>
      <c r="I28" s="202"/>
      <c r="J28" s="202"/>
      <c r="K28" s="202"/>
      <c r="L28" s="202"/>
      <c r="M28" s="202">
        <v>900</v>
      </c>
      <c r="N28" s="202"/>
    </row>
    <row r="29" spans="1:14" s="46" customFormat="1" ht="12.75">
      <c r="A29" s="81"/>
      <c r="B29" s="81"/>
      <c r="C29" s="85">
        <v>4300</v>
      </c>
      <c r="D29" s="88" t="s">
        <v>612</v>
      </c>
      <c r="E29" s="202">
        <f t="shared" si="2"/>
        <v>1186653</v>
      </c>
      <c r="F29" s="202">
        <f t="shared" si="9"/>
        <v>1186653</v>
      </c>
      <c r="G29" s="202"/>
      <c r="H29" s="202"/>
      <c r="I29" s="202"/>
      <c r="J29" s="202"/>
      <c r="K29" s="202"/>
      <c r="L29" s="202"/>
      <c r="M29" s="202">
        <f>1151980+34673</f>
        <v>1186653</v>
      </c>
      <c r="N29" s="202"/>
    </row>
    <row r="30" spans="1:14" s="46" customFormat="1" ht="25.5">
      <c r="A30" s="81"/>
      <c r="B30" s="81"/>
      <c r="C30" s="85">
        <v>4350</v>
      </c>
      <c r="D30" s="88" t="s">
        <v>633</v>
      </c>
      <c r="E30" s="202">
        <f t="shared" si="2"/>
        <v>1120</v>
      </c>
      <c r="F30" s="202">
        <f t="shared" si="9"/>
        <v>1120</v>
      </c>
      <c r="G30" s="202"/>
      <c r="H30" s="202"/>
      <c r="I30" s="202"/>
      <c r="J30" s="202"/>
      <c r="K30" s="202"/>
      <c r="L30" s="202"/>
      <c r="M30" s="202">
        <v>1120</v>
      </c>
      <c r="N30" s="202"/>
    </row>
    <row r="31" spans="1:14" s="46" customFormat="1" ht="25.5">
      <c r="A31" s="81"/>
      <c r="B31" s="81"/>
      <c r="C31" s="85">
        <v>4360</v>
      </c>
      <c r="D31" s="88" t="s">
        <v>230</v>
      </c>
      <c r="E31" s="202">
        <f t="shared" si="2"/>
        <v>6300</v>
      </c>
      <c r="F31" s="202">
        <f t="shared" si="9"/>
        <v>6300</v>
      </c>
      <c r="G31" s="202"/>
      <c r="H31" s="202"/>
      <c r="I31" s="202"/>
      <c r="J31" s="202"/>
      <c r="K31" s="202"/>
      <c r="L31" s="202"/>
      <c r="M31" s="202">
        <v>6300</v>
      </c>
      <c r="N31" s="202"/>
    </row>
    <row r="32" spans="1:14" s="46" customFormat="1" ht="12.75">
      <c r="A32" s="81"/>
      <c r="B32" s="81"/>
      <c r="C32" s="85">
        <v>4370</v>
      </c>
      <c r="D32" s="88" t="s">
        <v>231</v>
      </c>
      <c r="E32" s="202">
        <f t="shared" si="2"/>
        <v>6000</v>
      </c>
      <c r="F32" s="202">
        <f t="shared" si="9"/>
        <v>6000</v>
      </c>
      <c r="G32" s="202"/>
      <c r="H32" s="202"/>
      <c r="I32" s="202"/>
      <c r="J32" s="202"/>
      <c r="K32" s="202"/>
      <c r="L32" s="202"/>
      <c r="M32" s="202">
        <v>6000</v>
      </c>
      <c r="N32" s="202"/>
    </row>
    <row r="33" spans="1:14" s="46" customFormat="1" ht="12.75">
      <c r="A33" s="81"/>
      <c r="B33" s="81"/>
      <c r="C33" s="85">
        <v>4410</v>
      </c>
      <c r="D33" s="88" t="s">
        <v>639</v>
      </c>
      <c r="E33" s="202">
        <f t="shared" si="2"/>
        <v>3500</v>
      </c>
      <c r="F33" s="202">
        <f t="shared" si="9"/>
        <v>3500</v>
      </c>
      <c r="G33" s="202"/>
      <c r="H33" s="202"/>
      <c r="I33" s="202"/>
      <c r="J33" s="202"/>
      <c r="K33" s="202"/>
      <c r="L33" s="202"/>
      <c r="M33" s="202">
        <v>3500</v>
      </c>
      <c r="N33" s="202"/>
    </row>
    <row r="34" spans="1:14" s="46" customFormat="1" ht="12.75">
      <c r="A34" s="81"/>
      <c r="B34" s="81"/>
      <c r="C34" s="85">
        <v>4430</v>
      </c>
      <c r="D34" s="88" t="s">
        <v>640</v>
      </c>
      <c r="E34" s="202">
        <f t="shared" si="2"/>
        <v>7800</v>
      </c>
      <c r="F34" s="202">
        <f t="shared" si="9"/>
        <v>7800</v>
      </c>
      <c r="G34" s="202"/>
      <c r="H34" s="202"/>
      <c r="I34" s="202"/>
      <c r="J34" s="202"/>
      <c r="K34" s="202"/>
      <c r="L34" s="202"/>
      <c r="M34" s="202">
        <v>7800</v>
      </c>
      <c r="N34" s="202"/>
    </row>
    <row r="35" spans="1:14" s="46" customFormat="1" ht="25.5">
      <c r="A35" s="81"/>
      <c r="B35" s="81"/>
      <c r="C35" s="85">
        <v>4440</v>
      </c>
      <c r="D35" s="88" t="s">
        <v>641</v>
      </c>
      <c r="E35" s="202">
        <f t="shared" si="2"/>
        <v>18230</v>
      </c>
      <c r="F35" s="202">
        <f t="shared" si="9"/>
        <v>18230</v>
      </c>
      <c r="G35" s="202"/>
      <c r="H35" s="202"/>
      <c r="I35" s="202"/>
      <c r="J35" s="202"/>
      <c r="K35" s="202"/>
      <c r="L35" s="202"/>
      <c r="M35" s="202">
        <f>18330+1400-1500</f>
        <v>18230</v>
      </c>
      <c r="N35" s="202"/>
    </row>
    <row r="36" spans="1:14" s="46" customFormat="1" ht="12.75">
      <c r="A36" s="81"/>
      <c r="B36" s="81"/>
      <c r="C36" s="85">
        <v>4480</v>
      </c>
      <c r="D36" s="88" t="s">
        <v>642</v>
      </c>
      <c r="E36" s="202">
        <f t="shared" si="2"/>
        <v>6400</v>
      </c>
      <c r="F36" s="202">
        <f t="shared" si="9"/>
        <v>6400</v>
      </c>
      <c r="G36" s="202"/>
      <c r="H36" s="202"/>
      <c r="I36" s="202"/>
      <c r="J36" s="202"/>
      <c r="K36" s="202"/>
      <c r="L36" s="202"/>
      <c r="M36" s="202">
        <v>6400</v>
      </c>
      <c r="N36" s="202"/>
    </row>
    <row r="37" spans="1:14" s="46" customFormat="1" ht="25.5">
      <c r="A37" s="81"/>
      <c r="B37" s="81"/>
      <c r="C37" s="85">
        <v>4700</v>
      </c>
      <c r="D37" s="88" t="s">
        <v>285</v>
      </c>
      <c r="E37" s="202">
        <f t="shared" si="2"/>
        <v>5000</v>
      </c>
      <c r="F37" s="202">
        <f t="shared" si="9"/>
        <v>5000</v>
      </c>
      <c r="G37" s="202"/>
      <c r="H37" s="202"/>
      <c r="I37" s="202"/>
      <c r="J37" s="202"/>
      <c r="K37" s="202"/>
      <c r="L37" s="202"/>
      <c r="M37" s="202">
        <v>5000</v>
      </c>
      <c r="N37" s="202"/>
    </row>
    <row r="38" spans="1:14" s="46" customFormat="1" ht="25.5">
      <c r="A38" s="81"/>
      <c r="B38" s="81"/>
      <c r="C38" s="85">
        <v>4740</v>
      </c>
      <c r="D38" s="88" t="s">
        <v>643</v>
      </c>
      <c r="E38" s="202">
        <f t="shared" si="2"/>
        <v>1000</v>
      </c>
      <c r="F38" s="202">
        <f t="shared" si="9"/>
        <v>1000</v>
      </c>
      <c r="G38" s="202"/>
      <c r="H38" s="202"/>
      <c r="I38" s="202"/>
      <c r="J38" s="202"/>
      <c r="K38" s="202"/>
      <c r="L38" s="202"/>
      <c r="M38" s="202">
        <v>1000</v>
      </c>
      <c r="N38" s="202"/>
    </row>
    <row r="39" spans="1:14" s="46" customFormat="1" ht="12.75">
      <c r="A39" s="81"/>
      <c r="B39" s="81"/>
      <c r="C39" s="85">
        <v>4750</v>
      </c>
      <c r="D39" s="88" t="s">
        <v>644</v>
      </c>
      <c r="E39" s="202">
        <f t="shared" si="2"/>
        <v>2000</v>
      </c>
      <c r="F39" s="202">
        <f t="shared" si="9"/>
        <v>2000</v>
      </c>
      <c r="G39" s="202"/>
      <c r="H39" s="202"/>
      <c r="I39" s="202"/>
      <c r="J39" s="202"/>
      <c r="K39" s="202"/>
      <c r="L39" s="202"/>
      <c r="M39" s="202">
        <v>2000</v>
      </c>
      <c r="N39" s="202"/>
    </row>
    <row r="40" spans="1:14" s="46" customFormat="1" ht="25.5">
      <c r="A40" s="81"/>
      <c r="B40" s="81"/>
      <c r="C40" s="95">
        <v>6050</v>
      </c>
      <c r="D40" s="96" t="s">
        <v>645</v>
      </c>
      <c r="E40" s="202">
        <f t="shared" si="2"/>
        <v>1200000</v>
      </c>
      <c r="F40" s="202">
        <f t="shared" si="9"/>
        <v>0</v>
      </c>
      <c r="G40" s="202"/>
      <c r="H40" s="202"/>
      <c r="I40" s="202"/>
      <c r="J40" s="202"/>
      <c r="K40" s="202"/>
      <c r="L40" s="202"/>
      <c r="M40" s="202"/>
      <c r="N40" s="202">
        <f>300000+900000</f>
        <v>1200000</v>
      </c>
    </row>
    <row r="41" spans="1:14" s="46" customFormat="1" ht="25.5">
      <c r="A41" s="81"/>
      <c r="B41" s="81"/>
      <c r="C41" s="95">
        <v>6060</v>
      </c>
      <c r="D41" s="96" t="s">
        <v>228</v>
      </c>
      <c r="E41" s="202">
        <f t="shared" si="2"/>
        <v>80000</v>
      </c>
      <c r="F41" s="202">
        <f t="shared" si="9"/>
        <v>0</v>
      </c>
      <c r="G41" s="202"/>
      <c r="H41" s="202"/>
      <c r="I41" s="202"/>
      <c r="J41" s="202"/>
      <c r="K41" s="202"/>
      <c r="L41" s="202"/>
      <c r="M41" s="202"/>
      <c r="N41" s="202">
        <f>60000+20000</f>
        <v>80000</v>
      </c>
    </row>
    <row r="42" spans="1:14" s="46" customFormat="1" ht="25.5">
      <c r="A42" s="81"/>
      <c r="B42" s="81"/>
      <c r="C42" s="95">
        <v>6058</v>
      </c>
      <c r="D42" s="96" t="s">
        <v>645</v>
      </c>
      <c r="E42" s="202">
        <f t="shared" si="2"/>
        <v>264097</v>
      </c>
      <c r="F42" s="202">
        <f t="shared" si="9"/>
        <v>0</v>
      </c>
      <c r="G42" s="202"/>
      <c r="H42" s="202"/>
      <c r="I42" s="202"/>
      <c r="J42" s="202"/>
      <c r="K42" s="202"/>
      <c r="L42" s="202"/>
      <c r="M42" s="202"/>
      <c r="N42" s="202">
        <v>264097</v>
      </c>
    </row>
    <row r="43" spans="1:14" s="46" customFormat="1" ht="25.5">
      <c r="A43" s="81"/>
      <c r="B43" s="81"/>
      <c r="C43" s="95">
        <v>6059</v>
      </c>
      <c r="D43" s="96" t="s">
        <v>645</v>
      </c>
      <c r="E43" s="202">
        <f t="shared" si="2"/>
        <v>270261</v>
      </c>
      <c r="F43" s="202">
        <f t="shared" si="9"/>
        <v>0</v>
      </c>
      <c r="G43" s="202"/>
      <c r="H43" s="202"/>
      <c r="I43" s="202"/>
      <c r="J43" s="202"/>
      <c r="K43" s="202"/>
      <c r="L43" s="202"/>
      <c r="M43" s="202"/>
      <c r="N43" s="202">
        <f>176065+94196</f>
        <v>270261</v>
      </c>
    </row>
    <row r="44" spans="1:14" s="120" customFormat="1" ht="12.75">
      <c r="A44" s="81">
        <v>700</v>
      </c>
      <c r="B44" s="81"/>
      <c r="C44" s="82"/>
      <c r="D44" s="94" t="s">
        <v>646</v>
      </c>
      <c r="E44" s="214">
        <f t="shared" si="2"/>
        <v>1267309</v>
      </c>
      <c r="F44" s="214">
        <f t="shared" si="9"/>
        <v>217309</v>
      </c>
      <c r="G44" s="214">
        <f aca="true" t="shared" si="10" ref="G44:M44">SUM(G45)</f>
        <v>0</v>
      </c>
      <c r="H44" s="214">
        <f t="shared" si="10"/>
        <v>0</v>
      </c>
      <c r="I44" s="214">
        <f t="shared" si="10"/>
        <v>0</v>
      </c>
      <c r="J44" s="214">
        <f t="shared" si="10"/>
        <v>0</v>
      </c>
      <c r="K44" s="214">
        <f t="shared" si="10"/>
        <v>0</v>
      </c>
      <c r="L44" s="214">
        <f t="shared" si="10"/>
        <v>0</v>
      </c>
      <c r="M44" s="214">
        <f t="shared" si="10"/>
        <v>217309</v>
      </c>
      <c r="N44" s="214">
        <f>SUM(N45)</f>
        <v>1050000</v>
      </c>
    </row>
    <row r="45" spans="1:14" s="79" customFormat="1" ht="25.5">
      <c r="A45" s="86"/>
      <c r="B45" s="86">
        <v>70005</v>
      </c>
      <c r="C45" s="89"/>
      <c r="D45" s="93" t="s">
        <v>647</v>
      </c>
      <c r="E45" s="215">
        <f t="shared" si="2"/>
        <v>1267309</v>
      </c>
      <c r="F45" s="215">
        <f t="shared" si="9"/>
        <v>217309</v>
      </c>
      <c r="G45" s="215">
        <f aca="true" t="shared" si="11" ref="G45:M45">SUM(G46:G53)</f>
        <v>0</v>
      </c>
      <c r="H45" s="215">
        <f t="shared" si="11"/>
        <v>0</v>
      </c>
      <c r="I45" s="215">
        <f t="shared" si="11"/>
        <v>0</v>
      </c>
      <c r="J45" s="215">
        <f t="shared" si="11"/>
        <v>0</v>
      </c>
      <c r="K45" s="215">
        <f t="shared" si="11"/>
        <v>0</v>
      </c>
      <c r="L45" s="215">
        <f t="shared" si="11"/>
        <v>0</v>
      </c>
      <c r="M45" s="215">
        <f t="shared" si="11"/>
        <v>217309</v>
      </c>
      <c r="N45" s="215">
        <f>SUM(N46:N53:N54)</f>
        <v>1050000</v>
      </c>
    </row>
    <row r="46" spans="1:14" s="46" customFormat="1" ht="12.75">
      <c r="A46" s="81"/>
      <c r="B46" s="81"/>
      <c r="C46" s="85">
        <v>4260</v>
      </c>
      <c r="D46" s="88" t="s">
        <v>630</v>
      </c>
      <c r="E46" s="202">
        <f t="shared" si="2"/>
        <v>6600</v>
      </c>
      <c r="F46" s="202">
        <f t="shared" si="9"/>
        <v>6600</v>
      </c>
      <c r="G46" s="202"/>
      <c r="H46" s="202"/>
      <c r="I46" s="202"/>
      <c r="J46" s="202"/>
      <c r="K46" s="202"/>
      <c r="L46" s="202"/>
      <c r="M46" s="202">
        <v>6600</v>
      </c>
      <c r="N46" s="202"/>
    </row>
    <row r="47" spans="1:14" s="46" customFormat="1" ht="12.75">
      <c r="A47" s="84"/>
      <c r="B47" s="84"/>
      <c r="C47" s="85">
        <v>4270</v>
      </c>
      <c r="D47" s="88" t="s">
        <v>648</v>
      </c>
      <c r="E47" s="202">
        <f t="shared" si="2"/>
        <v>1600</v>
      </c>
      <c r="F47" s="202">
        <f t="shared" si="9"/>
        <v>1600</v>
      </c>
      <c r="G47" s="202"/>
      <c r="H47" s="202"/>
      <c r="I47" s="202"/>
      <c r="J47" s="202"/>
      <c r="K47" s="202"/>
      <c r="L47" s="202"/>
      <c r="M47" s="202">
        <f>300+1300</f>
        <v>1600</v>
      </c>
      <c r="N47" s="202"/>
    </row>
    <row r="48" spans="1:14" s="46" customFormat="1" ht="12.75">
      <c r="A48" s="84"/>
      <c r="B48" s="84"/>
      <c r="C48" s="85">
        <v>4300</v>
      </c>
      <c r="D48" s="88" t="s">
        <v>612</v>
      </c>
      <c r="E48" s="202">
        <f t="shared" si="2"/>
        <v>27300</v>
      </c>
      <c r="F48" s="202">
        <f t="shared" si="9"/>
        <v>27300</v>
      </c>
      <c r="G48" s="202"/>
      <c r="H48" s="202"/>
      <c r="I48" s="202"/>
      <c r="J48" s="202"/>
      <c r="K48" s="202"/>
      <c r="L48" s="202"/>
      <c r="M48" s="202">
        <f>6900+400+20000</f>
        <v>27300</v>
      </c>
      <c r="N48" s="202"/>
    </row>
    <row r="49" spans="1:14" s="46" customFormat="1" ht="25.5">
      <c r="A49" s="84"/>
      <c r="B49" s="84"/>
      <c r="C49" s="85">
        <v>4390</v>
      </c>
      <c r="D49" s="88" t="s">
        <v>223</v>
      </c>
      <c r="E49" s="202">
        <f t="shared" si="2"/>
        <v>32969</v>
      </c>
      <c r="F49" s="202">
        <f t="shared" si="9"/>
        <v>32969</v>
      </c>
      <c r="G49" s="202"/>
      <c r="H49" s="202"/>
      <c r="I49" s="202"/>
      <c r="J49" s="202"/>
      <c r="K49" s="202"/>
      <c r="L49" s="202"/>
      <c r="M49" s="202">
        <f>23200-360-1300-400+3904+1200+5725+1000</f>
        <v>32969</v>
      </c>
      <c r="N49" s="202"/>
    </row>
    <row r="50" spans="1:14" s="46" customFormat="1" ht="12.75">
      <c r="A50" s="84"/>
      <c r="B50" s="84"/>
      <c r="C50" s="85">
        <v>4480</v>
      </c>
      <c r="D50" s="88" t="s">
        <v>642</v>
      </c>
      <c r="E50" s="202">
        <f t="shared" si="2"/>
        <v>1660</v>
      </c>
      <c r="F50" s="202">
        <f aca="true" t="shared" si="12" ref="F50:F73">SUM(G50:M50)</f>
        <v>1660</v>
      </c>
      <c r="G50" s="202"/>
      <c r="H50" s="202"/>
      <c r="I50" s="202"/>
      <c r="J50" s="202"/>
      <c r="K50" s="202"/>
      <c r="L50" s="202"/>
      <c r="M50" s="202">
        <f>1300+360</f>
        <v>1660</v>
      </c>
      <c r="N50" s="202"/>
    </row>
    <row r="51" spans="1:14" s="46" customFormat="1" ht="12.75">
      <c r="A51" s="84"/>
      <c r="B51" s="84"/>
      <c r="C51" s="85">
        <v>4580</v>
      </c>
      <c r="D51" s="88" t="s">
        <v>322</v>
      </c>
      <c r="E51" s="202">
        <f t="shared" si="2"/>
        <v>775</v>
      </c>
      <c r="F51" s="202">
        <f t="shared" si="12"/>
        <v>775</v>
      </c>
      <c r="G51" s="202"/>
      <c r="H51" s="202"/>
      <c r="I51" s="202"/>
      <c r="J51" s="202"/>
      <c r="K51" s="202"/>
      <c r="L51" s="202"/>
      <c r="M51" s="202">
        <v>775</v>
      </c>
      <c r="N51" s="202"/>
    </row>
    <row r="52" spans="1:14" s="46" customFormat="1" ht="25.5">
      <c r="A52" s="84"/>
      <c r="B52" s="84"/>
      <c r="C52" s="85">
        <v>4590</v>
      </c>
      <c r="D52" s="88" t="s">
        <v>323</v>
      </c>
      <c r="E52" s="202">
        <f t="shared" si="2"/>
        <v>142405</v>
      </c>
      <c r="F52" s="202">
        <f t="shared" si="12"/>
        <v>142405</v>
      </c>
      <c r="G52" s="202"/>
      <c r="H52" s="202"/>
      <c r="I52" s="202"/>
      <c r="J52" s="202"/>
      <c r="K52" s="202"/>
      <c r="L52" s="202"/>
      <c r="M52" s="202">
        <f>32576+95937+13892</f>
        <v>142405</v>
      </c>
      <c r="N52" s="202"/>
    </row>
    <row r="53" spans="1:14" s="46" customFormat="1" ht="25.5">
      <c r="A53" s="84"/>
      <c r="B53" s="84"/>
      <c r="C53" s="85">
        <v>4610</v>
      </c>
      <c r="D53" s="88" t="s">
        <v>649</v>
      </c>
      <c r="E53" s="202">
        <f t="shared" si="2"/>
        <v>4000</v>
      </c>
      <c r="F53" s="202">
        <f t="shared" si="12"/>
        <v>4000</v>
      </c>
      <c r="G53" s="202"/>
      <c r="H53" s="202"/>
      <c r="I53" s="202"/>
      <c r="J53" s="202"/>
      <c r="K53" s="202"/>
      <c r="L53" s="202"/>
      <c r="M53" s="202">
        <f>1500-1200+3700</f>
        <v>4000</v>
      </c>
      <c r="N53" s="202"/>
    </row>
    <row r="54" spans="1:14" s="46" customFormat="1" ht="25.5">
      <c r="A54" s="84"/>
      <c r="B54" s="84"/>
      <c r="C54" s="85">
        <v>6060</v>
      </c>
      <c r="D54" s="88" t="s">
        <v>228</v>
      </c>
      <c r="E54" s="202">
        <f t="shared" si="2"/>
        <v>1050000</v>
      </c>
      <c r="F54" s="202">
        <f t="shared" si="12"/>
        <v>0</v>
      </c>
      <c r="G54" s="202"/>
      <c r="H54" s="202"/>
      <c r="I54" s="202"/>
      <c r="J54" s="202"/>
      <c r="K54" s="202"/>
      <c r="L54" s="202"/>
      <c r="M54" s="202"/>
      <c r="N54" s="202">
        <f>1000000+50000</f>
        <v>1050000</v>
      </c>
    </row>
    <row r="55" spans="1:14" s="120" customFormat="1" ht="12.75">
      <c r="A55" s="81">
        <v>710</v>
      </c>
      <c r="B55" s="81"/>
      <c r="C55" s="82"/>
      <c r="D55" s="94" t="s">
        <v>650</v>
      </c>
      <c r="E55" s="214">
        <f t="shared" si="2"/>
        <v>438401</v>
      </c>
      <c r="F55" s="214">
        <f t="shared" si="12"/>
        <v>433765</v>
      </c>
      <c r="G55" s="214">
        <f aca="true" t="shared" si="13" ref="G55:N55">SUM(G56+G58+G61+G83)</f>
        <v>233239</v>
      </c>
      <c r="H55" s="214">
        <f t="shared" si="13"/>
        <v>13100</v>
      </c>
      <c r="I55" s="214">
        <f t="shared" si="13"/>
        <v>45158</v>
      </c>
      <c r="J55" s="214">
        <f t="shared" si="13"/>
        <v>0</v>
      </c>
      <c r="K55" s="214">
        <f t="shared" si="13"/>
        <v>0</v>
      </c>
      <c r="L55" s="214">
        <f t="shared" si="13"/>
        <v>0</v>
      </c>
      <c r="M55" s="214">
        <f t="shared" si="13"/>
        <v>142268</v>
      </c>
      <c r="N55" s="214">
        <f t="shared" si="13"/>
        <v>4636</v>
      </c>
    </row>
    <row r="56" spans="1:14" s="79" customFormat="1" ht="25.5">
      <c r="A56" s="86"/>
      <c r="B56" s="86">
        <v>71013</v>
      </c>
      <c r="C56" s="89"/>
      <c r="D56" s="93" t="s">
        <v>651</v>
      </c>
      <c r="E56" s="215">
        <f t="shared" si="2"/>
        <v>35000</v>
      </c>
      <c r="F56" s="215">
        <f t="shared" si="12"/>
        <v>35000</v>
      </c>
      <c r="G56" s="215">
        <f aca="true" t="shared" si="14" ref="G56:N56">SUM(G57)</f>
        <v>0</v>
      </c>
      <c r="H56" s="215">
        <f t="shared" si="14"/>
        <v>0</v>
      </c>
      <c r="I56" s="215">
        <f t="shared" si="14"/>
        <v>0</v>
      </c>
      <c r="J56" s="215">
        <f t="shared" si="14"/>
        <v>0</v>
      </c>
      <c r="K56" s="215">
        <f t="shared" si="14"/>
        <v>0</v>
      </c>
      <c r="L56" s="215">
        <f t="shared" si="14"/>
        <v>0</v>
      </c>
      <c r="M56" s="215">
        <f t="shared" si="14"/>
        <v>35000</v>
      </c>
      <c r="N56" s="215">
        <f t="shared" si="14"/>
        <v>0</v>
      </c>
    </row>
    <row r="57" spans="1:14" s="46" customFormat="1" ht="12.75">
      <c r="A57" s="84"/>
      <c r="B57" s="84"/>
      <c r="C57" s="85">
        <v>4300</v>
      </c>
      <c r="D57" s="88" t="s">
        <v>612</v>
      </c>
      <c r="E57" s="202">
        <f t="shared" si="2"/>
        <v>35000</v>
      </c>
      <c r="F57" s="202">
        <f t="shared" si="12"/>
        <v>35000</v>
      </c>
      <c r="G57" s="202"/>
      <c r="H57" s="202"/>
      <c r="I57" s="202"/>
      <c r="J57" s="202"/>
      <c r="K57" s="202"/>
      <c r="L57" s="202"/>
      <c r="M57" s="202">
        <f>25000+10000</f>
        <v>35000</v>
      </c>
      <c r="N57" s="202"/>
    </row>
    <row r="58" spans="1:14" s="79" customFormat="1" ht="25.5">
      <c r="A58" s="86"/>
      <c r="B58" s="86">
        <v>71014</v>
      </c>
      <c r="C58" s="89"/>
      <c r="D58" s="93" t="s">
        <v>652</v>
      </c>
      <c r="E58" s="215">
        <f t="shared" si="2"/>
        <v>18628</v>
      </c>
      <c r="F58" s="215">
        <f t="shared" si="12"/>
        <v>18628</v>
      </c>
      <c r="G58" s="215">
        <f>SUM(G59:G60)</f>
        <v>0</v>
      </c>
      <c r="H58" s="215">
        <f aca="true" t="shared" si="15" ref="H58:N58">SUM(H59:H60)</f>
        <v>0</v>
      </c>
      <c r="I58" s="215">
        <f t="shared" si="15"/>
        <v>0</v>
      </c>
      <c r="J58" s="215">
        <f t="shared" si="15"/>
        <v>0</v>
      </c>
      <c r="K58" s="215">
        <f t="shared" si="15"/>
        <v>0</v>
      </c>
      <c r="L58" s="215">
        <f t="shared" si="15"/>
        <v>0</v>
      </c>
      <c r="M58" s="215">
        <f t="shared" si="15"/>
        <v>18628</v>
      </c>
      <c r="N58" s="215">
        <f t="shared" si="15"/>
        <v>0</v>
      </c>
    </row>
    <row r="59" spans="1:14" s="46" customFormat="1" ht="12.75">
      <c r="A59" s="84"/>
      <c r="B59" s="84"/>
      <c r="C59" s="85">
        <v>4300</v>
      </c>
      <c r="D59" s="88" t="s">
        <v>612</v>
      </c>
      <c r="E59" s="202">
        <f t="shared" si="2"/>
        <v>3500</v>
      </c>
      <c r="F59" s="202">
        <f t="shared" si="12"/>
        <v>3500</v>
      </c>
      <c r="G59" s="202"/>
      <c r="H59" s="202"/>
      <c r="I59" s="202"/>
      <c r="J59" s="202"/>
      <c r="K59" s="202"/>
      <c r="L59" s="202"/>
      <c r="M59" s="202">
        <v>3500</v>
      </c>
      <c r="N59" s="202"/>
    </row>
    <row r="60" spans="1:14" s="46" customFormat="1" ht="25.5">
      <c r="A60" s="84"/>
      <c r="B60" s="84"/>
      <c r="C60" s="85">
        <v>4390</v>
      </c>
      <c r="D60" s="88" t="s">
        <v>223</v>
      </c>
      <c r="E60" s="202">
        <f>F60+N60</f>
        <v>15128</v>
      </c>
      <c r="F60" s="202">
        <f t="shared" si="12"/>
        <v>15128</v>
      </c>
      <c r="G60" s="202"/>
      <c r="H60" s="202"/>
      <c r="I60" s="202"/>
      <c r="J60" s="202"/>
      <c r="K60" s="202"/>
      <c r="L60" s="202"/>
      <c r="M60" s="202">
        <v>15128</v>
      </c>
      <c r="N60" s="202"/>
    </row>
    <row r="61" spans="1:14" s="79" customFormat="1" ht="12.75">
      <c r="A61" s="86"/>
      <c r="B61" s="86">
        <v>71015</v>
      </c>
      <c r="C61" s="89"/>
      <c r="D61" s="93" t="s">
        <v>653</v>
      </c>
      <c r="E61" s="215">
        <f t="shared" si="2"/>
        <v>378773</v>
      </c>
      <c r="F61" s="215">
        <f t="shared" si="12"/>
        <v>374137</v>
      </c>
      <c r="G61" s="215">
        <f aca="true" t="shared" si="16" ref="G61:L61">SUM(G62:G82)</f>
        <v>233239</v>
      </c>
      <c r="H61" s="215">
        <f t="shared" si="16"/>
        <v>13100</v>
      </c>
      <c r="I61" s="215">
        <f t="shared" si="16"/>
        <v>45158</v>
      </c>
      <c r="J61" s="215">
        <f t="shared" si="16"/>
        <v>0</v>
      </c>
      <c r="K61" s="215">
        <f t="shared" si="16"/>
        <v>0</v>
      </c>
      <c r="L61" s="215">
        <f t="shared" si="16"/>
        <v>0</v>
      </c>
      <c r="M61" s="215">
        <f>SUM(M62:M82)</f>
        <v>82640</v>
      </c>
      <c r="N61" s="215">
        <f>SUM(N62:N82)</f>
        <v>4636</v>
      </c>
    </row>
    <row r="62" spans="1:14" s="46" customFormat="1" ht="25.5">
      <c r="A62" s="81"/>
      <c r="B62" s="81"/>
      <c r="C62" s="85">
        <v>3020</v>
      </c>
      <c r="D62" s="88" t="s">
        <v>654</v>
      </c>
      <c r="E62" s="202">
        <f t="shared" si="2"/>
        <v>1466</v>
      </c>
      <c r="F62" s="202">
        <f t="shared" si="12"/>
        <v>1466</v>
      </c>
      <c r="G62" s="202"/>
      <c r="H62" s="202"/>
      <c r="I62" s="202"/>
      <c r="J62" s="202"/>
      <c r="K62" s="202"/>
      <c r="L62" s="202"/>
      <c r="M62" s="202">
        <f>13500-13000+966</f>
        <v>1466</v>
      </c>
      <c r="N62" s="202"/>
    </row>
    <row r="63" spans="1:14" s="46" customFormat="1" ht="25.5">
      <c r="A63" s="81"/>
      <c r="B63" s="81"/>
      <c r="C63" s="95">
        <v>4010</v>
      </c>
      <c r="D63" s="88" t="s">
        <v>624</v>
      </c>
      <c r="E63" s="202">
        <f t="shared" si="2"/>
        <v>233239</v>
      </c>
      <c r="F63" s="202">
        <f t="shared" si="12"/>
        <v>233239</v>
      </c>
      <c r="G63" s="202">
        <f>186030+9300+12400+2400+7500+5250+10359</f>
        <v>233239</v>
      </c>
      <c r="H63" s="202"/>
      <c r="I63" s="202"/>
      <c r="J63" s="202"/>
      <c r="K63" s="202"/>
      <c r="L63" s="202"/>
      <c r="M63" s="202"/>
      <c r="N63" s="202"/>
    </row>
    <row r="64" spans="1:14" s="46" customFormat="1" ht="12.75">
      <c r="A64" s="81"/>
      <c r="B64" s="81"/>
      <c r="C64" s="85">
        <v>4040</v>
      </c>
      <c r="D64" s="88" t="s">
        <v>625</v>
      </c>
      <c r="E64" s="202">
        <f t="shared" si="2"/>
        <v>13100</v>
      </c>
      <c r="F64" s="202">
        <f t="shared" si="12"/>
        <v>13100</v>
      </c>
      <c r="G64" s="202"/>
      <c r="H64" s="202">
        <f>12500+600</f>
        <v>13100</v>
      </c>
      <c r="I64" s="202"/>
      <c r="J64" s="202"/>
      <c r="K64" s="202"/>
      <c r="L64" s="202"/>
      <c r="M64" s="202"/>
      <c r="N64" s="202"/>
    </row>
    <row r="65" spans="1:14" s="46" customFormat="1" ht="12.75">
      <c r="A65" s="81"/>
      <c r="B65" s="81"/>
      <c r="C65" s="85">
        <v>4110</v>
      </c>
      <c r="D65" s="88" t="s">
        <v>626</v>
      </c>
      <c r="E65" s="202">
        <f t="shared" si="2"/>
        <v>39624</v>
      </c>
      <c r="F65" s="202">
        <f t="shared" si="12"/>
        <v>39624</v>
      </c>
      <c r="G65" s="202"/>
      <c r="H65" s="202"/>
      <c r="I65" s="202">
        <f>34030+1680+1500+919+1495</f>
        <v>39624</v>
      </c>
      <c r="J65" s="202"/>
      <c r="K65" s="202"/>
      <c r="L65" s="202"/>
      <c r="M65" s="202"/>
      <c r="N65" s="202"/>
    </row>
    <row r="66" spans="1:14" s="46" customFormat="1" ht="12.75">
      <c r="A66" s="81"/>
      <c r="B66" s="81"/>
      <c r="C66" s="85">
        <v>4120</v>
      </c>
      <c r="D66" s="88" t="s">
        <v>627</v>
      </c>
      <c r="E66" s="202">
        <f t="shared" si="2"/>
        <v>5534</v>
      </c>
      <c r="F66" s="202">
        <f t="shared" si="12"/>
        <v>5534</v>
      </c>
      <c r="G66" s="202"/>
      <c r="H66" s="202"/>
      <c r="I66" s="202">
        <f>4750+230+129+425</f>
        <v>5534</v>
      </c>
      <c r="J66" s="202"/>
      <c r="K66" s="202"/>
      <c r="L66" s="202"/>
      <c r="M66" s="202"/>
      <c r="N66" s="202"/>
    </row>
    <row r="67" spans="1:14" s="46" customFormat="1" ht="12.75">
      <c r="A67" s="97"/>
      <c r="B67" s="81"/>
      <c r="C67" s="85">
        <v>4170</v>
      </c>
      <c r="D67" s="88" t="s">
        <v>655</v>
      </c>
      <c r="E67" s="202">
        <f t="shared" si="2"/>
        <v>1600</v>
      </c>
      <c r="F67" s="202">
        <f t="shared" si="12"/>
        <v>1600</v>
      </c>
      <c r="G67" s="202"/>
      <c r="H67" s="202"/>
      <c r="I67" s="202"/>
      <c r="J67" s="202"/>
      <c r="K67" s="202"/>
      <c r="L67" s="202"/>
      <c r="M67" s="202">
        <v>1600</v>
      </c>
      <c r="N67" s="202"/>
    </row>
    <row r="68" spans="1:14" s="46" customFormat="1" ht="12.75">
      <c r="A68" s="81"/>
      <c r="B68" s="81"/>
      <c r="C68" s="85">
        <v>4210</v>
      </c>
      <c r="D68" s="88" t="s">
        <v>629</v>
      </c>
      <c r="E68" s="202">
        <f t="shared" si="2"/>
        <v>17517</v>
      </c>
      <c r="F68" s="202">
        <f t="shared" si="12"/>
        <v>17517</v>
      </c>
      <c r="G68" s="202"/>
      <c r="H68" s="202"/>
      <c r="I68" s="202"/>
      <c r="J68" s="202"/>
      <c r="K68" s="202"/>
      <c r="L68" s="202"/>
      <c r="M68" s="202">
        <f>15080-4636+2300+4773</f>
        <v>17517</v>
      </c>
      <c r="N68" s="202"/>
    </row>
    <row r="69" spans="1:14" s="46" customFormat="1" ht="12.75">
      <c r="A69" s="81"/>
      <c r="B69" s="81"/>
      <c r="C69" s="85">
        <v>4260</v>
      </c>
      <c r="D69" s="88" t="s">
        <v>630</v>
      </c>
      <c r="E69" s="202">
        <f t="shared" si="2"/>
        <v>3970</v>
      </c>
      <c r="F69" s="202">
        <f t="shared" si="12"/>
        <v>3970</v>
      </c>
      <c r="G69" s="202"/>
      <c r="H69" s="202"/>
      <c r="I69" s="202"/>
      <c r="J69" s="202"/>
      <c r="K69" s="202"/>
      <c r="L69" s="202"/>
      <c r="M69" s="202">
        <v>3970</v>
      </c>
      <c r="N69" s="202"/>
    </row>
    <row r="70" spans="1:14" s="46" customFormat="1" ht="12.75">
      <c r="A70" s="81"/>
      <c r="B70" s="81"/>
      <c r="C70" s="85">
        <v>4270</v>
      </c>
      <c r="D70" s="88" t="s">
        <v>648</v>
      </c>
      <c r="E70" s="202">
        <f t="shared" si="2"/>
        <v>1141</v>
      </c>
      <c r="F70" s="202">
        <f t="shared" si="12"/>
        <v>1141</v>
      </c>
      <c r="G70" s="202"/>
      <c r="H70" s="202"/>
      <c r="I70" s="202"/>
      <c r="J70" s="202"/>
      <c r="K70" s="202"/>
      <c r="L70" s="202"/>
      <c r="M70" s="202">
        <f>1550-409</f>
        <v>1141</v>
      </c>
      <c r="N70" s="202"/>
    </row>
    <row r="71" spans="1:14" s="46" customFormat="1" ht="12.75">
      <c r="A71" s="81"/>
      <c r="B71" s="81"/>
      <c r="C71" s="85">
        <v>4280</v>
      </c>
      <c r="D71" s="88" t="s">
        <v>656</v>
      </c>
      <c r="E71" s="202">
        <f t="shared" si="2"/>
        <v>46</v>
      </c>
      <c r="F71" s="202">
        <f t="shared" si="12"/>
        <v>46</v>
      </c>
      <c r="G71" s="202"/>
      <c r="H71" s="202"/>
      <c r="I71" s="202"/>
      <c r="J71" s="202"/>
      <c r="K71" s="202"/>
      <c r="L71" s="202"/>
      <c r="M71" s="202">
        <f>200-154</f>
        <v>46</v>
      </c>
      <c r="N71" s="202"/>
    </row>
    <row r="72" spans="1:14" s="46" customFormat="1" ht="12.75">
      <c r="A72" s="81"/>
      <c r="B72" s="81"/>
      <c r="C72" s="85">
        <v>4300</v>
      </c>
      <c r="D72" s="88" t="s">
        <v>657</v>
      </c>
      <c r="E72" s="202">
        <f t="shared" si="2"/>
        <v>14360</v>
      </c>
      <c r="F72" s="202">
        <f t="shared" si="12"/>
        <v>14360</v>
      </c>
      <c r="G72" s="202"/>
      <c r="H72" s="202"/>
      <c r="I72" s="202"/>
      <c r="J72" s="202"/>
      <c r="K72" s="202"/>
      <c r="L72" s="202"/>
      <c r="M72" s="202">
        <f>13560+800</f>
        <v>14360</v>
      </c>
      <c r="N72" s="202"/>
    </row>
    <row r="73" spans="1:14" s="46" customFormat="1" ht="38.25">
      <c r="A73" s="81"/>
      <c r="B73" s="81"/>
      <c r="C73" s="85">
        <v>4360</v>
      </c>
      <c r="D73" s="88" t="s">
        <v>224</v>
      </c>
      <c r="E73" s="202">
        <f t="shared" si="2"/>
        <v>1340</v>
      </c>
      <c r="F73" s="202">
        <f t="shared" si="12"/>
        <v>1340</v>
      </c>
      <c r="G73" s="202"/>
      <c r="H73" s="202"/>
      <c r="I73" s="202"/>
      <c r="J73" s="202"/>
      <c r="K73" s="202"/>
      <c r="L73" s="202"/>
      <c r="M73" s="202">
        <f>490+300+550</f>
        <v>1340</v>
      </c>
      <c r="N73" s="202"/>
    </row>
    <row r="74" spans="1:14" s="46" customFormat="1" ht="25.5">
      <c r="A74" s="81"/>
      <c r="B74" s="81"/>
      <c r="C74" s="85">
        <v>4370</v>
      </c>
      <c r="D74" s="88" t="s">
        <v>225</v>
      </c>
      <c r="E74" s="202">
        <f aca="true" t="shared" si="17" ref="E74:E146">F74+N74</f>
        <v>5480</v>
      </c>
      <c r="F74" s="202">
        <f aca="true" t="shared" si="18" ref="F74:F146">SUM(G74:M74)</f>
        <v>5480</v>
      </c>
      <c r="G74" s="202"/>
      <c r="H74" s="202"/>
      <c r="I74" s="202"/>
      <c r="J74" s="202"/>
      <c r="K74" s="202"/>
      <c r="L74" s="202"/>
      <c r="M74" s="202">
        <f>5690-210</f>
        <v>5480</v>
      </c>
      <c r="N74" s="202"/>
    </row>
    <row r="75" spans="1:14" s="46" customFormat="1" ht="38.25">
      <c r="A75" s="81"/>
      <c r="B75" s="81"/>
      <c r="C75" s="85">
        <v>4400</v>
      </c>
      <c r="D75" s="88" t="s">
        <v>377</v>
      </c>
      <c r="E75" s="202">
        <f t="shared" si="17"/>
        <v>18580</v>
      </c>
      <c r="F75" s="202">
        <f t="shared" si="18"/>
        <v>18580</v>
      </c>
      <c r="G75" s="202"/>
      <c r="H75" s="202"/>
      <c r="I75" s="202"/>
      <c r="J75" s="202"/>
      <c r="K75" s="202"/>
      <c r="L75" s="202"/>
      <c r="M75" s="202">
        <v>18580</v>
      </c>
      <c r="N75" s="202"/>
    </row>
    <row r="76" spans="1:14" s="46" customFormat="1" ht="12.75">
      <c r="A76" s="81"/>
      <c r="B76" s="81"/>
      <c r="C76" s="85">
        <v>4410</v>
      </c>
      <c r="D76" s="88" t="s">
        <v>639</v>
      </c>
      <c r="E76" s="202">
        <f t="shared" si="17"/>
        <v>130</v>
      </c>
      <c r="F76" s="202">
        <f t="shared" si="18"/>
        <v>130</v>
      </c>
      <c r="G76" s="202"/>
      <c r="H76" s="202"/>
      <c r="I76" s="202"/>
      <c r="J76" s="202"/>
      <c r="K76" s="202"/>
      <c r="L76" s="202"/>
      <c r="M76" s="202">
        <f>500-270-100</f>
        <v>130</v>
      </c>
      <c r="N76" s="202"/>
    </row>
    <row r="77" spans="1:14" s="46" customFormat="1" ht="12.75">
      <c r="A77" s="81"/>
      <c r="B77" s="81"/>
      <c r="C77" s="85">
        <v>4430</v>
      </c>
      <c r="D77" s="88" t="s">
        <v>640</v>
      </c>
      <c r="E77" s="202">
        <f t="shared" si="17"/>
        <v>1940</v>
      </c>
      <c r="F77" s="202">
        <f t="shared" si="18"/>
        <v>1940</v>
      </c>
      <c r="G77" s="202"/>
      <c r="H77" s="202"/>
      <c r="I77" s="202"/>
      <c r="J77" s="202"/>
      <c r="K77" s="202"/>
      <c r="L77" s="202"/>
      <c r="M77" s="202">
        <v>1940</v>
      </c>
      <c r="N77" s="202"/>
    </row>
    <row r="78" spans="1:14" s="46" customFormat="1" ht="25.5">
      <c r="A78" s="81"/>
      <c r="B78" s="81"/>
      <c r="C78" s="85">
        <v>4440</v>
      </c>
      <c r="D78" s="88" t="s">
        <v>641</v>
      </c>
      <c r="E78" s="202">
        <f t="shared" si="17"/>
        <v>6840</v>
      </c>
      <c r="F78" s="202">
        <f t="shared" si="18"/>
        <v>6840</v>
      </c>
      <c r="G78" s="202"/>
      <c r="H78" s="202"/>
      <c r="I78" s="202"/>
      <c r="J78" s="202"/>
      <c r="K78" s="202"/>
      <c r="L78" s="202"/>
      <c r="M78" s="202">
        <f>6240+600</f>
        <v>6840</v>
      </c>
      <c r="N78" s="202"/>
    </row>
    <row r="79" spans="1:14" s="46" customFormat="1" ht="38.25">
      <c r="A79" s="81"/>
      <c r="B79" s="81"/>
      <c r="C79" s="85">
        <v>4700</v>
      </c>
      <c r="D79" s="88" t="s">
        <v>226</v>
      </c>
      <c r="E79" s="202">
        <f t="shared" si="17"/>
        <v>120</v>
      </c>
      <c r="F79" s="202">
        <f t="shared" si="18"/>
        <v>120</v>
      </c>
      <c r="G79" s="202"/>
      <c r="H79" s="202"/>
      <c r="I79" s="202"/>
      <c r="J79" s="202"/>
      <c r="K79" s="202"/>
      <c r="L79" s="202"/>
      <c r="M79" s="202">
        <f>1000-300-580</f>
        <v>120</v>
      </c>
      <c r="N79" s="202"/>
    </row>
    <row r="80" spans="1:14" s="46" customFormat="1" ht="38.25">
      <c r="A80" s="81"/>
      <c r="B80" s="81"/>
      <c r="C80" s="85">
        <v>4740</v>
      </c>
      <c r="D80" s="88" t="s">
        <v>658</v>
      </c>
      <c r="E80" s="202">
        <f t="shared" si="17"/>
        <v>1520</v>
      </c>
      <c r="F80" s="202">
        <f t="shared" si="18"/>
        <v>1520</v>
      </c>
      <c r="G80" s="202"/>
      <c r="H80" s="202"/>
      <c r="I80" s="202"/>
      <c r="J80" s="202"/>
      <c r="K80" s="202"/>
      <c r="L80" s="202"/>
      <c r="M80" s="202">
        <f>920+600</f>
        <v>1520</v>
      </c>
      <c r="N80" s="202"/>
    </row>
    <row r="81" spans="1:14" s="46" customFormat="1" ht="25.5">
      <c r="A81" s="81"/>
      <c r="B81" s="81"/>
      <c r="C81" s="85">
        <v>4750</v>
      </c>
      <c r="D81" s="88" t="s">
        <v>659</v>
      </c>
      <c r="E81" s="202">
        <f t="shared" si="17"/>
        <v>6590</v>
      </c>
      <c r="F81" s="202">
        <f t="shared" si="18"/>
        <v>6590</v>
      </c>
      <c r="G81" s="202"/>
      <c r="H81" s="202"/>
      <c r="I81" s="202"/>
      <c r="J81" s="202"/>
      <c r="K81" s="202"/>
      <c r="L81" s="202"/>
      <c r="M81" s="202">
        <v>6590</v>
      </c>
      <c r="N81" s="202"/>
    </row>
    <row r="82" spans="1:14" s="46" customFormat="1" ht="25.5">
      <c r="A82" s="81"/>
      <c r="B82" s="81"/>
      <c r="C82" s="85">
        <v>6060</v>
      </c>
      <c r="D82" s="96" t="s">
        <v>228</v>
      </c>
      <c r="E82" s="202">
        <f>F82+N82</f>
        <v>4636</v>
      </c>
      <c r="F82" s="202">
        <f>SUM(G82:M82)</f>
        <v>0</v>
      </c>
      <c r="G82" s="202"/>
      <c r="H82" s="202"/>
      <c r="I82" s="202"/>
      <c r="J82" s="202"/>
      <c r="K82" s="202"/>
      <c r="L82" s="202"/>
      <c r="M82" s="202"/>
      <c r="N82" s="202">
        <v>4636</v>
      </c>
    </row>
    <row r="83" spans="1:14" s="79" customFormat="1" ht="12.75">
      <c r="A83" s="86"/>
      <c r="B83" s="86">
        <v>71095</v>
      </c>
      <c r="C83" s="89"/>
      <c r="D83" s="93" t="s">
        <v>660</v>
      </c>
      <c r="E83" s="215">
        <f t="shared" si="17"/>
        <v>6000</v>
      </c>
      <c r="F83" s="215">
        <f t="shared" si="18"/>
        <v>6000</v>
      </c>
      <c r="G83" s="215">
        <f>SUM(G84:G84)</f>
        <v>0</v>
      </c>
      <c r="H83" s="215">
        <f aca="true" t="shared" si="19" ref="H83:N83">SUM(H84:H84)</f>
        <v>0</v>
      </c>
      <c r="I83" s="215">
        <f t="shared" si="19"/>
        <v>0</v>
      </c>
      <c r="J83" s="215">
        <f t="shared" si="19"/>
        <v>0</v>
      </c>
      <c r="K83" s="215">
        <f t="shared" si="19"/>
        <v>0</v>
      </c>
      <c r="L83" s="215">
        <f t="shared" si="19"/>
        <v>0</v>
      </c>
      <c r="M83" s="215">
        <f t="shared" si="19"/>
        <v>6000</v>
      </c>
      <c r="N83" s="215">
        <f t="shared" si="19"/>
        <v>0</v>
      </c>
    </row>
    <row r="84" spans="1:14" s="46" customFormat="1" ht="12.75">
      <c r="A84" s="84"/>
      <c r="B84" s="84"/>
      <c r="C84" s="85">
        <v>4300</v>
      </c>
      <c r="D84" s="88" t="s">
        <v>612</v>
      </c>
      <c r="E84" s="202">
        <f t="shared" si="17"/>
        <v>6000</v>
      </c>
      <c r="F84" s="202">
        <f t="shared" si="18"/>
        <v>6000</v>
      </c>
      <c r="G84" s="202"/>
      <c r="H84" s="202"/>
      <c r="I84" s="202"/>
      <c r="J84" s="202"/>
      <c r="K84" s="202"/>
      <c r="L84" s="202"/>
      <c r="M84" s="202">
        <v>6000</v>
      </c>
      <c r="N84" s="202"/>
    </row>
    <row r="85" spans="1:14" s="120" customFormat="1" ht="12.75">
      <c r="A85" s="98">
        <v>750</v>
      </c>
      <c r="B85" s="98"/>
      <c r="C85" s="98"/>
      <c r="D85" s="99" t="s">
        <v>661</v>
      </c>
      <c r="E85" s="214">
        <f t="shared" si="17"/>
        <v>6332593</v>
      </c>
      <c r="F85" s="214">
        <f t="shared" si="18"/>
        <v>6075380</v>
      </c>
      <c r="G85" s="214">
        <f aca="true" t="shared" si="20" ref="G85:N85">SUM(G86+G95+G104+G137+G150)</f>
        <v>2800790</v>
      </c>
      <c r="H85" s="214">
        <f t="shared" si="20"/>
        <v>196065</v>
      </c>
      <c r="I85" s="214">
        <f t="shared" si="20"/>
        <v>548702</v>
      </c>
      <c r="J85" s="214">
        <f t="shared" si="20"/>
        <v>0</v>
      </c>
      <c r="K85" s="214">
        <f t="shared" si="20"/>
        <v>0</v>
      </c>
      <c r="L85" s="214">
        <f t="shared" si="20"/>
        <v>0</v>
      </c>
      <c r="M85" s="214">
        <f t="shared" si="20"/>
        <v>2529823</v>
      </c>
      <c r="N85" s="214">
        <f t="shared" si="20"/>
        <v>257213</v>
      </c>
    </row>
    <row r="86" spans="1:14" s="79" customFormat="1" ht="12.75">
      <c r="A86" s="66"/>
      <c r="B86" s="66">
        <v>75011</v>
      </c>
      <c r="C86" s="66"/>
      <c r="D86" s="100" t="s">
        <v>662</v>
      </c>
      <c r="E86" s="215">
        <f t="shared" si="17"/>
        <v>395541</v>
      </c>
      <c r="F86" s="215">
        <f t="shared" si="18"/>
        <v>395541</v>
      </c>
      <c r="G86" s="215">
        <f>SUM(G87:G94)</f>
        <v>306500</v>
      </c>
      <c r="H86" s="215">
        <f aca="true" t="shared" si="21" ref="H86:N86">SUM(H87:H94)</f>
        <v>18834</v>
      </c>
      <c r="I86" s="215">
        <f t="shared" si="21"/>
        <v>59770</v>
      </c>
      <c r="J86" s="215">
        <f t="shared" si="21"/>
        <v>0</v>
      </c>
      <c r="K86" s="215">
        <f t="shared" si="21"/>
        <v>0</v>
      </c>
      <c r="L86" s="215">
        <f t="shared" si="21"/>
        <v>0</v>
      </c>
      <c r="M86" s="215">
        <f t="shared" si="21"/>
        <v>10437</v>
      </c>
      <c r="N86" s="215">
        <f t="shared" si="21"/>
        <v>0</v>
      </c>
    </row>
    <row r="87" spans="1:14" s="46" customFormat="1" ht="25.5">
      <c r="A87" s="81"/>
      <c r="B87" s="81"/>
      <c r="C87" s="85">
        <v>3020</v>
      </c>
      <c r="D87" s="88" t="s">
        <v>654</v>
      </c>
      <c r="E87" s="202">
        <f t="shared" si="17"/>
        <v>300</v>
      </c>
      <c r="F87" s="202">
        <f t="shared" si="18"/>
        <v>300</v>
      </c>
      <c r="G87" s="202"/>
      <c r="H87" s="202"/>
      <c r="I87" s="202"/>
      <c r="J87" s="202"/>
      <c r="K87" s="202"/>
      <c r="L87" s="202"/>
      <c r="M87" s="202">
        <v>300</v>
      </c>
      <c r="N87" s="202"/>
    </row>
    <row r="88" spans="1:14" s="46" customFormat="1" ht="25.5">
      <c r="A88" s="81"/>
      <c r="B88" s="81"/>
      <c r="C88" s="95">
        <v>4010</v>
      </c>
      <c r="D88" s="88" t="s">
        <v>624</v>
      </c>
      <c r="E88" s="202">
        <f t="shared" si="17"/>
        <v>306500</v>
      </c>
      <c r="F88" s="202">
        <f t="shared" si="18"/>
        <v>306500</v>
      </c>
      <c r="G88" s="202">
        <f>258000+12900+35600</f>
        <v>306500</v>
      </c>
      <c r="H88" s="202"/>
      <c r="I88" s="202"/>
      <c r="J88" s="202"/>
      <c r="K88" s="202"/>
      <c r="L88" s="202"/>
      <c r="M88" s="202"/>
      <c r="N88" s="202"/>
    </row>
    <row r="89" spans="1:14" s="46" customFormat="1" ht="12.75">
      <c r="A89" s="81"/>
      <c r="B89" s="81"/>
      <c r="C89" s="85">
        <v>4040</v>
      </c>
      <c r="D89" s="88" t="s">
        <v>625</v>
      </c>
      <c r="E89" s="202">
        <f t="shared" si="17"/>
        <v>18834</v>
      </c>
      <c r="F89" s="202">
        <f t="shared" si="18"/>
        <v>18834</v>
      </c>
      <c r="G89" s="202"/>
      <c r="H89" s="202">
        <f>20500-1666</f>
        <v>18834</v>
      </c>
      <c r="I89" s="202"/>
      <c r="J89" s="202"/>
      <c r="K89" s="202"/>
      <c r="L89" s="202"/>
      <c r="M89" s="202"/>
      <c r="N89" s="202"/>
    </row>
    <row r="90" spans="1:14" s="46" customFormat="1" ht="12.75">
      <c r="A90" s="81"/>
      <c r="B90" s="81"/>
      <c r="C90" s="85">
        <v>4110</v>
      </c>
      <c r="D90" s="88" t="s">
        <v>626</v>
      </c>
      <c r="E90" s="202">
        <f t="shared" si="17"/>
        <v>52300</v>
      </c>
      <c r="F90" s="202">
        <f t="shared" si="18"/>
        <v>52300</v>
      </c>
      <c r="G90" s="202"/>
      <c r="H90" s="202"/>
      <c r="I90" s="202">
        <f>45300+2210+4790</f>
        <v>52300</v>
      </c>
      <c r="J90" s="202"/>
      <c r="K90" s="202"/>
      <c r="L90" s="202"/>
      <c r="M90" s="202"/>
      <c r="N90" s="202"/>
    </row>
    <row r="91" spans="1:14" s="46" customFormat="1" ht="12.75">
      <c r="A91" s="81"/>
      <c r="B91" s="81"/>
      <c r="C91" s="85">
        <v>4120</v>
      </c>
      <c r="D91" s="88" t="s">
        <v>627</v>
      </c>
      <c r="E91" s="202">
        <f t="shared" si="17"/>
        <v>7470</v>
      </c>
      <c r="F91" s="202">
        <f t="shared" si="18"/>
        <v>7470</v>
      </c>
      <c r="G91" s="202"/>
      <c r="H91" s="202"/>
      <c r="I91" s="202">
        <f>6500+320+650</f>
        <v>7470</v>
      </c>
      <c r="J91" s="202"/>
      <c r="K91" s="202"/>
      <c r="L91" s="202"/>
      <c r="M91" s="202"/>
      <c r="N91" s="202"/>
    </row>
    <row r="92" spans="1:14" s="46" customFormat="1" ht="12.75">
      <c r="A92" s="81"/>
      <c r="B92" s="81"/>
      <c r="C92" s="85">
        <v>4280</v>
      </c>
      <c r="D92" s="88" t="s">
        <v>663</v>
      </c>
      <c r="E92" s="202">
        <f t="shared" si="17"/>
        <v>200</v>
      </c>
      <c r="F92" s="202">
        <f t="shared" si="18"/>
        <v>200</v>
      </c>
      <c r="G92" s="202"/>
      <c r="H92" s="202"/>
      <c r="I92" s="202"/>
      <c r="J92" s="202"/>
      <c r="K92" s="202"/>
      <c r="L92" s="202"/>
      <c r="M92" s="202">
        <v>200</v>
      </c>
      <c r="N92" s="202"/>
    </row>
    <row r="93" spans="1:14" s="46" customFormat="1" ht="12.75">
      <c r="A93" s="81"/>
      <c r="B93" s="81"/>
      <c r="C93" s="85">
        <v>4410</v>
      </c>
      <c r="D93" s="88" t="s">
        <v>639</v>
      </c>
      <c r="E93" s="202">
        <f t="shared" si="17"/>
        <v>3500</v>
      </c>
      <c r="F93" s="202">
        <f t="shared" si="18"/>
        <v>3500</v>
      </c>
      <c r="G93" s="202"/>
      <c r="H93" s="202"/>
      <c r="I93" s="202"/>
      <c r="J93" s="202"/>
      <c r="K93" s="202"/>
      <c r="L93" s="202"/>
      <c r="M93" s="202">
        <v>3500</v>
      </c>
      <c r="N93" s="202"/>
    </row>
    <row r="94" spans="1:14" s="46" customFormat="1" ht="25.5">
      <c r="A94" s="81"/>
      <c r="B94" s="81"/>
      <c r="C94" s="85">
        <v>4440</v>
      </c>
      <c r="D94" s="88" t="s">
        <v>641</v>
      </c>
      <c r="E94" s="202">
        <f t="shared" si="17"/>
        <v>6437</v>
      </c>
      <c r="F94" s="202">
        <f t="shared" si="18"/>
        <v>6437</v>
      </c>
      <c r="G94" s="202"/>
      <c r="H94" s="202"/>
      <c r="I94" s="202"/>
      <c r="J94" s="202"/>
      <c r="K94" s="202"/>
      <c r="L94" s="202"/>
      <c r="M94" s="202">
        <f>6230+207</f>
        <v>6437</v>
      </c>
      <c r="N94" s="202"/>
    </row>
    <row r="95" spans="1:14" s="79" customFormat="1" ht="12.75">
      <c r="A95" s="86"/>
      <c r="B95" s="86">
        <v>75019</v>
      </c>
      <c r="C95" s="89"/>
      <c r="D95" s="93" t="s">
        <v>664</v>
      </c>
      <c r="E95" s="215">
        <f t="shared" si="17"/>
        <v>383800</v>
      </c>
      <c r="F95" s="215">
        <f t="shared" si="18"/>
        <v>383800</v>
      </c>
      <c r="G95" s="215">
        <f aca="true" t="shared" si="22" ref="G95:M95">SUM(G96:G103)</f>
        <v>0</v>
      </c>
      <c r="H95" s="215">
        <f t="shared" si="22"/>
        <v>0</v>
      </c>
      <c r="I95" s="215">
        <f t="shared" si="22"/>
        <v>0</v>
      </c>
      <c r="J95" s="215">
        <f t="shared" si="22"/>
        <v>0</v>
      </c>
      <c r="K95" s="215">
        <f t="shared" si="22"/>
        <v>0</v>
      </c>
      <c r="L95" s="215">
        <f t="shared" si="22"/>
        <v>0</v>
      </c>
      <c r="M95" s="215">
        <f t="shared" si="22"/>
        <v>383800</v>
      </c>
      <c r="N95" s="215">
        <f>SUM(N96:N102)</f>
        <v>0</v>
      </c>
    </row>
    <row r="96" spans="1:14" s="46" customFormat="1" ht="25.5">
      <c r="A96" s="84"/>
      <c r="B96" s="84"/>
      <c r="C96" s="85">
        <v>3030</v>
      </c>
      <c r="D96" s="88" t="s">
        <v>665</v>
      </c>
      <c r="E96" s="202">
        <f t="shared" si="17"/>
        <v>354010</v>
      </c>
      <c r="F96" s="202">
        <f t="shared" si="18"/>
        <v>354010</v>
      </c>
      <c r="G96" s="202"/>
      <c r="H96" s="202"/>
      <c r="I96" s="202"/>
      <c r="J96" s="202"/>
      <c r="K96" s="202"/>
      <c r="L96" s="202"/>
      <c r="M96" s="202">
        <f>354400-390</f>
        <v>354010</v>
      </c>
      <c r="N96" s="202"/>
    </row>
    <row r="97" spans="1:14" s="46" customFormat="1" ht="12.75">
      <c r="A97" s="84"/>
      <c r="B97" s="84"/>
      <c r="C97" s="85">
        <v>4300</v>
      </c>
      <c r="D97" s="88" t="s">
        <v>666</v>
      </c>
      <c r="E97" s="202">
        <f t="shared" si="17"/>
        <v>5200</v>
      </c>
      <c r="F97" s="202">
        <f t="shared" si="18"/>
        <v>5200</v>
      </c>
      <c r="G97" s="202"/>
      <c r="H97" s="202"/>
      <c r="I97" s="202"/>
      <c r="J97" s="202"/>
      <c r="K97" s="202"/>
      <c r="L97" s="202"/>
      <c r="M97" s="202">
        <f>3700-1500+3000</f>
        <v>5200</v>
      </c>
      <c r="N97" s="202"/>
    </row>
    <row r="98" spans="1:14" s="46" customFormat="1" ht="25.5">
      <c r="A98" s="84"/>
      <c r="B98" s="84"/>
      <c r="C98" s="85">
        <v>4360</v>
      </c>
      <c r="D98" s="88" t="s">
        <v>329</v>
      </c>
      <c r="E98" s="202">
        <f>F98+N98</f>
        <v>6900</v>
      </c>
      <c r="F98" s="202">
        <f>SUM(G98:M98)</f>
        <v>6900</v>
      </c>
      <c r="G98" s="202"/>
      <c r="H98" s="202"/>
      <c r="I98" s="202"/>
      <c r="J98" s="202"/>
      <c r="K98" s="202"/>
      <c r="L98" s="202"/>
      <c r="M98" s="202">
        <f>6000+900</f>
        <v>6900</v>
      </c>
      <c r="N98" s="202"/>
    </row>
    <row r="99" spans="1:14" s="46" customFormat="1" ht="25.5">
      <c r="A99" s="84"/>
      <c r="B99" s="84"/>
      <c r="C99" s="85">
        <v>4370</v>
      </c>
      <c r="D99" s="88" t="s">
        <v>225</v>
      </c>
      <c r="E99" s="202">
        <f t="shared" si="17"/>
        <v>0</v>
      </c>
      <c r="F99" s="202">
        <f t="shared" si="18"/>
        <v>0</v>
      </c>
      <c r="G99" s="202"/>
      <c r="H99" s="202"/>
      <c r="I99" s="202"/>
      <c r="J99" s="202"/>
      <c r="K99" s="202"/>
      <c r="L99" s="202"/>
      <c r="M99" s="202">
        <f>6000-6000</f>
        <v>0</v>
      </c>
      <c r="N99" s="202"/>
    </row>
    <row r="100" spans="1:14" s="46" customFormat="1" ht="12.75">
      <c r="A100" s="84"/>
      <c r="B100" s="84"/>
      <c r="C100" s="85">
        <v>4210</v>
      </c>
      <c r="D100" s="88" t="s">
        <v>629</v>
      </c>
      <c r="E100" s="202">
        <f t="shared" si="17"/>
        <v>4700</v>
      </c>
      <c r="F100" s="202">
        <f t="shared" si="18"/>
        <v>4700</v>
      </c>
      <c r="G100" s="202"/>
      <c r="H100" s="202"/>
      <c r="I100" s="202"/>
      <c r="J100" s="202"/>
      <c r="K100" s="202"/>
      <c r="L100" s="202"/>
      <c r="M100" s="202">
        <v>4700</v>
      </c>
      <c r="N100" s="202"/>
    </row>
    <row r="101" spans="1:14" s="46" customFormat="1" ht="38.25">
      <c r="A101" s="84"/>
      <c r="B101" s="84"/>
      <c r="C101" s="85">
        <v>4400</v>
      </c>
      <c r="D101" s="88" t="s">
        <v>377</v>
      </c>
      <c r="E101" s="202">
        <f t="shared" si="17"/>
        <v>2000</v>
      </c>
      <c r="F101" s="202">
        <f t="shared" si="18"/>
        <v>2000</v>
      </c>
      <c r="G101" s="202"/>
      <c r="H101" s="202"/>
      <c r="I101" s="202"/>
      <c r="J101" s="202"/>
      <c r="K101" s="202"/>
      <c r="L101" s="202"/>
      <c r="M101" s="202">
        <f>1500+500</f>
        <v>2000</v>
      </c>
      <c r="N101" s="202"/>
    </row>
    <row r="102" spans="1:14" s="46" customFormat="1" ht="12.75">
      <c r="A102" s="84"/>
      <c r="B102" s="84"/>
      <c r="C102" s="85">
        <v>4410</v>
      </c>
      <c r="D102" s="88" t="s">
        <v>639</v>
      </c>
      <c r="E102" s="202">
        <f t="shared" si="17"/>
        <v>5000</v>
      </c>
      <c r="F102" s="202">
        <f t="shared" si="18"/>
        <v>5000</v>
      </c>
      <c r="G102" s="202"/>
      <c r="H102" s="202"/>
      <c r="I102" s="202"/>
      <c r="J102" s="202"/>
      <c r="K102" s="202"/>
      <c r="L102" s="202"/>
      <c r="M102" s="202">
        <v>5000</v>
      </c>
      <c r="N102" s="202"/>
    </row>
    <row r="103" spans="1:14" s="46" customFormat="1" ht="38.25">
      <c r="A103" s="84"/>
      <c r="B103" s="84"/>
      <c r="C103" s="85">
        <v>4700</v>
      </c>
      <c r="D103" s="88" t="s">
        <v>226</v>
      </c>
      <c r="E103" s="202">
        <f t="shared" si="17"/>
        <v>5990</v>
      </c>
      <c r="F103" s="202">
        <f t="shared" si="18"/>
        <v>5990</v>
      </c>
      <c r="G103" s="202"/>
      <c r="H103" s="202"/>
      <c r="I103" s="202"/>
      <c r="J103" s="202"/>
      <c r="K103" s="202"/>
      <c r="L103" s="202"/>
      <c r="M103" s="202">
        <f>10000-510-3500</f>
        <v>5990</v>
      </c>
      <c r="N103" s="202"/>
    </row>
    <row r="104" spans="1:14" s="79" customFormat="1" ht="12.75">
      <c r="A104" s="86"/>
      <c r="B104" s="86">
        <v>75020</v>
      </c>
      <c r="C104" s="89"/>
      <c r="D104" s="93" t="s">
        <v>667</v>
      </c>
      <c r="E104" s="215">
        <f t="shared" si="17"/>
        <v>5465092</v>
      </c>
      <c r="F104" s="215">
        <f t="shared" si="18"/>
        <v>5207879</v>
      </c>
      <c r="G104" s="215">
        <f aca="true" t="shared" si="23" ref="G104:N104">SUM(G105:G136)</f>
        <v>2494290</v>
      </c>
      <c r="H104" s="215">
        <f t="shared" si="23"/>
        <v>177231</v>
      </c>
      <c r="I104" s="215">
        <f t="shared" si="23"/>
        <v>488235</v>
      </c>
      <c r="J104" s="215">
        <f t="shared" si="23"/>
        <v>0</v>
      </c>
      <c r="K104" s="215">
        <f t="shared" si="23"/>
        <v>0</v>
      </c>
      <c r="L104" s="215">
        <f t="shared" si="23"/>
        <v>0</v>
      </c>
      <c r="M104" s="215">
        <f t="shared" si="23"/>
        <v>2048123</v>
      </c>
      <c r="N104" s="215">
        <f t="shared" si="23"/>
        <v>257213</v>
      </c>
    </row>
    <row r="105" spans="1:14" s="46" customFormat="1" ht="51">
      <c r="A105" s="84"/>
      <c r="B105" s="84"/>
      <c r="C105" s="85">
        <v>2900</v>
      </c>
      <c r="D105" s="88" t="s">
        <v>668</v>
      </c>
      <c r="E105" s="202">
        <f t="shared" si="17"/>
        <v>7600</v>
      </c>
      <c r="F105" s="202">
        <f t="shared" si="18"/>
        <v>7600</v>
      </c>
      <c r="G105" s="202"/>
      <c r="H105" s="202"/>
      <c r="I105" s="202"/>
      <c r="J105" s="202"/>
      <c r="K105" s="202"/>
      <c r="L105" s="202"/>
      <c r="M105" s="202">
        <f>7500+100</f>
        <v>7600</v>
      </c>
      <c r="N105" s="202"/>
    </row>
    <row r="106" spans="1:14" s="46" customFormat="1" ht="25.5">
      <c r="A106" s="97"/>
      <c r="B106" s="81"/>
      <c r="C106" s="85">
        <v>3020</v>
      </c>
      <c r="D106" s="88" t="s">
        <v>227</v>
      </c>
      <c r="E106" s="202">
        <f t="shared" si="17"/>
        <v>8500</v>
      </c>
      <c r="F106" s="202">
        <f t="shared" si="18"/>
        <v>8500</v>
      </c>
      <c r="G106" s="202"/>
      <c r="H106" s="202"/>
      <c r="I106" s="202"/>
      <c r="J106" s="202"/>
      <c r="K106" s="202"/>
      <c r="L106" s="202"/>
      <c r="M106" s="202">
        <f>26500-18000</f>
        <v>8500</v>
      </c>
      <c r="N106" s="202"/>
    </row>
    <row r="107" spans="1:14" s="46" customFormat="1" ht="12.75">
      <c r="A107" s="97"/>
      <c r="B107" s="81"/>
      <c r="C107" s="85">
        <v>3250</v>
      </c>
      <c r="D107" s="88" t="s">
        <v>669</v>
      </c>
      <c r="E107" s="202">
        <f t="shared" si="17"/>
        <v>13487</v>
      </c>
      <c r="F107" s="202">
        <f t="shared" si="18"/>
        <v>13487</v>
      </c>
      <c r="G107" s="202"/>
      <c r="H107" s="202"/>
      <c r="I107" s="202"/>
      <c r="J107" s="202"/>
      <c r="K107" s="202"/>
      <c r="L107" s="202"/>
      <c r="M107" s="202">
        <f>12800+687</f>
        <v>13487</v>
      </c>
      <c r="N107" s="202"/>
    </row>
    <row r="108" spans="1:14" s="46" customFormat="1" ht="25.5">
      <c r="A108" s="97"/>
      <c r="B108" s="81"/>
      <c r="C108" s="95">
        <v>4010</v>
      </c>
      <c r="D108" s="88" t="s">
        <v>624</v>
      </c>
      <c r="E108" s="202">
        <f t="shared" si="17"/>
        <v>2494290</v>
      </c>
      <c r="F108" s="202">
        <f t="shared" si="18"/>
        <v>2494290</v>
      </c>
      <c r="G108" s="202">
        <f>2377800+118890-2400</f>
        <v>2494290</v>
      </c>
      <c r="H108" s="202"/>
      <c r="I108" s="202"/>
      <c r="J108" s="202"/>
      <c r="K108" s="202"/>
      <c r="L108" s="202"/>
      <c r="M108" s="202"/>
      <c r="N108" s="202"/>
    </row>
    <row r="109" spans="1:14" s="46" customFormat="1" ht="12.75">
      <c r="A109" s="97"/>
      <c r="B109" s="81"/>
      <c r="C109" s="85">
        <v>4040</v>
      </c>
      <c r="D109" s="88" t="s">
        <v>625</v>
      </c>
      <c r="E109" s="202">
        <f t="shared" si="17"/>
        <v>177231</v>
      </c>
      <c r="F109" s="202">
        <f t="shared" si="18"/>
        <v>177231</v>
      </c>
      <c r="G109" s="202"/>
      <c r="H109" s="202">
        <f>187000-9769</f>
        <v>177231</v>
      </c>
      <c r="I109" s="202"/>
      <c r="J109" s="202"/>
      <c r="K109" s="202"/>
      <c r="L109" s="202"/>
      <c r="M109" s="202"/>
      <c r="N109" s="202"/>
    </row>
    <row r="110" spans="1:14" s="46" customFormat="1" ht="12.75">
      <c r="A110" s="97"/>
      <c r="B110" s="81"/>
      <c r="C110" s="85">
        <v>4110</v>
      </c>
      <c r="D110" s="88" t="s">
        <v>626</v>
      </c>
      <c r="E110" s="202">
        <f t="shared" si="17"/>
        <v>424180</v>
      </c>
      <c r="F110" s="202">
        <f t="shared" si="18"/>
        <v>424180</v>
      </c>
      <c r="G110" s="202"/>
      <c r="H110" s="202"/>
      <c r="I110" s="202">
        <f>432600+20330-28100-650</f>
        <v>424180</v>
      </c>
      <c r="J110" s="202"/>
      <c r="K110" s="202"/>
      <c r="L110" s="202"/>
      <c r="M110" s="202"/>
      <c r="N110" s="202"/>
    </row>
    <row r="111" spans="1:14" s="46" customFormat="1" ht="12.75">
      <c r="A111" s="97"/>
      <c r="B111" s="81"/>
      <c r="C111" s="85">
        <v>4120</v>
      </c>
      <c r="D111" s="88" t="s">
        <v>627</v>
      </c>
      <c r="E111" s="202">
        <f t="shared" si="17"/>
        <v>64055</v>
      </c>
      <c r="F111" s="202">
        <f t="shared" si="18"/>
        <v>64055</v>
      </c>
      <c r="G111" s="202"/>
      <c r="H111" s="202"/>
      <c r="I111" s="202">
        <f>62000+2910-855</f>
        <v>64055</v>
      </c>
      <c r="J111" s="202"/>
      <c r="K111" s="202"/>
      <c r="L111" s="202"/>
      <c r="M111" s="202"/>
      <c r="N111" s="202"/>
    </row>
    <row r="112" spans="1:14" s="46" customFormat="1" ht="12.75">
      <c r="A112" s="97"/>
      <c r="B112" s="81"/>
      <c r="C112" s="85">
        <v>4140</v>
      </c>
      <c r="D112" s="88" t="s">
        <v>319</v>
      </c>
      <c r="E112" s="202">
        <f t="shared" si="17"/>
        <v>1300</v>
      </c>
      <c r="F112" s="202">
        <f t="shared" si="18"/>
        <v>1300</v>
      </c>
      <c r="G112" s="202"/>
      <c r="H112" s="202"/>
      <c r="I112" s="202"/>
      <c r="J112" s="202"/>
      <c r="K112" s="202"/>
      <c r="L112" s="202"/>
      <c r="M112" s="202">
        <v>1300</v>
      </c>
      <c r="N112" s="202"/>
    </row>
    <row r="113" spans="1:14" s="46" customFormat="1" ht="12.75">
      <c r="A113" s="97"/>
      <c r="B113" s="81"/>
      <c r="C113" s="85">
        <v>4170</v>
      </c>
      <c r="D113" s="88" t="s">
        <v>655</v>
      </c>
      <c r="E113" s="202">
        <f t="shared" si="17"/>
        <v>10100</v>
      </c>
      <c r="F113" s="202">
        <f t="shared" si="18"/>
        <v>10100</v>
      </c>
      <c r="G113" s="202"/>
      <c r="H113" s="202"/>
      <c r="I113" s="202"/>
      <c r="J113" s="202"/>
      <c r="K113" s="202"/>
      <c r="L113" s="202"/>
      <c r="M113" s="202">
        <f>5200+4900</f>
        <v>10100</v>
      </c>
      <c r="N113" s="202"/>
    </row>
    <row r="114" spans="1:14" s="46" customFormat="1" ht="12.75">
      <c r="A114" s="97"/>
      <c r="B114" s="81"/>
      <c r="C114" s="85">
        <v>4210</v>
      </c>
      <c r="D114" s="88" t="s">
        <v>629</v>
      </c>
      <c r="E114" s="202">
        <f t="shared" si="17"/>
        <v>787200</v>
      </c>
      <c r="F114" s="202">
        <f t="shared" si="18"/>
        <v>787200</v>
      </c>
      <c r="G114" s="202"/>
      <c r="H114" s="202"/>
      <c r="I114" s="202"/>
      <c r="J114" s="202"/>
      <c r="K114" s="202"/>
      <c r="L114" s="202"/>
      <c r="M114" s="202">
        <f>563000-1800+172000-6000+60000</f>
        <v>787200</v>
      </c>
      <c r="N114" s="202"/>
    </row>
    <row r="115" spans="1:14" s="46" customFormat="1" ht="25.5">
      <c r="A115" s="97"/>
      <c r="B115" s="81"/>
      <c r="C115" s="85">
        <v>4230</v>
      </c>
      <c r="D115" s="88" t="s">
        <v>271</v>
      </c>
      <c r="E115" s="202">
        <f t="shared" si="17"/>
        <v>1800</v>
      </c>
      <c r="F115" s="202">
        <f t="shared" si="18"/>
        <v>1800</v>
      </c>
      <c r="G115" s="202"/>
      <c r="H115" s="202"/>
      <c r="I115" s="202"/>
      <c r="J115" s="202"/>
      <c r="K115" s="202"/>
      <c r="L115" s="202"/>
      <c r="M115" s="202">
        <v>1800</v>
      </c>
      <c r="N115" s="202"/>
    </row>
    <row r="116" spans="1:14" s="46" customFormat="1" ht="12.75">
      <c r="A116" s="97"/>
      <c r="B116" s="81"/>
      <c r="C116" s="85">
        <v>4260</v>
      </c>
      <c r="D116" s="88" t="s">
        <v>630</v>
      </c>
      <c r="E116" s="202">
        <f t="shared" si="17"/>
        <v>184000</v>
      </c>
      <c r="F116" s="202">
        <f t="shared" si="18"/>
        <v>184000</v>
      </c>
      <c r="G116" s="202"/>
      <c r="H116" s="202"/>
      <c r="I116" s="202"/>
      <c r="J116" s="202"/>
      <c r="K116" s="202"/>
      <c r="L116" s="202"/>
      <c r="M116" s="202">
        <f>188000-4000</f>
        <v>184000</v>
      </c>
      <c r="N116" s="202"/>
    </row>
    <row r="117" spans="1:14" s="46" customFormat="1" ht="12.75">
      <c r="A117" s="81"/>
      <c r="B117" s="81"/>
      <c r="C117" s="85">
        <v>4270</v>
      </c>
      <c r="D117" s="88" t="s">
        <v>631</v>
      </c>
      <c r="E117" s="202">
        <f t="shared" si="17"/>
        <v>82088</v>
      </c>
      <c r="F117" s="202">
        <f t="shared" si="18"/>
        <v>82088</v>
      </c>
      <c r="G117" s="202"/>
      <c r="H117" s="202"/>
      <c r="I117" s="202"/>
      <c r="J117" s="202"/>
      <c r="K117" s="202"/>
      <c r="L117" s="202"/>
      <c r="M117" s="202">
        <f>58400+24888-1200</f>
        <v>82088</v>
      </c>
      <c r="N117" s="202"/>
    </row>
    <row r="118" spans="1:14" s="46" customFormat="1" ht="12.75">
      <c r="A118" s="81"/>
      <c r="B118" s="81"/>
      <c r="C118" s="85">
        <v>4280</v>
      </c>
      <c r="D118" s="101" t="s">
        <v>632</v>
      </c>
      <c r="E118" s="202">
        <f t="shared" si="17"/>
        <v>1500</v>
      </c>
      <c r="F118" s="202">
        <f t="shared" si="18"/>
        <v>1500</v>
      </c>
      <c r="G118" s="202"/>
      <c r="H118" s="202"/>
      <c r="I118" s="202"/>
      <c r="J118" s="202"/>
      <c r="K118" s="202"/>
      <c r="L118" s="202"/>
      <c r="M118" s="202">
        <v>1500</v>
      </c>
      <c r="N118" s="202"/>
    </row>
    <row r="119" spans="1:14" s="46" customFormat="1" ht="12.75">
      <c r="A119" s="81"/>
      <c r="B119" s="81"/>
      <c r="C119" s="85">
        <v>4300</v>
      </c>
      <c r="D119" s="88" t="s">
        <v>612</v>
      </c>
      <c r="E119" s="202">
        <f t="shared" si="17"/>
        <v>616000</v>
      </c>
      <c r="F119" s="202">
        <f t="shared" si="18"/>
        <v>616000</v>
      </c>
      <c r="G119" s="202"/>
      <c r="H119" s="202"/>
      <c r="I119" s="202"/>
      <c r="J119" s="202"/>
      <c r="K119" s="202"/>
      <c r="L119" s="202"/>
      <c r="M119" s="202">
        <f>474000-3000-4000-1000+105000+45000</f>
        <v>616000</v>
      </c>
      <c r="N119" s="202"/>
    </row>
    <row r="120" spans="1:14" s="46" customFormat="1" ht="25.5">
      <c r="A120" s="81"/>
      <c r="B120" s="81"/>
      <c r="C120" s="85">
        <v>4350</v>
      </c>
      <c r="D120" s="88" t="s">
        <v>633</v>
      </c>
      <c r="E120" s="202">
        <f t="shared" si="17"/>
        <v>7100</v>
      </c>
      <c r="F120" s="202">
        <f t="shared" si="18"/>
        <v>7100</v>
      </c>
      <c r="G120" s="202"/>
      <c r="H120" s="202"/>
      <c r="I120" s="202"/>
      <c r="J120" s="202"/>
      <c r="K120" s="202"/>
      <c r="L120" s="202"/>
      <c r="M120" s="202">
        <f>33000-9800-16100</f>
        <v>7100</v>
      </c>
      <c r="N120" s="202"/>
    </row>
    <row r="121" spans="1:14" s="46" customFormat="1" ht="38.25">
      <c r="A121" s="81"/>
      <c r="B121" s="81"/>
      <c r="C121" s="85">
        <v>4360</v>
      </c>
      <c r="D121" s="88" t="s">
        <v>224</v>
      </c>
      <c r="E121" s="202">
        <f t="shared" si="17"/>
        <v>18000</v>
      </c>
      <c r="F121" s="202">
        <f t="shared" si="18"/>
        <v>18000</v>
      </c>
      <c r="G121" s="202"/>
      <c r="H121" s="202"/>
      <c r="I121" s="202"/>
      <c r="J121" s="202"/>
      <c r="K121" s="202"/>
      <c r="L121" s="202"/>
      <c r="M121" s="202">
        <f>19000-1000</f>
        <v>18000</v>
      </c>
      <c r="N121" s="202"/>
    </row>
    <row r="122" spans="1:14" s="46" customFormat="1" ht="25.5">
      <c r="A122" s="81"/>
      <c r="B122" s="81"/>
      <c r="C122" s="85">
        <v>4370</v>
      </c>
      <c r="D122" s="88" t="s">
        <v>225</v>
      </c>
      <c r="E122" s="202">
        <f t="shared" si="17"/>
        <v>45000</v>
      </c>
      <c r="F122" s="202">
        <f t="shared" si="18"/>
        <v>45000</v>
      </c>
      <c r="G122" s="202"/>
      <c r="H122" s="202"/>
      <c r="I122" s="202"/>
      <c r="J122" s="202"/>
      <c r="K122" s="202"/>
      <c r="L122" s="202"/>
      <c r="M122" s="202">
        <f>32000+13000</f>
        <v>45000</v>
      </c>
      <c r="N122" s="202"/>
    </row>
    <row r="123" spans="1:14" s="46" customFormat="1" ht="25.5">
      <c r="A123" s="81"/>
      <c r="B123" s="81"/>
      <c r="C123" s="85">
        <v>4380</v>
      </c>
      <c r="D123" s="88" t="s">
        <v>272</v>
      </c>
      <c r="E123" s="202">
        <f t="shared" si="17"/>
        <v>300</v>
      </c>
      <c r="F123" s="202">
        <f t="shared" si="18"/>
        <v>300</v>
      </c>
      <c r="G123" s="202"/>
      <c r="H123" s="202"/>
      <c r="I123" s="202"/>
      <c r="J123" s="202"/>
      <c r="K123" s="202"/>
      <c r="L123" s="202"/>
      <c r="M123" s="202">
        <v>300</v>
      </c>
      <c r="N123" s="202"/>
    </row>
    <row r="124" spans="1:14" s="46" customFormat="1" ht="38.25">
      <c r="A124" s="81"/>
      <c r="B124" s="81"/>
      <c r="C124" s="85">
        <v>4390</v>
      </c>
      <c r="D124" s="88" t="s">
        <v>288</v>
      </c>
      <c r="E124" s="202">
        <f t="shared" si="17"/>
        <v>4000</v>
      </c>
      <c r="F124" s="202">
        <f t="shared" si="18"/>
        <v>4000</v>
      </c>
      <c r="G124" s="202"/>
      <c r="H124" s="202"/>
      <c r="I124" s="202"/>
      <c r="J124" s="202"/>
      <c r="K124" s="202"/>
      <c r="L124" s="202"/>
      <c r="M124" s="202">
        <v>4000</v>
      </c>
      <c r="N124" s="202"/>
    </row>
    <row r="125" spans="1:14" s="46" customFormat="1" ht="38.25">
      <c r="A125" s="81"/>
      <c r="B125" s="81"/>
      <c r="C125" s="85">
        <v>4400</v>
      </c>
      <c r="D125" s="88" t="s">
        <v>377</v>
      </c>
      <c r="E125" s="202">
        <f t="shared" si="17"/>
        <v>113000</v>
      </c>
      <c r="F125" s="202">
        <f t="shared" si="18"/>
        <v>113000</v>
      </c>
      <c r="G125" s="202"/>
      <c r="H125" s="202"/>
      <c r="I125" s="202"/>
      <c r="J125" s="202"/>
      <c r="K125" s="202"/>
      <c r="L125" s="202"/>
      <c r="M125" s="202">
        <v>113000</v>
      </c>
      <c r="N125" s="202"/>
    </row>
    <row r="126" spans="1:14" s="46" customFormat="1" ht="12.75">
      <c r="A126" s="81"/>
      <c r="B126" s="81"/>
      <c r="C126" s="85">
        <v>4410</v>
      </c>
      <c r="D126" s="88" t="s">
        <v>639</v>
      </c>
      <c r="E126" s="202">
        <f t="shared" si="17"/>
        <v>21900</v>
      </c>
      <c r="F126" s="202">
        <f t="shared" si="18"/>
        <v>21900</v>
      </c>
      <c r="G126" s="202"/>
      <c r="H126" s="202"/>
      <c r="I126" s="202"/>
      <c r="J126" s="202"/>
      <c r="K126" s="202"/>
      <c r="L126" s="202"/>
      <c r="M126" s="202">
        <f>22500-100-500</f>
        <v>21900</v>
      </c>
      <c r="N126" s="202"/>
    </row>
    <row r="127" spans="1:14" s="46" customFormat="1" ht="12.75">
      <c r="A127" s="81"/>
      <c r="B127" s="81"/>
      <c r="C127" s="85">
        <v>4420</v>
      </c>
      <c r="D127" s="88" t="s">
        <v>349</v>
      </c>
      <c r="E127" s="202">
        <f t="shared" si="17"/>
        <v>100</v>
      </c>
      <c r="F127" s="202">
        <f>SUM(G127:M127)</f>
        <v>100</v>
      </c>
      <c r="G127" s="202"/>
      <c r="H127" s="202"/>
      <c r="I127" s="202"/>
      <c r="J127" s="202"/>
      <c r="K127" s="202"/>
      <c r="L127" s="202"/>
      <c r="M127" s="202">
        <v>100</v>
      </c>
      <c r="N127" s="202"/>
    </row>
    <row r="128" spans="1:14" s="46" customFormat="1" ht="12.75">
      <c r="A128" s="81"/>
      <c r="B128" s="81"/>
      <c r="C128" s="85">
        <v>4430</v>
      </c>
      <c r="D128" s="88" t="s">
        <v>640</v>
      </c>
      <c r="E128" s="202">
        <f t="shared" si="17"/>
        <v>11400</v>
      </c>
      <c r="F128" s="202">
        <f t="shared" si="18"/>
        <v>11400</v>
      </c>
      <c r="G128" s="202"/>
      <c r="H128" s="202"/>
      <c r="I128" s="202"/>
      <c r="J128" s="202"/>
      <c r="K128" s="202"/>
      <c r="L128" s="202"/>
      <c r="M128" s="202">
        <f>11500+4000-4100</f>
        <v>11400</v>
      </c>
      <c r="N128" s="202"/>
    </row>
    <row r="129" spans="1:14" s="46" customFormat="1" ht="25.5">
      <c r="A129" s="81"/>
      <c r="B129" s="81"/>
      <c r="C129" s="85">
        <v>4440</v>
      </c>
      <c r="D129" s="88" t="s">
        <v>641</v>
      </c>
      <c r="E129" s="202">
        <f t="shared" si="17"/>
        <v>60948</v>
      </c>
      <c r="F129" s="202">
        <f t="shared" si="18"/>
        <v>60948</v>
      </c>
      <c r="G129" s="202"/>
      <c r="H129" s="202"/>
      <c r="I129" s="202"/>
      <c r="J129" s="202"/>
      <c r="K129" s="202"/>
      <c r="L129" s="202"/>
      <c r="M129" s="202">
        <f>60650+298</f>
        <v>60948</v>
      </c>
      <c r="N129" s="202"/>
    </row>
    <row r="130" spans="1:14" s="46" customFormat="1" ht="12.75">
      <c r="A130" s="81"/>
      <c r="B130" s="81"/>
      <c r="C130" s="85">
        <v>4510</v>
      </c>
      <c r="D130" s="88" t="s">
        <v>301</v>
      </c>
      <c r="E130" s="202">
        <f>F130+N130</f>
        <v>4100</v>
      </c>
      <c r="F130" s="202">
        <f>SUM(G130:M130)</f>
        <v>4100</v>
      </c>
      <c r="G130" s="202"/>
      <c r="H130" s="202"/>
      <c r="I130" s="202"/>
      <c r="J130" s="202"/>
      <c r="K130" s="202"/>
      <c r="L130" s="202"/>
      <c r="M130" s="202">
        <v>4100</v>
      </c>
      <c r="N130" s="202"/>
    </row>
    <row r="131" spans="1:14" s="46" customFormat="1" ht="38.25">
      <c r="A131" s="81"/>
      <c r="B131" s="81"/>
      <c r="C131" s="85">
        <v>4700</v>
      </c>
      <c r="D131" s="88" t="s">
        <v>226</v>
      </c>
      <c r="E131" s="202">
        <f t="shared" si="17"/>
        <v>22000</v>
      </c>
      <c r="F131" s="202">
        <f t="shared" si="18"/>
        <v>22000</v>
      </c>
      <c r="G131" s="202"/>
      <c r="H131" s="202"/>
      <c r="I131" s="202"/>
      <c r="J131" s="202"/>
      <c r="K131" s="202"/>
      <c r="L131" s="202"/>
      <c r="M131" s="202">
        <v>22000</v>
      </c>
      <c r="N131" s="202"/>
    </row>
    <row r="132" spans="1:14" s="46" customFormat="1" ht="38.25">
      <c r="A132" s="81"/>
      <c r="B132" s="81"/>
      <c r="C132" s="85">
        <v>4740</v>
      </c>
      <c r="D132" s="88" t="s">
        <v>658</v>
      </c>
      <c r="E132" s="202">
        <f t="shared" si="17"/>
        <v>5000</v>
      </c>
      <c r="F132" s="202">
        <f t="shared" si="18"/>
        <v>5000</v>
      </c>
      <c r="G132" s="202"/>
      <c r="H132" s="202"/>
      <c r="I132" s="202"/>
      <c r="J132" s="202"/>
      <c r="K132" s="202"/>
      <c r="L132" s="202"/>
      <c r="M132" s="202">
        <f>10000-5000</f>
        <v>5000</v>
      </c>
      <c r="N132" s="202"/>
    </row>
    <row r="133" spans="1:14" s="46" customFormat="1" ht="25.5">
      <c r="A133" s="81"/>
      <c r="B133" s="81"/>
      <c r="C133" s="85">
        <v>4750</v>
      </c>
      <c r="D133" s="88" t="s">
        <v>659</v>
      </c>
      <c r="E133" s="202">
        <f t="shared" si="17"/>
        <v>20200</v>
      </c>
      <c r="F133" s="202">
        <f t="shared" si="18"/>
        <v>20200</v>
      </c>
      <c r="G133" s="202"/>
      <c r="H133" s="202"/>
      <c r="I133" s="202"/>
      <c r="J133" s="202"/>
      <c r="K133" s="202"/>
      <c r="L133" s="202"/>
      <c r="M133" s="202">
        <f>2000+7000+5200+6000</f>
        <v>20200</v>
      </c>
      <c r="N133" s="202"/>
    </row>
    <row r="134" spans="1:14" s="46" customFormat="1" ht="25.5">
      <c r="A134" s="81"/>
      <c r="B134" s="81"/>
      <c r="C134" s="85">
        <v>4610</v>
      </c>
      <c r="D134" s="88" t="s">
        <v>649</v>
      </c>
      <c r="E134" s="202">
        <f t="shared" si="17"/>
        <v>1500</v>
      </c>
      <c r="F134" s="202">
        <f t="shared" si="18"/>
        <v>1500</v>
      </c>
      <c r="G134" s="202"/>
      <c r="H134" s="202"/>
      <c r="I134" s="202"/>
      <c r="J134" s="202"/>
      <c r="K134" s="202"/>
      <c r="L134" s="202"/>
      <c r="M134" s="202">
        <v>1500</v>
      </c>
      <c r="N134" s="202"/>
    </row>
    <row r="135" spans="1:14" s="46" customFormat="1" ht="25.5">
      <c r="A135" s="81"/>
      <c r="B135" s="81"/>
      <c r="C135" s="85">
        <v>6050</v>
      </c>
      <c r="D135" s="96" t="s">
        <v>671</v>
      </c>
      <c r="E135" s="202">
        <f t="shared" si="17"/>
        <v>190930</v>
      </c>
      <c r="F135" s="202">
        <f t="shared" si="18"/>
        <v>0</v>
      </c>
      <c r="G135" s="202"/>
      <c r="H135" s="202"/>
      <c r="I135" s="202"/>
      <c r="J135" s="202"/>
      <c r="K135" s="202"/>
      <c r="L135" s="202"/>
      <c r="M135" s="202"/>
      <c r="N135" s="202">
        <v>190930</v>
      </c>
    </row>
    <row r="136" spans="1:14" s="46" customFormat="1" ht="25.5">
      <c r="A136" s="81"/>
      <c r="B136" s="81"/>
      <c r="C136" s="85">
        <v>6060</v>
      </c>
      <c r="D136" s="96" t="s">
        <v>228</v>
      </c>
      <c r="E136" s="202">
        <f t="shared" si="17"/>
        <v>66283</v>
      </c>
      <c r="F136" s="202">
        <f t="shared" si="18"/>
        <v>0</v>
      </c>
      <c r="G136" s="202"/>
      <c r="H136" s="202"/>
      <c r="I136" s="202"/>
      <c r="J136" s="202"/>
      <c r="K136" s="202"/>
      <c r="L136" s="202"/>
      <c r="M136" s="202"/>
      <c r="N136" s="202">
        <f>40000+6283+20000</f>
        <v>66283</v>
      </c>
    </row>
    <row r="137" spans="1:14" s="79" customFormat="1" ht="12.75">
      <c r="A137" s="86"/>
      <c r="B137" s="86">
        <v>75045</v>
      </c>
      <c r="C137" s="89"/>
      <c r="D137" s="93" t="s">
        <v>672</v>
      </c>
      <c r="E137" s="215">
        <f t="shared" si="17"/>
        <v>47700</v>
      </c>
      <c r="F137" s="215">
        <f t="shared" si="18"/>
        <v>47700</v>
      </c>
      <c r="G137" s="215">
        <f aca="true" t="shared" si="24" ref="G137:N137">SUM(G138:G149)</f>
        <v>0</v>
      </c>
      <c r="H137" s="215">
        <f t="shared" si="24"/>
        <v>0</v>
      </c>
      <c r="I137" s="215">
        <f t="shared" si="24"/>
        <v>697</v>
      </c>
      <c r="J137" s="215">
        <f t="shared" si="24"/>
        <v>0</v>
      </c>
      <c r="K137" s="215">
        <f t="shared" si="24"/>
        <v>0</v>
      </c>
      <c r="L137" s="215">
        <f t="shared" si="24"/>
        <v>0</v>
      </c>
      <c r="M137" s="215">
        <f t="shared" si="24"/>
        <v>47003</v>
      </c>
      <c r="N137" s="215">
        <f t="shared" si="24"/>
        <v>0</v>
      </c>
    </row>
    <row r="138" spans="1:14" s="46" customFormat="1" ht="25.5">
      <c r="A138" s="81"/>
      <c r="B138" s="81"/>
      <c r="C138" s="85">
        <v>3030</v>
      </c>
      <c r="D138" s="88" t="s">
        <v>665</v>
      </c>
      <c r="E138" s="202">
        <f t="shared" si="17"/>
        <v>10660</v>
      </c>
      <c r="F138" s="202">
        <f t="shared" si="18"/>
        <v>10660</v>
      </c>
      <c r="G138" s="202"/>
      <c r="H138" s="202"/>
      <c r="I138" s="202"/>
      <c r="J138" s="202"/>
      <c r="K138" s="202"/>
      <c r="L138" s="202"/>
      <c r="M138" s="202">
        <f>11000-340</f>
        <v>10660</v>
      </c>
      <c r="N138" s="202"/>
    </row>
    <row r="139" spans="1:14" s="46" customFormat="1" ht="12.75">
      <c r="A139" s="81"/>
      <c r="B139" s="81"/>
      <c r="C139" s="85">
        <v>4110</v>
      </c>
      <c r="D139" s="88" t="s">
        <v>626</v>
      </c>
      <c r="E139" s="202">
        <f t="shared" si="17"/>
        <v>610</v>
      </c>
      <c r="F139" s="202">
        <f t="shared" si="18"/>
        <v>610</v>
      </c>
      <c r="G139" s="202"/>
      <c r="H139" s="202"/>
      <c r="I139" s="202">
        <f>800-193+3</f>
        <v>610</v>
      </c>
      <c r="J139" s="202"/>
      <c r="K139" s="202"/>
      <c r="L139" s="202"/>
      <c r="M139" s="202"/>
      <c r="N139" s="202"/>
    </row>
    <row r="140" spans="1:14" s="46" customFormat="1" ht="12.75">
      <c r="A140" s="81"/>
      <c r="B140" s="81"/>
      <c r="C140" s="85">
        <v>4170</v>
      </c>
      <c r="D140" s="88" t="s">
        <v>655</v>
      </c>
      <c r="E140" s="202">
        <f t="shared" si="17"/>
        <v>4800</v>
      </c>
      <c r="F140" s="202">
        <f t="shared" si="18"/>
        <v>4800</v>
      </c>
      <c r="G140" s="202"/>
      <c r="H140" s="202"/>
      <c r="I140" s="202"/>
      <c r="J140" s="202"/>
      <c r="K140" s="202"/>
      <c r="L140" s="202"/>
      <c r="M140" s="202">
        <f>4400+400</f>
        <v>4800</v>
      </c>
      <c r="N140" s="202"/>
    </row>
    <row r="141" spans="1:14" s="46" customFormat="1" ht="12.75">
      <c r="A141" s="81"/>
      <c r="B141" s="81"/>
      <c r="C141" s="85">
        <v>4120</v>
      </c>
      <c r="D141" s="88" t="s">
        <v>627</v>
      </c>
      <c r="E141" s="202">
        <f t="shared" si="17"/>
        <v>87</v>
      </c>
      <c r="F141" s="202">
        <f t="shared" si="18"/>
        <v>87</v>
      </c>
      <c r="G141" s="202"/>
      <c r="H141" s="202"/>
      <c r="I141" s="202">
        <f>100-13</f>
        <v>87</v>
      </c>
      <c r="J141" s="202"/>
      <c r="K141" s="202"/>
      <c r="L141" s="202"/>
      <c r="M141" s="202"/>
      <c r="N141" s="202"/>
    </row>
    <row r="142" spans="1:14" s="46" customFormat="1" ht="12.75">
      <c r="A142" s="81"/>
      <c r="B142" s="81"/>
      <c r="C142" s="85">
        <v>4210</v>
      </c>
      <c r="D142" s="88" t="s">
        <v>629</v>
      </c>
      <c r="E142" s="202">
        <f t="shared" si="17"/>
        <v>13679</v>
      </c>
      <c r="F142" s="202">
        <f t="shared" si="18"/>
        <v>13679</v>
      </c>
      <c r="G142" s="202"/>
      <c r="H142" s="202"/>
      <c r="I142" s="202"/>
      <c r="J142" s="202"/>
      <c r="K142" s="202"/>
      <c r="L142" s="202"/>
      <c r="M142" s="202">
        <f>14000-760+866-427</f>
        <v>13679</v>
      </c>
      <c r="N142" s="202"/>
    </row>
    <row r="143" spans="1:14" s="46" customFormat="1" ht="25.5">
      <c r="A143" s="81"/>
      <c r="B143" s="81"/>
      <c r="C143" s="85">
        <v>4230</v>
      </c>
      <c r="D143" s="88" t="s">
        <v>352</v>
      </c>
      <c r="E143" s="202">
        <f t="shared" si="17"/>
        <v>357</v>
      </c>
      <c r="F143" s="202">
        <f t="shared" si="18"/>
        <v>357</v>
      </c>
      <c r="G143" s="202"/>
      <c r="H143" s="202"/>
      <c r="I143" s="202"/>
      <c r="J143" s="202"/>
      <c r="K143" s="202"/>
      <c r="L143" s="202"/>
      <c r="M143" s="202">
        <v>357</v>
      </c>
      <c r="N143" s="202"/>
    </row>
    <row r="144" spans="1:14" s="46" customFormat="1" ht="12.75">
      <c r="A144" s="81"/>
      <c r="B144" s="81"/>
      <c r="C144" s="85">
        <v>4270</v>
      </c>
      <c r="D144" s="88" t="s">
        <v>631</v>
      </c>
      <c r="E144" s="202">
        <f t="shared" si="17"/>
        <v>0</v>
      </c>
      <c r="F144" s="202">
        <f t="shared" si="18"/>
        <v>0</v>
      </c>
      <c r="G144" s="202"/>
      <c r="H144" s="202"/>
      <c r="I144" s="202"/>
      <c r="J144" s="202"/>
      <c r="K144" s="202"/>
      <c r="L144" s="202"/>
      <c r="M144" s="202"/>
      <c r="N144" s="202"/>
    </row>
    <row r="145" spans="1:14" s="46" customFormat="1" ht="12.75">
      <c r="A145" s="81"/>
      <c r="B145" s="81"/>
      <c r="C145" s="85">
        <v>4280</v>
      </c>
      <c r="D145" s="88" t="s">
        <v>656</v>
      </c>
      <c r="E145" s="202">
        <f t="shared" si="17"/>
        <v>12700</v>
      </c>
      <c r="F145" s="202">
        <f t="shared" si="18"/>
        <v>12700</v>
      </c>
      <c r="G145" s="202"/>
      <c r="H145" s="202"/>
      <c r="I145" s="202"/>
      <c r="J145" s="202"/>
      <c r="K145" s="202"/>
      <c r="L145" s="202"/>
      <c r="M145" s="202">
        <f>24000-11300</f>
        <v>12700</v>
      </c>
      <c r="N145" s="202"/>
    </row>
    <row r="146" spans="1:14" s="46" customFormat="1" ht="38.25">
      <c r="A146" s="81"/>
      <c r="B146" s="81"/>
      <c r="C146" s="85">
        <v>4400</v>
      </c>
      <c r="D146" s="88" t="s">
        <v>377</v>
      </c>
      <c r="E146" s="202">
        <f t="shared" si="17"/>
        <v>4148</v>
      </c>
      <c r="F146" s="202">
        <f t="shared" si="18"/>
        <v>4148</v>
      </c>
      <c r="G146" s="202"/>
      <c r="H146" s="202"/>
      <c r="I146" s="202"/>
      <c r="J146" s="202"/>
      <c r="K146" s="202"/>
      <c r="L146" s="202"/>
      <c r="M146" s="202">
        <v>4148</v>
      </c>
      <c r="N146" s="202"/>
    </row>
    <row r="147" spans="1:14" s="46" customFormat="1" ht="12.75">
      <c r="A147" s="81"/>
      <c r="B147" s="81"/>
      <c r="C147" s="85">
        <v>4300</v>
      </c>
      <c r="D147" s="88" t="s">
        <v>612</v>
      </c>
      <c r="E147" s="202">
        <f aca="true" t="shared" si="25" ref="E147:E201">F147+N147</f>
        <v>479</v>
      </c>
      <c r="F147" s="202">
        <f aca="true" t="shared" si="26" ref="F147:F201">SUM(G147:M147)</f>
        <v>479</v>
      </c>
      <c r="G147" s="202"/>
      <c r="H147" s="202"/>
      <c r="I147" s="202"/>
      <c r="J147" s="202"/>
      <c r="K147" s="202"/>
      <c r="L147" s="202"/>
      <c r="M147" s="202">
        <f>4200+360-4081</f>
        <v>479</v>
      </c>
      <c r="N147" s="202"/>
    </row>
    <row r="148" spans="1:14" s="46" customFormat="1" ht="38.25">
      <c r="A148" s="81"/>
      <c r="B148" s="81"/>
      <c r="C148" s="85">
        <v>4370</v>
      </c>
      <c r="D148" s="88" t="s">
        <v>229</v>
      </c>
      <c r="E148" s="202">
        <f t="shared" si="25"/>
        <v>180</v>
      </c>
      <c r="F148" s="202">
        <f t="shared" si="26"/>
        <v>180</v>
      </c>
      <c r="G148" s="202"/>
      <c r="H148" s="202"/>
      <c r="I148" s="202"/>
      <c r="J148" s="202"/>
      <c r="K148" s="202"/>
      <c r="L148" s="202"/>
      <c r="M148" s="202">
        <f>300-120</f>
        <v>180</v>
      </c>
      <c r="N148" s="202"/>
    </row>
    <row r="149" spans="1:14" s="46" customFormat="1" ht="12.75">
      <c r="A149" s="81"/>
      <c r="B149" s="81"/>
      <c r="C149" s="85">
        <v>4410</v>
      </c>
      <c r="D149" s="88" t="s">
        <v>639</v>
      </c>
      <c r="E149" s="202">
        <f t="shared" si="25"/>
        <v>0</v>
      </c>
      <c r="F149" s="202">
        <f t="shared" si="26"/>
        <v>0</v>
      </c>
      <c r="G149" s="202"/>
      <c r="H149" s="202"/>
      <c r="I149" s="202"/>
      <c r="J149" s="202"/>
      <c r="K149" s="202"/>
      <c r="L149" s="202"/>
      <c r="M149" s="202">
        <f>200-200</f>
        <v>0</v>
      </c>
      <c r="N149" s="202"/>
    </row>
    <row r="150" spans="1:14" s="79" customFormat="1" ht="25.5">
      <c r="A150" s="86"/>
      <c r="B150" s="86">
        <v>75075</v>
      </c>
      <c r="C150" s="89"/>
      <c r="D150" s="93" t="s">
        <v>673</v>
      </c>
      <c r="E150" s="215">
        <f t="shared" si="25"/>
        <v>40460</v>
      </c>
      <c r="F150" s="215">
        <f t="shared" si="26"/>
        <v>40460</v>
      </c>
      <c r="G150" s="215">
        <f aca="true" t="shared" si="27" ref="G150:N150">SUM(G151:G152)</f>
        <v>0</v>
      </c>
      <c r="H150" s="215">
        <f t="shared" si="27"/>
        <v>0</v>
      </c>
      <c r="I150" s="215">
        <f t="shared" si="27"/>
        <v>0</v>
      </c>
      <c r="J150" s="215">
        <f t="shared" si="27"/>
        <v>0</v>
      </c>
      <c r="K150" s="215">
        <f t="shared" si="27"/>
        <v>0</v>
      </c>
      <c r="L150" s="215">
        <f t="shared" si="27"/>
        <v>0</v>
      </c>
      <c r="M150" s="215">
        <f t="shared" si="27"/>
        <v>40460</v>
      </c>
      <c r="N150" s="215">
        <f t="shared" si="27"/>
        <v>0</v>
      </c>
    </row>
    <row r="151" spans="1:14" s="46" customFormat="1" ht="12.75">
      <c r="A151" s="81"/>
      <c r="B151" s="81"/>
      <c r="C151" s="85">
        <v>4210</v>
      </c>
      <c r="D151" s="88" t="s">
        <v>629</v>
      </c>
      <c r="E151" s="202">
        <f t="shared" si="25"/>
        <v>5000</v>
      </c>
      <c r="F151" s="202">
        <f t="shared" si="26"/>
        <v>5000</v>
      </c>
      <c r="G151" s="202"/>
      <c r="H151" s="202"/>
      <c r="I151" s="202"/>
      <c r="J151" s="202"/>
      <c r="K151" s="202"/>
      <c r="L151" s="202"/>
      <c r="M151" s="202">
        <v>5000</v>
      </c>
      <c r="N151" s="202"/>
    </row>
    <row r="152" spans="1:14" s="46" customFormat="1" ht="12.75">
      <c r="A152" s="81"/>
      <c r="B152" s="81"/>
      <c r="C152" s="85">
        <v>4300</v>
      </c>
      <c r="D152" s="88" t="s">
        <v>612</v>
      </c>
      <c r="E152" s="202">
        <f t="shared" si="25"/>
        <v>35460</v>
      </c>
      <c r="F152" s="202">
        <f t="shared" si="26"/>
        <v>35460</v>
      </c>
      <c r="G152" s="202"/>
      <c r="H152" s="202"/>
      <c r="I152" s="202"/>
      <c r="J152" s="202"/>
      <c r="K152" s="202"/>
      <c r="L152" s="202"/>
      <c r="M152" s="202">
        <f>31960+3500</f>
        <v>35460</v>
      </c>
      <c r="N152" s="202"/>
    </row>
    <row r="153" spans="1:14" s="120" customFormat="1" ht="25.5">
      <c r="A153" s="81">
        <v>754</v>
      </c>
      <c r="B153" s="81"/>
      <c r="C153" s="82"/>
      <c r="D153" s="94" t="s">
        <v>674</v>
      </c>
      <c r="E153" s="214">
        <f t="shared" si="25"/>
        <v>46500</v>
      </c>
      <c r="F153" s="214">
        <f t="shared" si="26"/>
        <v>46500</v>
      </c>
      <c r="G153" s="214">
        <f>SUM(G154+G156)</f>
        <v>0</v>
      </c>
      <c r="H153" s="214">
        <f aca="true" t="shared" si="28" ref="H153:N153">SUM(H154+H156)</f>
        <v>0</v>
      </c>
      <c r="I153" s="214">
        <f t="shared" si="28"/>
        <v>0</v>
      </c>
      <c r="J153" s="214">
        <f t="shared" si="28"/>
        <v>30000</v>
      </c>
      <c r="K153" s="214">
        <f t="shared" si="28"/>
        <v>0</v>
      </c>
      <c r="L153" s="214">
        <f t="shared" si="28"/>
        <v>0</v>
      </c>
      <c r="M153" s="214">
        <f t="shared" si="28"/>
        <v>16500</v>
      </c>
      <c r="N153" s="214">
        <f t="shared" si="28"/>
        <v>0</v>
      </c>
    </row>
    <row r="154" spans="1:14" s="79" customFormat="1" ht="12.75">
      <c r="A154" s="81"/>
      <c r="B154" s="86">
        <v>75404</v>
      </c>
      <c r="C154" s="89"/>
      <c r="D154" s="93" t="s">
        <v>675</v>
      </c>
      <c r="E154" s="215">
        <f t="shared" si="25"/>
        <v>12000</v>
      </c>
      <c r="F154" s="215">
        <f t="shared" si="26"/>
        <v>12000</v>
      </c>
      <c r="G154" s="215">
        <f aca="true" t="shared" si="29" ref="G154:N154">G155</f>
        <v>0</v>
      </c>
      <c r="H154" s="215">
        <f t="shared" si="29"/>
        <v>0</v>
      </c>
      <c r="I154" s="215">
        <f t="shared" si="29"/>
        <v>0</v>
      </c>
      <c r="J154" s="215">
        <f t="shared" si="29"/>
        <v>0</v>
      </c>
      <c r="K154" s="215">
        <f t="shared" si="29"/>
        <v>0</v>
      </c>
      <c r="L154" s="215">
        <f t="shared" si="29"/>
        <v>0</v>
      </c>
      <c r="M154" s="215">
        <f t="shared" si="29"/>
        <v>12000</v>
      </c>
      <c r="N154" s="215">
        <f t="shared" si="29"/>
        <v>0</v>
      </c>
    </row>
    <row r="155" spans="1:14" s="46" customFormat="1" ht="12.75">
      <c r="A155" s="81"/>
      <c r="B155" s="81"/>
      <c r="C155" s="85">
        <v>4210</v>
      </c>
      <c r="D155" s="88" t="s">
        <v>629</v>
      </c>
      <c r="E155" s="202">
        <f t="shared" si="25"/>
        <v>12000</v>
      </c>
      <c r="F155" s="202">
        <f t="shared" si="26"/>
        <v>12000</v>
      </c>
      <c r="G155" s="202"/>
      <c r="H155" s="202"/>
      <c r="I155" s="202"/>
      <c r="J155" s="202"/>
      <c r="K155" s="202"/>
      <c r="L155" s="202"/>
      <c r="M155" s="202">
        <v>12000</v>
      </c>
      <c r="N155" s="202"/>
    </row>
    <row r="156" spans="1:14" s="79" customFormat="1" ht="12.75">
      <c r="A156" s="81"/>
      <c r="B156" s="86">
        <v>75495</v>
      </c>
      <c r="C156" s="89"/>
      <c r="D156" s="93" t="s">
        <v>676</v>
      </c>
      <c r="E156" s="215">
        <f t="shared" si="25"/>
        <v>34500</v>
      </c>
      <c r="F156" s="215">
        <f t="shared" si="26"/>
        <v>34500</v>
      </c>
      <c r="G156" s="215">
        <f>SUM(G157:G158)</f>
        <v>0</v>
      </c>
      <c r="H156" s="215">
        <f aca="true" t="shared" si="30" ref="H156:N156">SUM(H157:H158)</f>
        <v>0</v>
      </c>
      <c r="I156" s="215">
        <f t="shared" si="30"/>
        <v>0</v>
      </c>
      <c r="J156" s="215">
        <f t="shared" si="30"/>
        <v>30000</v>
      </c>
      <c r="K156" s="215">
        <f t="shared" si="30"/>
        <v>0</v>
      </c>
      <c r="L156" s="215">
        <f t="shared" si="30"/>
        <v>0</v>
      </c>
      <c r="M156" s="215">
        <f t="shared" si="30"/>
        <v>4500</v>
      </c>
      <c r="N156" s="215">
        <f t="shared" si="30"/>
        <v>0</v>
      </c>
    </row>
    <row r="157" spans="1:14" s="46" customFormat="1" ht="12.75">
      <c r="A157" s="81"/>
      <c r="B157" s="81"/>
      <c r="C157" s="85">
        <v>4210</v>
      </c>
      <c r="D157" s="88" t="s">
        <v>677</v>
      </c>
      <c r="E157" s="202">
        <f t="shared" si="25"/>
        <v>4500</v>
      </c>
      <c r="F157" s="202">
        <f t="shared" si="26"/>
        <v>4500</v>
      </c>
      <c r="G157" s="202"/>
      <c r="H157" s="202"/>
      <c r="I157" s="202"/>
      <c r="J157" s="202"/>
      <c r="K157" s="202"/>
      <c r="L157" s="202"/>
      <c r="M157" s="202">
        <v>4500</v>
      </c>
      <c r="N157" s="202"/>
    </row>
    <row r="158" spans="1:14" s="46" customFormat="1" ht="63.75">
      <c r="A158" s="81"/>
      <c r="B158" s="81"/>
      <c r="C158" s="85">
        <v>2310</v>
      </c>
      <c r="D158" s="88" t="s">
        <v>678</v>
      </c>
      <c r="E158" s="202">
        <f t="shared" si="25"/>
        <v>30000</v>
      </c>
      <c r="F158" s="202">
        <f t="shared" si="26"/>
        <v>30000</v>
      </c>
      <c r="G158" s="202"/>
      <c r="H158" s="202"/>
      <c r="I158" s="202"/>
      <c r="J158" s="202">
        <v>30000</v>
      </c>
      <c r="K158" s="202"/>
      <c r="L158" s="202"/>
      <c r="M158" s="202"/>
      <c r="N158" s="202"/>
    </row>
    <row r="159" spans="1:14" s="120" customFormat="1" ht="12.75">
      <c r="A159" s="81">
        <v>757</v>
      </c>
      <c r="B159" s="81"/>
      <c r="C159" s="82"/>
      <c r="D159" s="94" t="s">
        <v>679</v>
      </c>
      <c r="E159" s="214">
        <f t="shared" si="25"/>
        <v>267000</v>
      </c>
      <c r="F159" s="214">
        <f>SUM(G159:M159)</f>
        <v>267000</v>
      </c>
      <c r="G159" s="214">
        <f>SUM(G161:G162)</f>
        <v>0</v>
      </c>
      <c r="H159" s="214">
        <f aca="true" t="shared" si="31" ref="H159:N159">SUM(H161:H162)</f>
        <v>0</v>
      </c>
      <c r="I159" s="214">
        <f t="shared" si="31"/>
        <v>0</v>
      </c>
      <c r="J159" s="214">
        <f t="shared" si="31"/>
        <v>0</v>
      </c>
      <c r="K159" s="214">
        <f t="shared" si="31"/>
        <v>263100</v>
      </c>
      <c r="L159" s="214">
        <f t="shared" si="31"/>
        <v>0</v>
      </c>
      <c r="M159" s="214">
        <f t="shared" si="31"/>
        <v>3900</v>
      </c>
      <c r="N159" s="214">
        <f t="shared" si="31"/>
        <v>0</v>
      </c>
    </row>
    <row r="160" spans="1:14" s="79" customFormat="1" ht="37.5" customHeight="1">
      <c r="A160" s="86"/>
      <c r="B160" s="86">
        <v>75702</v>
      </c>
      <c r="C160" s="89"/>
      <c r="D160" s="93" t="s">
        <v>680</v>
      </c>
      <c r="E160" s="215">
        <f t="shared" si="25"/>
        <v>267000</v>
      </c>
      <c r="F160" s="215">
        <f t="shared" si="26"/>
        <v>267000</v>
      </c>
      <c r="G160" s="215">
        <f>SUM(G161:G162)</f>
        <v>0</v>
      </c>
      <c r="H160" s="215">
        <f aca="true" t="shared" si="32" ref="H160:N160">SUM(H161:H162)</f>
        <v>0</v>
      </c>
      <c r="I160" s="215">
        <f t="shared" si="32"/>
        <v>0</v>
      </c>
      <c r="J160" s="215">
        <f t="shared" si="32"/>
        <v>0</v>
      </c>
      <c r="K160" s="215">
        <f t="shared" si="32"/>
        <v>263100</v>
      </c>
      <c r="L160" s="215">
        <f t="shared" si="32"/>
        <v>0</v>
      </c>
      <c r="M160" s="215">
        <f t="shared" si="32"/>
        <v>3900</v>
      </c>
      <c r="N160" s="215">
        <f t="shared" si="32"/>
        <v>0</v>
      </c>
    </row>
    <row r="161" spans="1:14" s="46" customFormat="1" ht="12.75">
      <c r="A161" s="81"/>
      <c r="B161" s="81"/>
      <c r="C161" s="85">
        <v>4300</v>
      </c>
      <c r="D161" s="88" t="s">
        <v>612</v>
      </c>
      <c r="E161" s="202">
        <f t="shared" si="25"/>
        <v>3900</v>
      </c>
      <c r="F161" s="202">
        <f t="shared" si="26"/>
        <v>3900</v>
      </c>
      <c r="G161" s="202"/>
      <c r="H161" s="202"/>
      <c r="I161" s="202"/>
      <c r="J161" s="202"/>
      <c r="K161" s="202"/>
      <c r="L161" s="202"/>
      <c r="M161" s="202">
        <v>3900</v>
      </c>
      <c r="N161" s="202"/>
    </row>
    <row r="162" spans="1:14" s="46" customFormat="1" ht="38.25">
      <c r="A162" s="81"/>
      <c r="B162" s="81"/>
      <c r="C162" s="85">
        <v>8070</v>
      </c>
      <c r="D162" s="88" t="s">
        <v>681</v>
      </c>
      <c r="E162" s="202">
        <f t="shared" si="25"/>
        <v>263100</v>
      </c>
      <c r="F162" s="202">
        <f t="shared" si="26"/>
        <v>263100</v>
      </c>
      <c r="G162" s="202"/>
      <c r="H162" s="202"/>
      <c r="I162" s="202"/>
      <c r="J162" s="202"/>
      <c r="K162" s="202">
        <f>388250-121250-3900</f>
        <v>263100</v>
      </c>
      <c r="L162" s="202"/>
      <c r="M162" s="202"/>
      <c r="N162" s="202"/>
    </row>
    <row r="163" spans="1:14" s="120" customFormat="1" ht="12.75">
      <c r="A163" s="81">
        <v>758</v>
      </c>
      <c r="B163" s="81"/>
      <c r="C163" s="82"/>
      <c r="D163" s="94" t="s">
        <v>682</v>
      </c>
      <c r="E163" s="214">
        <f t="shared" si="25"/>
        <v>89</v>
      </c>
      <c r="F163" s="214">
        <f t="shared" si="26"/>
        <v>89</v>
      </c>
      <c r="G163" s="214">
        <f>G164</f>
        <v>0</v>
      </c>
      <c r="H163" s="214">
        <f aca="true" t="shared" si="33" ref="H163:N163">H164</f>
        <v>0</v>
      </c>
      <c r="I163" s="214">
        <f t="shared" si="33"/>
        <v>0</v>
      </c>
      <c r="J163" s="214">
        <f t="shared" si="33"/>
        <v>0</v>
      </c>
      <c r="K163" s="214">
        <f t="shared" si="33"/>
        <v>0</v>
      </c>
      <c r="L163" s="214">
        <f t="shared" si="33"/>
        <v>0</v>
      </c>
      <c r="M163" s="214">
        <f t="shared" si="33"/>
        <v>89</v>
      </c>
      <c r="N163" s="214">
        <f t="shared" si="33"/>
        <v>0</v>
      </c>
    </row>
    <row r="164" spans="1:14" s="79" customFormat="1" ht="12.75">
      <c r="A164" s="86"/>
      <c r="B164" s="86">
        <v>75818</v>
      </c>
      <c r="C164" s="89"/>
      <c r="D164" s="93" t="s">
        <v>683</v>
      </c>
      <c r="E164" s="215">
        <f t="shared" si="25"/>
        <v>89</v>
      </c>
      <c r="F164" s="215">
        <f t="shared" si="26"/>
        <v>89</v>
      </c>
      <c r="G164" s="215">
        <f aca="true" t="shared" si="34" ref="G164:N164">SUM(G165:G166)</f>
        <v>0</v>
      </c>
      <c r="H164" s="215">
        <f t="shared" si="34"/>
        <v>0</v>
      </c>
      <c r="I164" s="215">
        <f t="shared" si="34"/>
        <v>0</v>
      </c>
      <c r="J164" s="215">
        <f t="shared" si="34"/>
        <v>0</v>
      </c>
      <c r="K164" s="215">
        <f t="shared" si="34"/>
        <v>0</v>
      </c>
      <c r="L164" s="215">
        <f t="shared" si="34"/>
        <v>0</v>
      </c>
      <c r="M164" s="215">
        <f t="shared" si="34"/>
        <v>89</v>
      </c>
      <c r="N164" s="215">
        <f t="shared" si="34"/>
        <v>0</v>
      </c>
    </row>
    <row r="165" spans="1:14" s="46" customFormat="1" ht="12.75">
      <c r="A165" s="81"/>
      <c r="B165" s="81"/>
      <c r="C165" s="85">
        <v>4810</v>
      </c>
      <c r="D165" s="88" t="s">
        <v>684</v>
      </c>
      <c r="E165" s="202">
        <f t="shared" si="25"/>
        <v>89</v>
      </c>
      <c r="F165" s="202">
        <f t="shared" si="26"/>
        <v>89</v>
      </c>
      <c r="G165" s="202"/>
      <c r="H165" s="202"/>
      <c r="I165" s="202"/>
      <c r="J165" s="202"/>
      <c r="K165" s="202"/>
      <c r="L165" s="202"/>
      <c r="M165" s="202">
        <f>785000+109000-89200-2926-586240-54292-98766-62487</f>
        <v>89</v>
      </c>
      <c r="N165" s="202"/>
    </row>
    <row r="166" spans="1:14" s="46" customFormat="1" ht="25.5">
      <c r="A166" s="81"/>
      <c r="B166" s="81"/>
      <c r="C166" s="85">
        <v>6800</v>
      </c>
      <c r="D166" s="88" t="s">
        <v>69</v>
      </c>
      <c r="E166" s="202">
        <f t="shared" si="25"/>
        <v>0</v>
      </c>
      <c r="F166" s="202">
        <f>SUM(G166:M166)</f>
        <v>0</v>
      </c>
      <c r="G166" s="202"/>
      <c r="H166" s="202"/>
      <c r="I166" s="202"/>
      <c r="J166" s="202"/>
      <c r="K166" s="202"/>
      <c r="L166" s="202"/>
      <c r="M166" s="216"/>
      <c r="N166" s="202">
        <f>200000-30000-25483-20000-62660-28300-33557</f>
        <v>0</v>
      </c>
    </row>
    <row r="167" spans="1:14" s="120" customFormat="1" ht="12.75">
      <c r="A167" s="81">
        <v>801</v>
      </c>
      <c r="B167" s="81"/>
      <c r="C167" s="82"/>
      <c r="D167" s="94" t="s">
        <v>685</v>
      </c>
      <c r="E167" s="214">
        <f t="shared" si="25"/>
        <v>10973840</v>
      </c>
      <c r="F167" s="214">
        <f t="shared" si="26"/>
        <v>10695950</v>
      </c>
      <c r="G167" s="214">
        <f aca="true" t="shared" si="35" ref="G167:N167">SUM(G168+G175+G196+G208+G238+G261+G268+G273)</f>
        <v>6532875</v>
      </c>
      <c r="H167" s="214">
        <f t="shared" si="35"/>
        <v>467919</v>
      </c>
      <c r="I167" s="214">
        <f t="shared" si="35"/>
        <v>1378570</v>
      </c>
      <c r="J167" s="214">
        <f t="shared" si="35"/>
        <v>87990</v>
      </c>
      <c r="K167" s="214">
        <f t="shared" si="35"/>
        <v>0</v>
      </c>
      <c r="L167" s="214">
        <f t="shared" si="35"/>
        <v>0</v>
      </c>
      <c r="M167" s="214">
        <f t="shared" si="35"/>
        <v>2228596</v>
      </c>
      <c r="N167" s="214">
        <f t="shared" si="35"/>
        <v>277890</v>
      </c>
    </row>
    <row r="168" spans="1:14" s="79" customFormat="1" ht="12.75">
      <c r="A168" s="81"/>
      <c r="B168" s="86">
        <v>80102</v>
      </c>
      <c r="C168" s="89"/>
      <c r="D168" s="93" t="s">
        <v>686</v>
      </c>
      <c r="E168" s="215">
        <f t="shared" si="25"/>
        <v>668674</v>
      </c>
      <c r="F168" s="215">
        <f t="shared" si="26"/>
        <v>668674</v>
      </c>
      <c r="G168" s="215">
        <f aca="true" t="shared" si="36" ref="G168:N168">SUM(G169:G174)</f>
        <v>502286</v>
      </c>
      <c r="H168" s="215">
        <f t="shared" si="36"/>
        <v>33811</v>
      </c>
      <c r="I168" s="215">
        <f t="shared" si="36"/>
        <v>104766</v>
      </c>
      <c r="J168" s="215">
        <f t="shared" si="36"/>
        <v>0</v>
      </c>
      <c r="K168" s="215">
        <f t="shared" si="36"/>
        <v>0</v>
      </c>
      <c r="L168" s="215">
        <f t="shared" si="36"/>
        <v>0</v>
      </c>
      <c r="M168" s="215">
        <f t="shared" si="36"/>
        <v>27811</v>
      </c>
      <c r="N168" s="215">
        <f t="shared" si="36"/>
        <v>0</v>
      </c>
    </row>
    <row r="169" spans="1:14" s="46" customFormat="1" ht="25.5">
      <c r="A169" s="81"/>
      <c r="B169" s="81"/>
      <c r="C169" s="85">
        <v>3020</v>
      </c>
      <c r="D169" s="88" t="s">
        <v>227</v>
      </c>
      <c r="E169" s="202">
        <f t="shared" si="25"/>
        <v>970</v>
      </c>
      <c r="F169" s="202">
        <f t="shared" si="26"/>
        <v>970</v>
      </c>
      <c r="G169" s="202"/>
      <c r="H169" s="202"/>
      <c r="I169" s="202"/>
      <c r="J169" s="202"/>
      <c r="K169" s="202"/>
      <c r="L169" s="202"/>
      <c r="M169" s="202">
        <v>970</v>
      </c>
      <c r="N169" s="202"/>
    </row>
    <row r="170" spans="1:14" s="46" customFormat="1" ht="25.5">
      <c r="A170" s="81"/>
      <c r="B170" s="81"/>
      <c r="C170" s="85">
        <v>4010</v>
      </c>
      <c r="D170" s="88" t="s">
        <v>624</v>
      </c>
      <c r="E170" s="202">
        <f t="shared" si="25"/>
        <v>502286</v>
      </c>
      <c r="F170" s="202">
        <f t="shared" si="26"/>
        <v>502286</v>
      </c>
      <c r="G170" s="202">
        <f>479180+23106</f>
        <v>502286</v>
      </c>
      <c r="H170" s="202"/>
      <c r="I170" s="202"/>
      <c r="J170" s="202"/>
      <c r="K170" s="202"/>
      <c r="L170" s="202"/>
      <c r="M170" s="202"/>
      <c r="N170" s="202"/>
    </row>
    <row r="171" spans="1:14" s="46" customFormat="1" ht="12.75">
      <c r="A171" s="81"/>
      <c r="B171" s="81"/>
      <c r="C171" s="85">
        <v>4040</v>
      </c>
      <c r="D171" s="88" t="s">
        <v>625</v>
      </c>
      <c r="E171" s="202">
        <f t="shared" si="25"/>
        <v>33811</v>
      </c>
      <c r="F171" s="202">
        <f t="shared" si="26"/>
        <v>33811</v>
      </c>
      <c r="G171" s="202"/>
      <c r="H171" s="202">
        <f>35430-1619</f>
        <v>33811</v>
      </c>
      <c r="I171" s="202"/>
      <c r="J171" s="202"/>
      <c r="K171" s="202"/>
      <c r="L171" s="202"/>
      <c r="M171" s="202"/>
      <c r="N171" s="202"/>
    </row>
    <row r="172" spans="1:14" s="46" customFormat="1" ht="12.75">
      <c r="A172" s="81"/>
      <c r="B172" s="81"/>
      <c r="C172" s="85">
        <v>4110</v>
      </c>
      <c r="D172" s="88" t="s">
        <v>687</v>
      </c>
      <c r="E172" s="202">
        <f t="shared" si="25"/>
        <v>92000</v>
      </c>
      <c r="F172" s="202">
        <f t="shared" si="26"/>
        <v>92000</v>
      </c>
      <c r="G172" s="202"/>
      <c r="H172" s="202"/>
      <c r="I172" s="202">
        <f>86310+578+5112</f>
        <v>92000</v>
      </c>
      <c r="J172" s="202"/>
      <c r="K172" s="202"/>
      <c r="L172" s="202"/>
      <c r="M172" s="202"/>
      <c r="N172" s="202"/>
    </row>
    <row r="173" spans="1:14" s="46" customFormat="1" ht="12.75">
      <c r="A173" s="81"/>
      <c r="B173" s="81"/>
      <c r="C173" s="85">
        <v>4120</v>
      </c>
      <c r="D173" s="88" t="s">
        <v>627</v>
      </c>
      <c r="E173" s="202">
        <f t="shared" si="25"/>
        <v>12766</v>
      </c>
      <c r="F173" s="202">
        <f t="shared" si="26"/>
        <v>12766</v>
      </c>
      <c r="G173" s="202"/>
      <c r="H173" s="202"/>
      <c r="I173" s="202">
        <f>12270+81+415</f>
        <v>12766</v>
      </c>
      <c r="J173" s="202"/>
      <c r="K173" s="202"/>
      <c r="L173" s="202"/>
      <c r="M173" s="202"/>
      <c r="N173" s="202"/>
    </row>
    <row r="174" spans="1:14" s="46" customFormat="1" ht="25.5">
      <c r="A174" s="81"/>
      <c r="B174" s="81"/>
      <c r="C174" s="85">
        <v>4440</v>
      </c>
      <c r="D174" s="88" t="s">
        <v>641</v>
      </c>
      <c r="E174" s="202">
        <f t="shared" si="25"/>
        <v>26841</v>
      </c>
      <c r="F174" s="202">
        <f t="shared" si="26"/>
        <v>26841</v>
      </c>
      <c r="G174" s="202"/>
      <c r="H174" s="202"/>
      <c r="I174" s="202"/>
      <c r="J174" s="202"/>
      <c r="K174" s="202"/>
      <c r="L174" s="202"/>
      <c r="M174" s="202">
        <f>25680+1161</f>
        <v>26841</v>
      </c>
      <c r="N174" s="202"/>
    </row>
    <row r="175" spans="1:14" s="79" customFormat="1" ht="12.75">
      <c r="A175" s="81"/>
      <c r="B175" s="86">
        <v>80111</v>
      </c>
      <c r="C175" s="89"/>
      <c r="D175" s="93" t="s">
        <v>688</v>
      </c>
      <c r="E175" s="215">
        <f t="shared" si="25"/>
        <v>794037</v>
      </c>
      <c r="F175" s="215">
        <f t="shared" si="26"/>
        <v>794037</v>
      </c>
      <c r="G175" s="215">
        <f aca="true" t="shared" si="37" ref="G175:N175">SUM(G176:G195)</f>
        <v>459707</v>
      </c>
      <c r="H175" s="215">
        <f t="shared" si="37"/>
        <v>33877</v>
      </c>
      <c r="I175" s="215">
        <f t="shared" si="37"/>
        <v>96899</v>
      </c>
      <c r="J175" s="215">
        <f t="shared" si="37"/>
        <v>0</v>
      </c>
      <c r="K175" s="215">
        <f t="shared" si="37"/>
        <v>0</v>
      </c>
      <c r="L175" s="215">
        <f t="shared" si="37"/>
        <v>0</v>
      </c>
      <c r="M175" s="215">
        <f t="shared" si="37"/>
        <v>203554</v>
      </c>
      <c r="N175" s="215">
        <f t="shared" si="37"/>
        <v>0</v>
      </c>
    </row>
    <row r="176" spans="1:14" s="46" customFormat="1" ht="25.5">
      <c r="A176" s="81"/>
      <c r="B176" s="81"/>
      <c r="C176" s="85">
        <v>3020</v>
      </c>
      <c r="D176" s="88" t="s">
        <v>227</v>
      </c>
      <c r="E176" s="202">
        <f t="shared" si="25"/>
        <v>6150</v>
      </c>
      <c r="F176" s="202">
        <f t="shared" si="26"/>
        <v>6150</v>
      </c>
      <c r="G176" s="202"/>
      <c r="H176" s="202"/>
      <c r="I176" s="202"/>
      <c r="J176" s="202"/>
      <c r="K176" s="202"/>
      <c r="L176" s="202"/>
      <c r="M176" s="202">
        <v>6150</v>
      </c>
      <c r="N176" s="202"/>
    </row>
    <row r="177" spans="1:14" s="46" customFormat="1" ht="25.5">
      <c r="A177" s="81"/>
      <c r="B177" s="81"/>
      <c r="C177" s="85">
        <v>4010</v>
      </c>
      <c r="D177" s="88" t="s">
        <v>624</v>
      </c>
      <c r="E177" s="202">
        <f t="shared" si="25"/>
        <v>459707</v>
      </c>
      <c r="F177" s="202">
        <f t="shared" si="26"/>
        <v>459707</v>
      </c>
      <c r="G177" s="202">
        <f>471470-11763</f>
        <v>459707</v>
      </c>
      <c r="H177" s="202"/>
      <c r="I177" s="202"/>
      <c r="J177" s="202"/>
      <c r="K177" s="202"/>
      <c r="L177" s="202"/>
      <c r="M177" s="202"/>
      <c r="N177" s="202"/>
    </row>
    <row r="178" spans="1:14" s="46" customFormat="1" ht="12.75">
      <c r="A178" s="81"/>
      <c r="B178" s="81"/>
      <c r="C178" s="85">
        <v>4040</v>
      </c>
      <c r="D178" s="88" t="s">
        <v>625</v>
      </c>
      <c r="E178" s="202">
        <f t="shared" si="25"/>
        <v>33877</v>
      </c>
      <c r="F178" s="202">
        <f t="shared" si="26"/>
        <v>33877</v>
      </c>
      <c r="G178" s="202"/>
      <c r="H178" s="202">
        <f>35240-1363</f>
        <v>33877</v>
      </c>
      <c r="I178" s="202"/>
      <c r="J178" s="202"/>
      <c r="K178" s="202"/>
      <c r="L178" s="202"/>
      <c r="M178" s="202"/>
      <c r="N178" s="202"/>
    </row>
    <row r="179" spans="1:14" s="46" customFormat="1" ht="12.75">
      <c r="A179" s="81"/>
      <c r="B179" s="81"/>
      <c r="C179" s="85">
        <v>4110</v>
      </c>
      <c r="D179" s="88" t="s">
        <v>687</v>
      </c>
      <c r="E179" s="202">
        <f t="shared" si="25"/>
        <v>84987</v>
      </c>
      <c r="F179" s="202">
        <f t="shared" si="26"/>
        <v>84987</v>
      </c>
      <c r="G179" s="202"/>
      <c r="H179" s="202"/>
      <c r="I179" s="202">
        <f>85530-543</f>
        <v>84987</v>
      </c>
      <c r="J179" s="202"/>
      <c r="K179" s="202"/>
      <c r="L179" s="202"/>
      <c r="M179" s="202"/>
      <c r="N179" s="202"/>
    </row>
    <row r="180" spans="1:14" s="46" customFormat="1" ht="12.75">
      <c r="A180" s="81"/>
      <c r="B180" s="81"/>
      <c r="C180" s="85">
        <v>4120</v>
      </c>
      <c r="D180" s="88" t="s">
        <v>689</v>
      </c>
      <c r="E180" s="202">
        <f t="shared" si="25"/>
        <v>11912</v>
      </c>
      <c r="F180" s="202">
        <f t="shared" si="26"/>
        <v>11912</v>
      </c>
      <c r="G180" s="202"/>
      <c r="H180" s="202"/>
      <c r="I180" s="202">
        <f>12160-248</f>
        <v>11912</v>
      </c>
      <c r="J180" s="202"/>
      <c r="K180" s="202"/>
      <c r="L180" s="202"/>
      <c r="M180" s="202"/>
      <c r="N180" s="202"/>
    </row>
    <row r="181" spans="1:14" s="46" customFormat="1" ht="12.75">
      <c r="A181" s="81"/>
      <c r="B181" s="81"/>
      <c r="C181" s="85">
        <v>4170</v>
      </c>
      <c r="D181" s="88" t="s">
        <v>655</v>
      </c>
      <c r="E181" s="202">
        <f t="shared" si="25"/>
        <v>2200</v>
      </c>
      <c r="F181" s="202">
        <f t="shared" si="26"/>
        <v>2200</v>
      </c>
      <c r="G181" s="202"/>
      <c r="H181" s="202"/>
      <c r="I181" s="202"/>
      <c r="J181" s="202"/>
      <c r="K181" s="202"/>
      <c r="L181" s="202"/>
      <c r="M181" s="202">
        <f>510+2000-310</f>
        <v>2200</v>
      </c>
      <c r="N181" s="202"/>
    </row>
    <row r="182" spans="1:14" s="46" customFormat="1" ht="12.75">
      <c r="A182" s="81"/>
      <c r="B182" s="81"/>
      <c r="C182" s="85">
        <v>4210</v>
      </c>
      <c r="D182" s="88" t="s">
        <v>629</v>
      </c>
      <c r="E182" s="202">
        <f t="shared" si="25"/>
        <v>20803</v>
      </c>
      <c r="F182" s="202">
        <f t="shared" si="26"/>
        <v>20803</v>
      </c>
      <c r="G182" s="202"/>
      <c r="H182" s="202"/>
      <c r="I182" s="202"/>
      <c r="J182" s="202"/>
      <c r="K182" s="202"/>
      <c r="L182" s="202"/>
      <c r="M182" s="202">
        <f>17830+2973</f>
        <v>20803</v>
      </c>
      <c r="N182" s="202"/>
    </row>
    <row r="183" spans="1:14" s="46" customFormat="1" ht="25.5">
      <c r="A183" s="81"/>
      <c r="B183" s="81"/>
      <c r="C183" s="85">
        <v>4240</v>
      </c>
      <c r="D183" s="88" t="s">
        <v>690</v>
      </c>
      <c r="E183" s="202">
        <f t="shared" si="25"/>
        <v>2000</v>
      </c>
      <c r="F183" s="202">
        <f t="shared" si="26"/>
        <v>2000</v>
      </c>
      <c r="G183" s="202"/>
      <c r="H183" s="202"/>
      <c r="I183" s="202"/>
      <c r="J183" s="202"/>
      <c r="K183" s="202"/>
      <c r="L183" s="202"/>
      <c r="M183" s="202">
        <f>2000</f>
        <v>2000</v>
      </c>
      <c r="N183" s="202"/>
    </row>
    <row r="184" spans="1:14" s="46" customFormat="1" ht="12.75">
      <c r="A184" s="81"/>
      <c r="B184" s="81"/>
      <c r="C184" s="85">
        <v>4260</v>
      </c>
      <c r="D184" s="88" t="s">
        <v>630</v>
      </c>
      <c r="E184" s="202">
        <f t="shared" si="25"/>
        <v>67000</v>
      </c>
      <c r="F184" s="202">
        <f t="shared" si="26"/>
        <v>67000</v>
      </c>
      <c r="G184" s="202"/>
      <c r="H184" s="202"/>
      <c r="I184" s="202"/>
      <c r="J184" s="202"/>
      <c r="K184" s="202"/>
      <c r="L184" s="202"/>
      <c r="M184" s="202">
        <f>78000-11000</f>
        <v>67000</v>
      </c>
      <c r="N184" s="202"/>
    </row>
    <row r="185" spans="1:14" s="46" customFormat="1" ht="12.75">
      <c r="A185" s="81"/>
      <c r="B185" s="81"/>
      <c r="C185" s="85">
        <v>4270</v>
      </c>
      <c r="D185" s="88" t="s">
        <v>648</v>
      </c>
      <c r="E185" s="202">
        <f t="shared" si="25"/>
        <v>22600</v>
      </c>
      <c r="F185" s="202">
        <f t="shared" si="26"/>
        <v>22600</v>
      </c>
      <c r="G185" s="202"/>
      <c r="H185" s="202"/>
      <c r="I185" s="202"/>
      <c r="J185" s="202"/>
      <c r="K185" s="202"/>
      <c r="L185" s="202"/>
      <c r="M185" s="202">
        <f>2600+20000</f>
        <v>22600</v>
      </c>
      <c r="N185" s="202"/>
    </row>
    <row r="186" spans="1:14" s="46" customFormat="1" ht="12.75">
      <c r="A186" s="81"/>
      <c r="B186" s="81"/>
      <c r="C186" s="85">
        <v>4280</v>
      </c>
      <c r="D186" s="88" t="s">
        <v>632</v>
      </c>
      <c r="E186" s="202">
        <f t="shared" si="25"/>
        <v>930</v>
      </c>
      <c r="F186" s="202">
        <f t="shared" si="26"/>
        <v>930</v>
      </c>
      <c r="G186" s="202"/>
      <c r="H186" s="202"/>
      <c r="I186" s="202"/>
      <c r="J186" s="202"/>
      <c r="K186" s="202"/>
      <c r="L186" s="202"/>
      <c r="M186" s="202">
        <f>1530-600</f>
        <v>930</v>
      </c>
      <c r="N186" s="202"/>
    </row>
    <row r="187" spans="1:14" s="46" customFormat="1" ht="12.75">
      <c r="A187" s="81"/>
      <c r="B187" s="81"/>
      <c r="C187" s="85">
        <v>4300</v>
      </c>
      <c r="D187" s="88" t="s">
        <v>612</v>
      </c>
      <c r="E187" s="202">
        <f t="shared" si="25"/>
        <v>39800</v>
      </c>
      <c r="F187" s="202">
        <f t="shared" si="26"/>
        <v>39800</v>
      </c>
      <c r="G187" s="202"/>
      <c r="H187" s="202"/>
      <c r="I187" s="202"/>
      <c r="J187" s="202"/>
      <c r="K187" s="202"/>
      <c r="L187" s="202"/>
      <c r="M187" s="202">
        <f>36500+5920-2620</f>
        <v>39800</v>
      </c>
      <c r="N187" s="202"/>
    </row>
    <row r="188" spans="1:14" s="46" customFormat="1" ht="25.5">
      <c r="A188" s="81"/>
      <c r="B188" s="81"/>
      <c r="C188" s="85">
        <v>4350</v>
      </c>
      <c r="D188" s="88" t="s">
        <v>633</v>
      </c>
      <c r="E188" s="202">
        <f t="shared" si="25"/>
        <v>3500</v>
      </c>
      <c r="F188" s="202">
        <f t="shared" si="26"/>
        <v>3500</v>
      </c>
      <c r="G188" s="202"/>
      <c r="H188" s="202"/>
      <c r="I188" s="202"/>
      <c r="J188" s="202"/>
      <c r="K188" s="202"/>
      <c r="L188" s="202"/>
      <c r="M188" s="202">
        <f>5100-1600</f>
        <v>3500</v>
      </c>
      <c r="N188" s="202"/>
    </row>
    <row r="189" spans="1:14" s="46" customFormat="1" ht="38.25">
      <c r="A189" s="81"/>
      <c r="B189" s="81"/>
      <c r="C189" s="85">
        <v>4370</v>
      </c>
      <c r="D189" s="88" t="s">
        <v>691</v>
      </c>
      <c r="E189" s="202">
        <f t="shared" si="25"/>
        <v>2310</v>
      </c>
      <c r="F189" s="202">
        <f t="shared" si="26"/>
        <v>2310</v>
      </c>
      <c r="G189" s="202"/>
      <c r="H189" s="202"/>
      <c r="I189" s="202"/>
      <c r="J189" s="202"/>
      <c r="K189" s="202"/>
      <c r="L189" s="202"/>
      <c r="M189" s="202">
        <f>5610-3300</f>
        <v>2310</v>
      </c>
      <c r="N189" s="202"/>
    </row>
    <row r="190" spans="1:14" s="46" customFormat="1" ht="12.75">
      <c r="A190" s="81"/>
      <c r="B190" s="81"/>
      <c r="C190" s="85">
        <v>4410</v>
      </c>
      <c r="D190" s="88" t="s">
        <v>639</v>
      </c>
      <c r="E190" s="202">
        <f t="shared" si="25"/>
        <v>1000</v>
      </c>
      <c r="F190" s="202">
        <f t="shared" si="26"/>
        <v>1000</v>
      </c>
      <c r="G190" s="202"/>
      <c r="H190" s="202"/>
      <c r="I190" s="202"/>
      <c r="J190" s="202"/>
      <c r="K190" s="202"/>
      <c r="L190" s="202"/>
      <c r="M190" s="202">
        <v>1000</v>
      </c>
      <c r="N190" s="202"/>
    </row>
    <row r="191" spans="1:14" s="46" customFormat="1" ht="12.75">
      <c r="A191" s="81"/>
      <c r="B191" s="81"/>
      <c r="C191" s="85">
        <v>4430</v>
      </c>
      <c r="D191" s="88" t="s">
        <v>640</v>
      </c>
      <c r="E191" s="202">
        <f t="shared" si="25"/>
        <v>2970</v>
      </c>
      <c r="F191" s="202">
        <f t="shared" si="26"/>
        <v>2970</v>
      </c>
      <c r="G191" s="202"/>
      <c r="H191" s="202"/>
      <c r="I191" s="202"/>
      <c r="J191" s="202"/>
      <c r="K191" s="202"/>
      <c r="L191" s="202"/>
      <c r="M191" s="202">
        <f>3670-700</f>
        <v>2970</v>
      </c>
      <c r="N191" s="202"/>
    </row>
    <row r="192" spans="1:14" s="46" customFormat="1" ht="25.5">
      <c r="A192" s="81"/>
      <c r="B192" s="81"/>
      <c r="C192" s="85">
        <v>4440</v>
      </c>
      <c r="D192" s="88" t="s">
        <v>641</v>
      </c>
      <c r="E192" s="202">
        <f t="shared" si="25"/>
        <v>25554</v>
      </c>
      <c r="F192" s="202">
        <f t="shared" si="26"/>
        <v>25554</v>
      </c>
      <c r="G192" s="202"/>
      <c r="H192" s="202"/>
      <c r="I192" s="202"/>
      <c r="J192" s="202"/>
      <c r="K192" s="202"/>
      <c r="L192" s="202"/>
      <c r="M192" s="202">
        <f>24220+1334</f>
        <v>25554</v>
      </c>
      <c r="N192" s="202"/>
    </row>
    <row r="193" spans="1:14" s="46" customFormat="1" ht="38.25">
      <c r="A193" s="81"/>
      <c r="B193" s="81"/>
      <c r="C193" s="85">
        <v>4700</v>
      </c>
      <c r="D193" s="88" t="s">
        <v>226</v>
      </c>
      <c r="E193" s="202">
        <f t="shared" si="25"/>
        <v>867</v>
      </c>
      <c r="F193" s="202">
        <f t="shared" si="26"/>
        <v>867</v>
      </c>
      <c r="G193" s="202"/>
      <c r="H193" s="202"/>
      <c r="I193" s="202"/>
      <c r="J193" s="202"/>
      <c r="K193" s="202"/>
      <c r="L193" s="202"/>
      <c r="M193" s="202">
        <f>1530-663</f>
        <v>867</v>
      </c>
      <c r="N193" s="202"/>
    </row>
    <row r="194" spans="1:14" s="46" customFormat="1" ht="38.25">
      <c r="A194" s="81"/>
      <c r="B194" s="81"/>
      <c r="C194" s="85">
        <v>4740</v>
      </c>
      <c r="D194" s="88" t="s">
        <v>658</v>
      </c>
      <c r="E194" s="202">
        <f t="shared" si="25"/>
        <v>1530</v>
      </c>
      <c r="F194" s="202">
        <f t="shared" si="26"/>
        <v>1530</v>
      </c>
      <c r="G194" s="202"/>
      <c r="H194" s="202"/>
      <c r="I194" s="202"/>
      <c r="J194" s="202"/>
      <c r="K194" s="202"/>
      <c r="L194" s="202"/>
      <c r="M194" s="202">
        <v>1530</v>
      </c>
      <c r="N194" s="202"/>
    </row>
    <row r="195" spans="1:14" s="46" customFormat="1" ht="25.5">
      <c r="A195" s="81"/>
      <c r="B195" s="81"/>
      <c r="C195" s="85">
        <v>4750</v>
      </c>
      <c r="D195" s="88" t="s">
        <v>692</v>
      </c>
      <c r="E195" s="202">
        <f t="shared" si="25"/>
        <v>4340</v>
      </c>
      <c r="F195" s="202">
        <f t="shared" si="26"/>
        <v>4340</v>
      </c>
      <c r="G195" s="202"/>
      <c r="H195" s="202"/>
      <c r="I195" s="202"/>
      <c r="J195" s="202"/>
      <c r="K195" s="202"/>
      <c r="L195" s="202"/>
      <c r="M195" s="202">
        <f>2340+2000</f>
        <v>4340</v>
      </c>
      <c r="N195" s="202"/>
    </row>
    <row r="196" spans="1:14" s="79" customFormat="1" ht="12.75">
      <c r="A196" s="81"/>
      <c r="B196" s="86">
        <v>80120</v>
      </c>
      <c r="C196" s="89"/>
      <c r="D196" s="93" t="s">
        <v>693</v>
      </c>
      <c r="E196" s="215">
        <f t="shared" si="25"/>
        <v>1834923</v>
      </c>
      <c r="F196" s="215">
        <f t="shared" si="26"/>
        <v>1834923</v>
      </c>
      <c r="G196" s="215">
        <f>SUM(G197:G207)</f>
        <v>1258371</v>
      </c>
      <c r="H196" s="215">
        <f aca="true" t="shared" si="38" ref="H196:N196">SUM(H197:H207)</f>
        <v>93782</v>
      </c>
      <c r="I196" s="215">
        <f t="shared" si="38"/>
        <v>267851</v>
      </c>
      <c r="J196" s="215">
        <f t="shared" si="38"/>
        <v>54990</v>
      </c>
      <c r="K196" s="215">
        <f t="shared" si="38"/>
        <v>0</v>
      </c>
      <c r="L196" s="215">
        <f t="shared" si="38"/>
        <v>0</v>
      </c>
      <c r="M196" s="215">
        <f t="shared" si="38"/>
        <v>159929</v>
      </c>
      <c r="N196" s="215">
        <f t="shared" si="38"/>
        <v>0</v>
      </c>
    </row>
    <row r="197" spans="1:14" s="46" customFormat="1" ht="38.25">
      <c r="A197" s="81"/>
      <c r="B197" s="81"/>
      <c r="C197" s="85">
        <v>2540</v>
      </c>
      <c r="D197" s="88" t="s">
        <v>694</v>
      </c>
      <c r="E197" s="202">
        <f t="shared" si="25"/>
        <v>54990</v>
      </c>
      <c r="F197" s="202">
        <f t="shared" si="26"/>
        <v>54990</v>
      </c>
      <c r="G197" s="202"/>
      <c r="H197" s="202"/>
      <c r="I197" s="202"/>
      <c r="J197" s="202">
        <f>95000-6000-34010</f>
        <v>54990</v>
      </c>
      <c r="K197" s="202"/>
      <c r="L197" s="202"/>
      <c r="M197" s="202"/>
      <c r="N197" s="202"/>
    </row>
    <row r="198" spans="1:14" s="46" customFormat="1" ht="25.5">
      <c r="A198" s="81"/>
      <c r="B198" s="81"/>
      <c r="C198" s="85">
        <v>3020</v>
      </c>
      <c r="D198" s="88" t="s">
        <v>227</v>
      </c>
      <c r="E198" s="202">
        <f t="shared" si="25"/>
        <v>49874</v>
      </c>
      <c r="F198" s="202">
        <f t="shared" si="26"/>
        <v>49874</v>
      </c>
      <c r="G198" s="202"/>
      <c r="H198" s="202"/>
      <c r="I198" s="202"/>
      <c r="J198" s="202"/>
      <c r="K198" s="202"/>
      <c r="L198" s="202"/>
      <c r="M198" s="202">
        <f>47170+1625+1079</f>
        <v>49874</v>
      </c>
      <c r="N198" s="202"/>
    </row>
    <row r="199" spans="1:14" s="46" customFormat="1" ht="25.5">
      <c r="A199" s="81"/>
      <c r="B199" s="81"/>
      <c r="C199" s="85">
        <v>4010</v>
      </c>
      <c r="D199" s="88" t="s">
        <v>624</v>
      </c>
      <c r="E199" s="202">
        <f t="shared" si="25"/>
        <v>1258371</v>
      </c>
      <c r="F199" s="202">
        <f t="shared" si="26"/>
        <v>1258371</v>
      </c>
      <c r="G199" s="202">
        <f>1378130-10000-109759</f>
        <v>1258371</v>
      </c>
      <c r="H199" s="202"/>
      <c r="I199" s="202"/>
      <c r="J199" s="202"/>
      <c r="K199" s="202"/>
      <c r="L199" s="202"/>
      <c r="M199" s="202"/>
      <c r="N199" s="202"/>
    </row>
    <row r="200" spans="1:14" s="46" customFormat="1" ht="12.75">
      <c r="A200" s="81"/>
      <c r="B200" s="81"/>
      <c r="C200" s="85">
        <v>4040</v>
      </c>
      <c r="D200" s="88" t="s">
        <v>625</v>
      </c>
      <c r="E200" s="202">
        <f t="shared" si="25"/>
        <v>93782</v>
      </c>
      <c r="F200" s="202">
        <f t="shared" si="26"/>
        <v>93782</v>
      </c>
      <c r="G200" s="202"/>
      <c r="H200" s="202">
        <f>99840-6058</f>
        <v>93782</v>
      </c>
      <c r="I200" s="202"/>
      <c r="J200" s="202"/>
      <c r="K200" s="202"/>
      <c r="L200" s="202"/>
      <c r="M200" s="202"/>
      <c r="N200" s="202"/>
    </row>
    <row r="201" spans="1:14" s="46" customFormat="1" ht="12.75">
      <c r="A201" s="81"/>
      <c r="B201" s="81"/>
      <c r="C201" s="85">
        <v>4110</v>
      </c>
      <c r="D201" s="88" t="s">
        <v>687</v>
      </c>
      <c r="E201" s="202">
        <f t="shared" si="25"/>
        <v>235276</v>
      </c>
      <c r="F201" s="202">
        <f t="shared" si="26"/>
        <v>235276</v>
      </c>
      <c r="G201" s="202"/>
      <c r="H201" s="202"/>
      <c r="I201" s="202">
        <f>249480-6220+3471-11455</f>
        <v>235276</v>
      </c>
      <c r="J201" s="202"/>
      <c r="K201" s="202"/>
      <c r="L201" s="202"/>
      <c r="M201" s="202"/>
      <c r="N201" s="202"/>
    </row>
    <row r="202" spans="1:14" s="46" customFormat="1" ht="12.75">
      <c r="A202" s="81"/>
      <c r="B202" s="81"/>
      <c r="C202" s="85">
        <v>4120</v>
      </c>
      <c r="D202" s="88" t="s">
        <v>627</v>
      </c>
      <c r="E202" s="202">
        <f aca="true" t="shared" si="39" ref="E202:E266">F202+N202</f>
        <v>32575</v>
      </c>
      <c r="F202" s="202">
        <f aca="true" t="shared" si="40" ref="F202:F266">SUM(G202:M202)</f>
        <v>32575</v>
      </c>
      <c r="G202" s="202"/>
      <c r="H202" s="202"/>
      <c r="I202" s="202">
        <f>35470-1525-1370</f>
        <v>32575</v>
      </c>
      <c r="J202" s="202"/>
      <c r="K202" s="202"/>
      <c r="L202" s="202"/>
      <c r="M202" s="202"/>
      <c r="N202" s="202"/>
    </row>
    <row r="203" spans="1:14" s="46" customFormat="1" ht="12.75">
      <c r="A203" s="81"/>
      <c r="B203" s="81"/>
      <c r="C203" s="85">
        <v>4210</v>
      </c>
      <c r="D203" s="88" t="s">
        <v>629</v>
      </c>
      <c r="E203" s="202">
        <f t="shared" si="39"/>
        <v>9310</v>
      </c>
      <c r="F203" s="202">
        <f t="shared" si="40"/>
        <v>9310</v>
      </c>
      <c r="G203" s="202"/>
      <c r="H203" s="202"/>
      <c r="I203" s="202"/>
      <c r="J203" s="202"/>
      <c r="K203" s="202"/>
      <c r="L203" s="202"/>
      <c r="M203" s="202">
        <v>9310</v>
      </c>
      <c r="N203" s="202"/>
    </row>
    <row r="204" spans="1:14" s="46" customFormat="1" ht="25.5">
      <c r="A204" s="81"/>
      <c r="B204" s="81"/>
      <c r="C204" s="85">
        <v>4240</v>
      </c>
      <c r="D204" s="88" t="s">
        <v>690</v>
      </c>
      <c r="E204" s="202">
        <f t="shared" si="39"/>
        <v>0</v>
      </c>
      <c r="F204" s="202">
        <f t="shared" si="40"/>
        <v>0</v>
      </c>
      <c r="G204" s="202"/>
      <c r="H204" s="202"/>
      <c r="I204" s="202"/>
      <c r="J204" s="202"/>
      <c r="K204" s="202"/>
      <c r="L204" s="202"/>
      <c r="M204" s="202">
        <v>0</v>
      </c>
      <c r="N204" s="202"/>
    </row>
    <row r="205" spans="1:14" s="46" customFormat="1" ht="12.75">
      <c r="A205" s="81"/>
      <c r="B205" s="81"/>
      <c r="C205" s="85">
        <v>4260</v>
      </c>
      <c r="D205" s="88" t="s">
        <v>630</v>
      </c>
      <c r="E205" s="202">
        <f t="shared" si="39"/>
        <v>5180</v>
      </c>
      <c r="F205" s="202">
        <f t="shared" si="40"/>
        <v>5180</v>
      </c>
      <c r="G205" s="202"/>
      <c r="H205" s="202"/>
      <c r="I205" s="202"/>
      <c r="J205" s="202"/>
      <c r="K205" s="202"/>
      <c r="L205" s="202"/>
      <c r="M205" s="202">
        <v>5180</v>
      </c>
      <c r="N205" s="202"/>
    </row>
    <row r="206" spans="1:15" s="46" customFormat="1" ht="12.75">
      <c r="A206" s="81"/>
      <c r="B206" s="81"/>
      <c r="C206" s="85">
        <v>4300</v>
      </c>
      <c r="D206" s="88" t="s">
        <v>612</v>
      </c>
      <c r="E206" s="202">
        <f t="shared" si="39"/>
        <v>10880</v>
      </c>
      <c r="F206" s="202">
        <f t="shared" si="40"/>
        <v>10880</v>
      </c>
      <c r="G206" s="202"/>
      <c r="H206" s="202"/>
      <c r="I206" s="202"/>
      <c r="J206" s="202"/>
      <c r="K206" s="202"/>
      <c r="L206" s="202"/>
      <c r="M206" s="202">
        <f>11680-800</f>
        <v>10880</v>
      </c>
      <c r="N206" s="202"/>
      <c r="O206" s="46">
        <v>11680</v>
      </c>
    </row>
    <row r="207" spans="1:14" s="46" customFormat="1" ht="25.5">
      <c r="A207" s="81"/>
      <c r="B207" s="81"/>
      <c r="C207" s="85">
        <v>4440</v>
      </c>
      <c r="D207" s="88" t="s">
        <v>641</v>
      </c>
      <c r="E207" s="202">
        <f t="shared" si="39"/>
        <v>84685</v>
      </c>
      <c r="F207" s="202">
        <f t="shared" si="40"/>
        <v>84685</v>
      </c>
      <c r="G207" s="202"/>
      <c r="H207" s="202"/>
      <c r="I207" s="202"/>
      <c r="J207" s="202"/>
      <c r="K207" s="202"/>
      <c r="L207" s="202"/>
      <c r="M207" s="202">
        <f>85220+1012-1547</f>
        <v>84685</v>
      </c>
      <c r="N207" s="202"/>
    </row>
    <row r="208" spans="1:14" s="79" customFormat="1" ht="12.75">
      <c r="A208" s="122"/>
      <c r="B208" s="86">
        <v>80130</v>
      </c>
      <c r="C208" s="89"/>
      <c r="D208" s="93" t="s">
        <v>695</v>
      </c>
      <c r="E208" s="215">
        <f t="shared" si="39"/>
        <v>5774685</v>
      </c>
      <c r="F208" s="215">
        <f t="shared" si="40"/>
        <v>5496795</v>
      </c>
      <c r="G208" s="215">
        <f>SUM(G209:G237)</f>
        <v>3299827</v>
      </c>
      <c r="H208" s="215">
        <f aca="true" t="shared" si="41" ref="H208:N208">SUM(H209:H237)</f>
        <v>241362</v>
      </c>
      <c r="I208" s="215">
        <f t="shared" si="41"/>
        <v>699349</v>
      </c>
      <c r="J208" s="215">
        <f t="shared" si="41"/>
        <v>25000</v>
      </c>
      <c r="K208" s="215">
        <f t="shared" si="41"/>
        <v>0</v>
      </c>
      <c r="L208" s="215">
        <f t="shared" si="41"/>
        <v>0</v>
      </c>
      <c r="M208" s="215">
        <f t="shared" si="41"/>
        <v>1231257</v>
      </c>
      <c r="N208" s="215">
        <f t="shared" si="41"/>
        <v>277890</v>
      </c>
    </row>
    <row r="209" spans="1:14" s="46" customFormat="1" ht="63.75">
      <c r="A209" s="111"/>
      <c r="B209" s="81"/>
      <c r="C209" s="85">
        <v>2310</v>
      </c>
      <c r="D209" s="88" t="s">
        <v>678</v>
      </c>
      <c r="E209" s="202">
        <f t="shared" si="39"/>
        <v>0</v>
      </c>
      <c r="F209" s="202">
        <f t="shared" si="40"/>
        <v>0</v>
      </c>
      <c r="G209" s="202"/>
      <c r="H209" s="202"/>
      <c r="I209" s="202"/>
      <c r="J209" s="202">
        <f>35000-35000</f>
        <v>0</v>
      </c>
      <c r="K209" s="202"/>
      <c r="L209" s="202"/>
      <c r="M209" s="202"/>
      <c r="N209" s="202"/>
    </row>
    <row r="210" spans="1:14" s="46" customFormat="1" ht="76.5">
      <c r="A210" s="111"/>
      <c r="B210" s="81"/>
      <c r="C210" s="85">
        <v>2320</v>
      </c>
      <c r="D210" s="88" t="s">
        <v>378</v>
      </c>
      <c r="E210" s="202">
        <f>F210+N210</f>
        <v>235</v>
      </c>
      <c r="F210" s="202">
        <f>SUM(G210:M210)</f>
        <v>235</v>
      </c>
      <c r="G210" s="202"/>
      <c r="H210" s="202"/>
      <c r="I210" s="202"/>
      <c r="J210" s="202">
        <v>235</v>
      </c>
      <c r="K210" s="202"/>
      <c r="L210" s="202"/>
      <c r="M210" s="202"/>
      <c r="N210" s="202"/>
    </row>
    <row r="211" spans="1:14" s="46" customFormat="1" ht="76.5">
      <c r="A211" s="111"/>
      <c r="B211" s="81"/>
      <c r="C211" s="85">
        <v>2330</v>
      </c>
      <c r="D211" s="88" t="s">
        <v>637</v>
      </c>
      <c r="E211" s="202">
        <f>F211+N211</f>
        <v>24765</v>
      </c>
      <c r="F211" s="202">
        <f>SUM(G211:M211)</f>
        <v>24765</v>
      </c>
      <c r="G211" s="202"/>
      <c r="H211" s="202"/>
      <c r="I211" s="202"/>
      <c r="J211" s="202">
        <f>34765-10000</f>
        <v>24765</v>
      </c>
      <c r="K211" s="202"/>
      <c r="L211" s="202"/>
      <c r="M211" s="202"/>
      <c r="N211" s="202"/>
    </row>
    <row r="212" spans="1:14" s="46" customFormat="1" ht="25.5">
      <c r="A212" s="111"/>
      <c r="B212" s="81"/>
      <c r="C212" s="85">
        <v>3020</v>
      </c>
      <c r="D212" s="88" t="s">
        <v>227</v>
      </c>
      <c r="E212" s="202">
        <f t="shared" si="39"/>
        <v>182670</v>
      </c>
      <c r="F212" s="202">
        <f t="shared" si="40"/>
        <v>182670</v>
      </c>
      <c r="G212" s="202"/>
      <c r="H212" s="202"/>
      <c r="I212" s="202"/>
      <c r="J212" s="202"/>
      <c r="K212" s="202"/>
      <c r="L212" s="202"/>
      <c r="M212" s="202">
        <f>191970-3630-5670</f>
        <v>182670</v>
      </c>
      <c r="N212" s="202"/>
    </row>
    <row r="213" spans="1:14" s="46" customFormat="1" ht="25.5">
      <c r="A213" s="111"/>
      <c r="B213" s="81"/>
      <c r="C213" s="85">
        <v>4010</v>
      </c>
      <c r="D213" s="88" t="s">
        <v>624</v>
      </c>
      <c r="E213" s="202">
        <f t="shared" si="39"/>
        <v>3299827</v>
      </c>
      <c r="F213" s="202">
        <f t="shared" si="40"/>
        <v>3299827</v>
      </c>
      <c r="G213" s="202">
        <f>3318550+20400-39123</f>
        <v>3299827</v>
      </c>
      <c r="H213" s="202"/>
      <c r="I213" s="202"/>
      <c r="J213" s="202"/>
      <c r="K213" s="202"/>
      <c r="L213" s="202"/>
      <c r="M213" s="202"/>
      <c r="N213" s="202"/>
    </row>
    <row r="214" spans="1:14" s="46" customFormat="1" ht="12.75">
      <c r="A214" s="111"/>
      <c r="B214" s="81"/>
      <c r="C214" s="85">
        <v>4040</v>
      </c>
      <c r="D214" s="88" t="s">
        <v>625</v>
      </c>
      <c r="E214" s="202">
        <f t="shared" si="39"/>
        <v>241362</v>
      </c>
      <c r="F214" s="202">
        <f t="shared" si="40"/>
        <v>241362</v>
      </c>
      <c r="G214" s="202"/>
      <c r="H214" s="202">
        <f>280040-38678</f>
        <v>241362</v>
      </c>
      <c r="I214" s="202"/>
      <c r="J214" s="202"/>
      <c r="K214" s="202"/>
      <c r="L214" s="202"/>
      <c r="M214" s="202"/>
      <c r="N214" s="202"/>
    </row>
    <row r="215" spans="1:14" s="46" customFormat="1" ht="12.75">
      <c r="A215" s="111"/>
      <c r="B215" s="81"/>
      <c r="C215" s="85">
        <v>4110</v>
      </c>
      <c r="D215" s="88" t="s">
        <v>687</v>
      </c>
      <c r="E215" s="202">
        <f t="shared" si="39"/>
        <v>614440</v>
      </c>
      <c r="F215" s="202">
        <f t="shared" si="40"/>
        <v>614440</v>
      </c>
      <c r="G215" s="202"/>
      <c r="H215" s="202"/>
      <c r="I215" s="202">
        <f>607440+24316+15-17331</f>
        <v>614440</v>
      </c>
      <c r="J215" s="202"/>
      <c r="K215" s="202"/>
      <c r="L215" s="202"/>
      <c r="M215" s="202"/>
      <c r="N215" s="202"/>
    </row>
    <row r="216" spans="1:14" s="46" customFormat="1" ht="12.75">
      <c r="A216" s="111"/>
      <c r="B216" s="81"/>
      <c r="C216" s="85">
        <v>4120</v>
      </c>
      <c r="D216" s="88" t="s">
        <v>627</v>
      </c>
      <c r="E216" s="202">
        <f t="shared" si="39"/>
        <v>84909</v>
      </c>
      <c r="F216" s="202">
        <f t="shared" si="40"/>
        <v>84909</v>
      </c>
      <c r="G216" s="202"/>
      <c r="H216" s="202"/>
      <c r="I216" s="202">
        <f>85610+499+1625-2825</f>
        <v>84909</v>
      </c>
      <c r="J216" s="202"/>
      <c r="K216" s="202"/>
      <c r="L216" s="202"/>
      <c r="M216" s="202"/>
      <c r="N216" s="202"/>
    </row>
    <row r="217" spans="1:14" s="46" customFormat="1" ht="12.75">
      <c r="A217" s="111"/>
      <c r="B217" s="81"/>
      <c r="C217" s="85">
        <v>4140</v>
      </c>
      <c r="D217" s="88" t="s">
        <v>696</v>
      </c>
      <c r="E217" s="202">
        <f t="shared" si="39"/>
        <v>16180</v>
      </c>
      <c r="F217" s="202">
        <f t="shared" si="40"/>
        <v>16180</v>
      </c>
      <c r="G217" s="202"/>
      <c r="H217" s="202"/>
      <c r="I217" s="202"/>
      <c r="J217" s="202"/>
      <c r="K217" s="202"/>
      <c r="L217" s="202"/>
      <c r="M217" s="202">
        <f>1760+10000+3420+1000</f>
        <v>16180</v>
      </c>
      <c r="N217" s="202"/>
    </row>
    <row r="218" spans="1:14" s="46" customFormat="1" ht="12.75">
      <c r="A218" s="111"/>
      <c r="B218" s="81"/>
      <c r="C218" s="85">
        <v>4170</v>
      </c>
      <c r="D218" s="88" t="s">
        <v>655</v>
      </c>
      <c r="E218" s="202">
        <f t="shared" si="39"/>
        <v>53240</v>
      </c>
      <c r="F218" s="202">
        <f t="shared" si="40"/>
        <v>53240</v>
      </c>
      <c r="G218" s="202"/>
      <c r="H218" s="202"/>
      <c r="I218" s="202"/>
      <c r="J218" s="202"/>
      <c r="K218" s="202"/>
      <c r="L218" s="202"/>
      <c r="M218" s="202">
        <f>101240+2000-50000</f>
        <v>53240</v>
      </c>
      <c r="N218" s="202"/>
    </row>
    <row r="219" spans="1:14" s="46" customFormat="1" ht="12.75">
      <c r="A219" s="111"/>
      <c r="B219" s="81"/>
      <c r="C219" s="85">
        <v>4210</v>
      </c>
      <c r="D219" s="88" t="s">
        <v>629</v>
      </c>
      <c r="E219" s="202">
        <f t="shared" si="39"/>
        <v>303738</v>
      </c>
      <c r="F219" s="202">
        <f t="shared" si="40"/>
        <v>303738</v>
      </c>
      <c r="G219" s="202"/>
      <c r="H219" s="202"/>
      <c r="I219" s="202"/>
      <c r="J219" s="202"/>
      <c r="K219" s="202"/>
      <c r="L219" s="202"/>
      <c r="M219" s="202">
        <f>349690+10000+14400-8400-21000+4948-45900</f>
        <v>303738</v>
      </c>
      <c r="N219" s="202"/>
    </row>
    <row r="220" spans="1:14" s="46" customFormat="1" ht="25.5">
      <c r="A220" s="111"/>
      <c r="B220" s="81"/>
      <c r="C220" s="85">
        <v>4240</v>
      </c>
      <c r="D220" s="88" t="s">
        <v>330</v>
      </c>
      <c r="E220" s="202">
        <f>F220+N220</f>
        <v>81500</v>
      </c>
      <c r="F220" s="202">
        <f>SUM(G220:M220)</f>
        <v>81500</v>
      </c>
      <c r="G220" s="202"/>
      <c r="H220" s="202"/>
      <c r="I220" s="202"/>
      <c r="J220" s="202"/>
      <c r="K220" s="202"/>
      <c r="L220" s="202"/>
      <c r="M220" s="202">
        <f>1500+5000+60000+221000-221000+15000</f>
        <v>81500</v>
      </c>
      <c r="N220" s="202"/>
    </row>
    <row r="221" spans="1:14" s="46" customFormat="1" ht="12.75">
      <c r="A221" s="111"/>
      <c r="B221" s="81"/>
      <c r="C221" s="85">
        <v>4260</v>
      </c>
      <c r="D221" s="88" t="s">
        <v>630</v>
      </c>
      <c r="E221" s="202">
        <f t="shared" si="39"/>
        <v>142520</v>
      </c>
      <c r="F221" s="202">
        <f t="shared" si="40"/>
        <v>142520</v>
      </c>
      <c r="G221" s="202"/>
      <c r="H221" s="202"/>
      <c r="I221" s="202"/>
      <c r="J221" s="202"/>
      <c r="K221" s="202"/>
      <c r="L221" s="202"/>
      <c r="M221" s="202">
        <f>170940-3420-25000</f>
        <v>142520</v>
      </c>
      <c r="N221" s="202"/>
    </row>
    <row r="222" spans="1:14" s="46" customFormat="1" ht="12.75">
      <c r="A222" s="111"/>
      <c r="B222" s="81"/>
      <c r="C222" s="85">
        <v>4270</v>
      </c>
      <c r="D222" s="88" t="s">
        <v>631</v>
      </c>
      <c r="E222" s="202">
        <f t="shared" si="39"/>
        <v>47563</v>
      </c>
      <c r="F222" s="202">
        <f t="shared" si="40"/>
        <v>47563</v>
      </c>
      <c r="G222" s="202"/>
      <c r="H222" s="202"/>
      <c r="I222" s="202"/>
      <c r="J222" s="202"/>
      <c r="K222" s="202"/>
      <c r="L222" s="202"/>
      <c r="M222" s="202">
        <f>8870+6556+25000+7200-63</f>
        <v>47563</v>
      </c>
      <c r="N222" s="202"/>
    </row>
    <row r="223" spans="1:14" s="46" customFormat="1" ht="12.75">
      <c r="A223" s="111"/>
      <c r="B223" s="81"/>
      <c r="C223" s="85">
        <v>4280</v>
      </c>
      <c r="D223" s="88" t="s">
        <v>632</v>
      </c>
      <c r="E223" s="202">
        <f t="shared" si="39"/>
        <v>7050</v>
      </c>
      <c r="F223" s="202">
        <f t="shared" si="40"/>
        <v>7050</v>
      </c>
      <c r="G223" s="202"/>
      <c r="H223" s="202"/>
      <c r="I223" s="202"/>
      <c r="J223" s="202"/>
      <c r="K223" s="202"/>
      <c r="L223" s="202"/>
      <c r="M223" s="202">
        <f>8600-1550</f>
        <v>7050</v>
      </c>
      <c r="N223" s="202"/>
    </row>
    <row r="224" spans="1:14" s="46" customFormat="1" ht="12.75">
      <c r="A224" s="111"/>
      <c r="B224" s="81"/>
      <c r="C224" s="85">
        <v>4300</v>
      </c>
      <c r="D224" s="88" t="s">
        <v>666</v>
      </c>
      <c r="E224" s="202">
        <f t="shared" si="39"/>
        <v>87210</v>
      </c>
      <c r="F224" s="202">
        <f t="shared" si="40"/>
        <v>87210</v>
      </c>
      <c r="G224" s="202"/>
      <c r="H224" s="202"/>
      <c r="I224" s="202"/>
      <c r="J224" s="202"/>
      <c r="K224" s="202"/>
      <c r="L224" s="202"/>
      <c r="M224" s="202">
        <f>116310-1000-28100</f>
        <v>87210</v>
      </c>
      <c r="N224" s="202"/>
    </row>
    <row r="225" spans="1:14" s="46" customFormat="1" ht="25.5">
      <c r="A225" s="111"/>
      <c r="B225" s="81"/>
      <c r="C225" s="85">
        <v>4350</v>
      </c>
      <c r="D225" s="88" t="s">
        <v>633</v>
      </c>
      <c r="E225" s="202">
        <f t="shared" si="39"/>
        <v>6008</v>
      </c>
      <c r="F225" s="202">
        <f t="shared" si="40"/>
        <v>6008</v>
      </c>
      <c r="G225" s="202"/>
      <c r="H225" s="202"/>
      <c r="I225" s="202"/>
      <c r="J225" s="202"/>
      <c r="K225" s="202"/>
      <c r="L225" s="202"/>
      <c r="M225" s="202">
        <f>8760-2752</f>
        <v>6008</v>
      </c>
      <c r="N225" s="202"/>
    </row>
    <row r="226" spans="1:14" s="46" customFormat="1" ht="38.25">
      <c r="A226" s="111"/>
      <c r="B226" s="81"/>
      <c r="C226" s="85">
        <v>4360</v>
      </c>
      <c r="D226" s="88" t="s">
        <v>1</v>
      </c>
      <c r="E226" s="202">
        <f t="shared" si="39"/>
        <v>5000</v>
      </c>
      <c r="F226" s="202">
        <f t="shared" si="40"/>
        <v>5000</v>
      </c>
      <c r="G226" s="202"/>
      <c r="H226" s="202"/>
      <c r="I226" s="202"/>
      <c r="J226" s="202"/>
      <c r="K226" s="202"/>
      <c r="L226" s="202"/>
      <c r="M226" s="202">
        <v>5000</v>
      </c>
      <c r="N226" s="202"/>
    </row>
    <row r="227" spans="1:14" s="46" customFormat="1" ht="38.25">
      <c r="A227" s="111"/>
      <c r="B227" s="81"/>
      <c r="C227" s="85">
        <v>4370</v>
      </c>
      <c r="D227" s="88" t="s">
        <v>691</v>
      </c>
      <c r="E227" s="202">
        <f t="shared" si="39"/>
        <v>20000</v>
      </c>
      <c r="F227" s="202">
        <f t="shared" si="40"/>
        <v>20000</v>
      </c>
      <c r="G227" s="202"/>
      <c r="H227" s="202"/>
      <c r="I227" s="202"/>
      <c r="J227" s="202"/>
      <c r="K227" s="202"/>
      <c r="L227" s="202"/>
      <c r="M227" s="202">
        <f>26000-6000</f>
        <v>20000</v>
      </c>
      <c r="N227" s="202"/>
    </row>
    <row r="228" spans="1:14" s="46" customFormat="1" ht="12.75">
      <c r="A228" s="111"/>
      <c r="B228" s="81"/>
      <c r="C228" s="85">
        <v>4410</v>
      </c>
      <c r="D228" s="88" t="s">
        <v>639</v>
      </c>
      <c r="E228" s="202">
        <f t="shared" si="39"/>
        <v>10320</v>
      </c>
      <c r="F228" s="202">
        <f t="shared" si="40"/>
        <v>10320</v>
      </c>
      <c r="G228" s="202"/>
      <c r="H228" s="202"/>
      <c r="I228" s="202"/>
      <c r="J228" s="202"/>
      <c r="K228" s="202"/>
      <c r="L228" s="202"/>
      <c r="M228" s="202">
        <f>7720+1000+600+1000</f>
        <v>10320</v>
      </c>
      <c r="N228" s="202"/>
    </row>
    <row r="229" spans="1:14" s="46" customFormat="1" ht="12.75">
      <c r="A229" s="111"/>
      <c r="B229" s="81"/>
      <c r="C229" s="85">
        <v>4430</v>
      </c>
      <c r="D229" s="88" t="s">
        <v>640</v>
      </c>
      <c r="E229" s="202">
        <f t="shared" si="39"/>
        <v>10690</v>
      </c>
      <c r="F229" s="202">
        <f t="shared" si="40"/>
        <v>10690</v>
      </c>
      <c r="G229" s="202"/>
      <c r="H229" s="202"/>
      <c r="I229" s="202"/>
      <c r="J229" s="202"/>
      <c r="K229" s="202"/>
      <c r="L229" s="202"/>
      <c r="M229" s="202">
        <f>22950-550-11710</f>
        <v>10690</v>
      </c>
      <c r="N229" s="202"/>
    </row>
    <row r="230" spans="1:14" s="46" customFormat="1" ht="25.5">
      <c r="A230" s="111"/>
      <c r="B230" s="81"/>
      <c r="C230" s="85">
        <v>4440</v>
      </c>
      <c r="D230" s="88" t="s">
        <v>641</v>
      </c>
      <c r="E230" s="202">
        <f t="shared" si="39"/>
        <v>212028</v>
      </c>
      <c r="F230" s="202">
        <f t="shared" si="40"/>
        <v>212028</v>
      </c>
      <c r="G230" s="202"/>
      <c r="H230" s="202"/>
      <c r="I230" s="202"/>
      <c r="J230" s="202"/>
      <c r="K230" s="202"/>
      <c r="L230" s="202"/>
      <c r="M230" s="202">
        <f>214480+15204-17656</f>
        <v>212028</v>
      </c>
      <c r="N230" s="202"/>
    </row>
    <row r="231" spans="1:14" s="46" customFormat="1" ht="12.75">
      <c r="A231" s="111"/>
      <c r="B231" s="81"/>
      <c r="C231" s="85">
        <v>4510</v>
      </c>
      <c r="D231" s="88" t="s">
        <v>301</v>
      </c>
      <c r="E231" s="202">
        <f t="shared" si="39"/>
        <v>1800</v>
      </c>
      <c r="F231" s="202">
        <f t="shared" si="40"/>
        <v>1800</v>
      </c>
      <c r="G231" s="202"/>
      <c r="H231" s="202"/>
      <c r="I231" s="202"/>
      <c r="J231" s="202"/>
      <c r="K231" s="202"/>
      <c r="L231" s="202"/>
      <c r="M231" s="202">
        <f>550+1250</f>
        <v>1800</v>
      </c>
      <c r="N231" s="202"/>
    </row>
    <row r="232" spans="1:14" s="46" customFormat="1" ht="12.75">
      <c r="A232" s="111"/>
      <c r="B232" s="81"/>
      <c r="C232" s="85">
        <v>4480</v>
      </c>
      <c r="D232" s="88" t="s">
        <v>2</v>
      </c>
      <c r="E232" s="202">
        <f t="shared" si="39"/>
        <v>2282</v>
      </c>
      <c r="F232" s="202">
        <f t="shared" si="40"/>
        <v>2282</v>
      </c>
      <c r="G232" s="202"/>
      <c r="H232" s="202"/>
      <c r="I232" s="202"/>
      <c r="J232" s="202"/>
      <c r="K232" s="202"/>
      <c r="L232" s="202"/>
      <c r="M232" s="202">
        <f>3000-600+60-178</f>
        <v>2282</v>
      </c>
      <c r="N232" s="202"/>
    </row>
    <row r="233" spans="1:14" s="46" customFormat="1" ht="38.25">
      <c r="A233" s="111"/>
      <c r="B233" s="81"/>
      <c r="C233" s="85">
        <v>4700</v>
      </c>
      <c r="D233" s="88" t="s">
        <v>226</v>
      </c>
      <c r="E233" s="202">
        <f t="shared" si="39"/>
        <v>6605</v>
      </c>
      <c r="F233" s="202">
        <f t="shared" si="40"/>
        <v>6605</v>
      </c>
      <c r="G233" s="202"/>
      <c r="H233" s="202"/>
      <c r="I233" s="202"/>
      <c r="J233" s="202"/>
      <c r="K233" s="202"/>
      <c r="L233" s="202"/>
      <c r="M233" s="202">
        <f>7900+2250-3545</f>
        <v>6605</v>
      </c>
      <c r="N233" s="202"/>
    </row>
    <row r="234" spans="1:14" s="46" customFormat="1" ht="38.25">
      <c r="A234" s="111"/>
      <c r="B234" s="81"/>
      <c r="C234" s="85">
        <v>4740</v>
      </c>
      <c r="D234" s="88" t="s">
        <v>658</v>
      </c>
      <c r="E234" s="202">
        <f t="shared" si="39"/>
        <v>10633</v>
      </c>
      <c r="F234" s="202">
        <f t="shared" si="40"/>
        <v>10633</v>
      </c>
      <c r="G234" s="202"/>
      <c r="H234" s="202"/>
      <c r="I234" s="202"/>
      <c r="J234" s="202"/>
      <c r="K234" s="202"/>
      <c r="L234" s="202"/>
      <c r="M234" s="202">
        <f>10500+133</f>
        <v>10633</v>
      </c>
      <c r="N234" s="202"/>
    </row>
    <row r="235" spans="1:14" s="46" customFormat="1" ht="25.5">
      <c r="A235" s="111"/>
      <c r="B235" s="81"/>
      <c r="C235" s="85">
        <v>4750</v>
      </c>
      <c r="D235" s="88" t="s">
        <v>692</v>
      </c>
      <c r="E235" s="202">
        <f t="shared" si="39"/>
        <v>24220</v>
      </c>
      <c r="F235" s="202">
        <f t="shared" si="40"/>
        <v>24220</v>
      </c>
      <c r="G235" s="202"/>
      <c r="H235" s="202"/>
      <c r="I235" s="202"/>
      <c r="J235" s="202"/>
      <c r="K235" s="202"/>
      <c r="L235" s="202"/>
      <c r="M235" s="202">
        <f>15220+8000+1000</f>
        <v>24220</v>
      </c>
      <c r="N235" s="202"/>
    </row>
    <row r="236" spans="1:14" s="46" customFormat="1" ht="25.5">
      <c r="A236" s="111"/>
      <c r="B236" s="81"/>
      <c r="C236" s="85">
        <v>6050</v>
      </c>
      <c r="D236" s="96" t="s">
        <v>645</v>
      </c>
      <c r="E236" s="202">
        <f t="shared" si="39"/>
        <v>265890</v>
      </c>
      <c r="F236" s="202">
        <f t="shared" si="40"/>
        <v>0</v>
      </c>
      <c r="G236" s="202"/>
      <c r="H236" s="202"/>
      <c r="I236" s="202"/>
      <c r="J236" s="202"/>
      <c r="K236" s="202"/>
      <c r="L236" s="202"/>
      <c r="M236" s="202"/>
      <c r="N236" s="202">
        <f>226190+16800+400+22500</f>
        <v>265890</v>
      </c>
    </row>
    <row r="237" spans="1:14" s="46" customFormat="1" ht="25.5">
      <c r="A237" s="111"/>
      <c r="B237" s="81"/>
      <c r="C237" s="85">
        <v>6060</v>
      </c>
      <c r="D237" s="96" t="s">
        <v>228</v>
      </c>
      <c r="E237" s="202">
        <f t="shared" si="39"/>
        <v>12000</v>
      </c>
      <c r="F237" s="202">
        <f t="shared" si="40"/>
        <v>0</v>
      </c>
      <c r="G237" s="202"/>
      <c r="H237" s="202"/>
      <c r="I237" s="202"/>
      <c r="J237" s="202"/>
      <c r="K237" s="202"/>
      <c r="L237" s="202"/>
      <c r="M237" s="202"/>
      <c r="N237" s="202">
        <v>12000</v>
      </c>
    </row>
    <row r="238" spans="1:14" s="79" customFormat="1" ht="12.75">
      <c r="A238" s="122"/>
      <c r="B238" s="86">
        <v>80132</v>
      </c>
      <c r="C238" s="89"/>
      <c r="D238" s="93" t="s">
        <v>3</v>
      </c>
      <c r="E238" s="215">
        <f t="shared" si="39"/>
        <v>841629</v>
      </c>
      <c r="F238" s="215">
        <f t="shared" si="40"/>
        <v>841629</v>
      </c>
      <c r="G238" s="215">
        <f aca="true" t="shared" si="42" ref="G238:N238">SUM(G239:G260)</f>
        <v>511400</v>
      </c>
      <c r="H238" s="215">
        <f t="shared" si="42"/>
        <v>30705</v>
      </c>
      <c r="I238" s="215">
        <f t="shared" si="42"/>
        <v>104648</v>
      </c>
      <c r="J238" s="215">
        <f t="shared" si="42"/>
        <v>0</v>
      </c>
      <c r="K238" s="215">
        <f t="shared" si="42"/>
        <v>0</v>
      </c>
      <c r="L238" s="215">
        <f t="shared" si="42"/>
        <v>0</v>
      </c>
      <c r="M238" s="215">
        <f t="shared" si="42"/>
        <v>194876</v>
      </c>
      <c r="N238" s="215">
        <f t="shared" si="42"/>
        <v>0</v>
      </c>
    </row>
    <row r="239" spans="1:14" s="46" customFormat="1" ht="25.5">
      <c r="A239" s="111"/>
      <c r="B239" s="81"/>
      <c r="C239" s="85">
        <v>3020</v>
      </c>
      <c r="D239" s="88" t="s">
        <v>227</v>
      </c>
      <c r="E239" s="202">
        <f t="shared" si="39"/>
        <v>10295</v>
      </c>
      <c r="F239" s="202">
        <f t="shared" si="40"/>
        <v>10295</v>
      </c>
      <c r="G239" s="202"/>
      <c r="H239" s="202"/>
      <c r="I239" s="202"/>
      <c r="J239" s="202"/>
      <c r="K239" s="202"/>
      <c r="L239" s="202"/>
      <c r="M239" s="202">
        <f>15540-5245</f>
        <v>10295</v>
      </c>
      <c r="N239" s="202"/>
    </row>
    <row r="240" spans="1:14" s="46" customFormat="1" ht="25.5">
      <c r="A240" s="111"/>
      <c r="B240" s="81"/>
      <c r="C240" s="85">
        <v>4010</v>
      </c>
      <c r="D240" s="88" t="s">
        <v>624</v>
      </c>
      <c r="E240" s="202">
        <f t="shared" si="39"/>
        <v>511400</v>
      </c>
      <c r="F240" s="202">
        <f t="shared" si="40"/>
        <v>511400</v>
      </c>
      <c r="G240" s="202">
        <f>478490+2700+30210</f>
        <v>511400</v>
      </c>
      <c r="H240" s="202"/>
      <c r="I240" s="202"/>
      <c r="J240" s="202"/>
      <c r="K240" s="202"/>
      <c r="L240" s="202"/>
      <c r="M240" s="202"/>
      <c r="N240" s="202"/>
    </row>
    <row r="241" spans="1:14" s="46" customFormat="1" ht="12.75">
      <c r="A241" s="111"/>
      <c r="B241" s="81"/>
      <c r="C241" s="85">
        <v>4040</v>
      </c>
      <c r="D241" s="88" t="s">
        <v>625</v>
      </c>
      <c r="E241" s="202">
        <f t="shared" si="39"/>
        <v>30705</v>
      </c>
      <c r="F241" s="202">
        <f t="shared" si="40"/>
        <v>30705</v>
      </c>
      <c r="G241" s="202"/>
      <c r="H241" s="202">
        <f>31910-1205</f>
        <v>30705</v>
      </c>
      <c r="I241" s="202"/>
      <c r="J241" s="202"/>
      <c r="K241" s="202"/>
      <c r="L241" s="202"/>
      <c r="M241" s="202"/>
      <c r="N241" s="202"/>
    </row>
    <row r="242" spans="1:14" s="46" customFormat="1" ht="12.75">
      <c r="A242" s="111"/>
      <c r="B242" s="81"/>
      <c r="C242" s="85">
        <v>4110</v>
      </c>
      <c r="D242" s="88" t="s">
        <v>687</v>
      </c>
      <c r="E242" s="202">
        <f t="shared" si="39"/>
        <v>91791</v>
      </c>
      <c r="F242" s="202">
        <f t="shared" si="40"/>
        <v>91791</v>
      </c>
      <c r="G242" s="202"/>
      <c r="H242" s="202"/>
      <c r="I242" s="202">
        <f>86160+473+5158</f>
        <v>91791</v>
      </c>
      <c r="J242" s="202"/>
      <c r="K242" s="202"/>
      <c r="L242" s="202"/>
      <c r="M242" s="202"/>
      <c r="N242" s="202"/>
    </row>
    <row r="243" spans="1:14" s="46" customFormat="1" ht="12.75">
      <c r="A243" s="111"/>
      <c r="B243" s="81"/>
      <c r="C243" s="85">
        <v>4120</v>
      </c>
      <c r="D243" s="88" t="s">
        <v>627</v>
      </c>
      <c r="E243" s="202">
        <f t="shared" si="39"/>
        <v>12857</v>
      </c>
      <c r="F243" s="202">
        <f t="shared" si="40"/>
        <v>12857</v>
      </c>
      <c r="G243" s="202"/>
      <c r="H243" s="202"/>
      <c r="I243" s="202">
        <f>12250+66+541</f>
        <v>12857</v>
      </c>
      <c r="J243" s="202"/>
      <c r="K243" s="202"/>
      <c r="L243" s="202"/>
      <c r="M243" s="202"/>
      <c r="N243" s="202"/>
    </row>
    <row r="244" spans="1:14" s="46" customFormat="1" ht="12.75">
      <c r="A244" s="111"/>
      <c r="B244" s="81"/>
      <c r="C244" s="85">
        <v>4170</v>
      </c>
      <c r="D244" s="88" t="s">
        <v>655</v>
      </c>
      <c r="E244" s="202">
        <f t="shared" si="39"/>
        <v>2310</v>
      </c>
      <c r="F244" s="202">
        <f t="shared" si="40"/>
        <v>2310</v>
      </c>
      <c r="G244" s="202"/>
      <c r="H244" s="202"/>
      <c r="I244" s="202"/>
      <c r="J244" s="202"/>
      <c r="K244" s="202"/>
      <c r="L244" s="202"/>
      <c r="M244" s="202">
        <f>610+2000-1890+1590</f>
        <v>2310</v>
      </c>
      <c r="N244" s="202"/>
    </row>
    <row r="245" spans="1:14" s="46" customFormat="1" ht="12.75">
      <c r="A245" s="111"/>
      <c r="B245" s="81"/>
      <c r="C245" s="85">
        <v>4210</v>
      </c>
      <c r="D245" s="88" t="s">
        <v>629</v>
      </c>
      <c r="E245" s="202">
        <f t="shared" si="39"/>
        <v>21490</v>
      </c>
      <c r="F245" s="202">
        <f t="shared" si="40"/>
        <v>21490</v>
      </c>
      <c r="G245" s="202"/>
      <c r="H245" s="202"/>
      <c r="I245" s="202"/>
      <c r="J245" s="202"/>
      <c r="K245" s="202"/>
      <c r="L245" s="202"/>
      <c r="M245" s="202">
        <f>22940-50-1400</f>
        <v>21490</v>
      </c>
      <c r="N245" s="202"/>
    </row>
    <row r="246" spans="1:14" s="46" customFormat="1" ht="25.5">
      <c r="A246" s="111"/>
      <c r="B246" s="84"/>
      <c r="C246" s="85">
        <v>4240</v>
      </c>
      <c r="D246" s="88" t="s">
        <v>0</v>
      </c>
      <c r="E246" s="202">
        <f t="shared" si="39"/>
        <v>36585</v>
      </c>
      <c r="F246" s="202">
        <f t="shared" si="40"/>
        <v>36585</v>
      </c>
      <c r="G246" s="202"/>
      <c r="H246" s="202"/>
      <c r="I246" s="202"/>
      <c r="J246" s="202"/>
      <c r="K246" s="202"/>
      <c r="L246" s="202"/>
      <c r="M246" s="202">
        <f>30000+2890+3695</f>
        <v>36585</v>
      </c>
      <c r="N246" s="202"/>
    </row>
    <row r="247" spans="1:14" s="46" customFormat="1" ht="12.75">
      <c r="A247" s="111"/>
      <c r="B247" s="81"/>
      <c r="C247" s="85">
        <v>4260</v>
      </c>
      <c r="D247" s="88" t="s">
        <v>630</v>
      </c>
      <c r="E247" s="202">
        <f t="shared" si="39"/>
        <v>10340</v>
      </c>
      <c r="F247" s="202">
        <f t="shared" si="40"/>
        <v>10340</v>
      </c>
      <c r="G247" s="202"/>
      <c r="H247" s="202"/>
      <c r="I247" s="202"/>
      <c r="J247" s="202"/>
      <c r="K247" s="202"/>
      <c r="L247" s="202"/>
      <c r="M247" s="202">
        <f>11930-1590</f>
        <v>10340</v>
      </c>
      <c r="N247" s="202"/>
    </row>
    <row r="248" spans="1:14" s="46" customFormat="1" ht="12.75">
      <c r="A248" s="111"/>
      <c r="B248" s="81"/>
      <c r="C248" s="85">
        <v>4270</v>
      </c>
      <c r="D248" s="88" t="s">
        <v>631</v>
      </c>
      <c r="E248" s="202">
        <f t="shared" si="39"/>
        <v>23713</v>
      </c>
      <c r="F248" s="202">
        <f t="shared" si="40"/>
        <v>23713</v>
      </c>
      <c r="G248" s="202"/>
      <c r="H248" s="202"/>
      <c r="I248" s="202"/>
      <c r="J248" s="202"/>
      <c r="K248" s="202"/>
      <c r="L248" s="202"/>
      <c r="M248" s="202">
        <f>21540+2000+123+50</f>
        <v>23713</v>
      </c>
      <c r="N248" s="202"/>
    </row>
    <row r="249" spans="1:14" s="46" customFormat="1" ht="12.75">
      <c r="A249" s="111"/>
      <c r="B249" s="81"/>
      <c r="C249" s="85">
        <v>4280</v>
      </c>
      <c r="D249" s="88" t="s">
        <v>632</v>
      </c>
      <c r="E249" s="202">
        <f t="shared" si="39"/>
        <v>620</v>
      </c>
      <c r="F249" s="202">
        <f t="shared" si="40"/>
        <v>620</v>
      </c>
      <c r="G249" s="202"/>
      <c r="H249" s="202"/>
      <c r="I249" s="202"/>
      <c r="J249" s="202"/>
      <c r="K249" s="202"/>
      <c r="L249" s="202"/>
      <c r="M249" s="202">
        <v>620</v>
      </c>
      <c r="N249" s="202"/>
    </row>
    <row r="250" spans="1:14" s="46" customFormat="1" ht="12.75">
      <c r="A250" s="111"/>
      <c r="B250" s="81"/>
      <c r="C250" s="85">
        <v>4300</v>
      </c>
      <c r="D250" s="88" t="s">
        <v>666</v>
      </c>
      <c r="E250" s="202">
        <f t="shared" si="39"/>
        <v>4630</v>
      </c>
      <c r="F250" s="202">
        <f t="shared" si="40"/>
        <v>4630</v>
      </c>
      <c r="G250" s="202"/>
      <c r="H250" s="202"/>
      <c r="I250" s="202"/>
      <c r="J250" s="202"/>
      <c r="K250" s="202"/>
      <c r="L250" s="202"/>
      <c r="M250" s="202">
        <f>41230-36600</f>
        <v>4630</v>
      </c>
      <c r="N250" s="202"/>
    </row>
    <row r="251" spans="1:14" s="46" customFormat="1" ht="25.5">
      <c r="A251" s="111"/>
      <c r="B251" s="81"/>
      <c r="C251" s="85">
        <v>4350</v>
      </c>
      <c r="D251" s="88" t="s">
        <v>633</v>
      </c>
      <c r="E251" s="202">
        <f t="shared" si="39"/>
        <v>1000</v>
      </c>
      <c r="F251" s="202">
        <f t="shared" si="40"/>
        <v>1000</v>
      </c>
      <c r="G251" s="202"/>
      <c r="H251" s="202"/>
      <c r="I251" s="202"/>
      <c r="J251" s="202"/>
      <c r="K251" s="202"/>
      <c r="L251" s="202"/>
      <c r="M251" s="202">
        <f>2200-1200</f>
        <v>1000</v>
      </c>
      <c r="N251" s="202"/>
    </row>
    <row r="252" spans="1:14" s="46" customFormat="1" ht="38.25">
      <c r="A252" s="111"/>
      <c r="B252" s="81"/>
      <c r="C252" s="85">
        <v>4370</v>
      </c>
      <c r="D252" s="88" t="s">
        <v>691</v>
      </c>
      <c r="E252" s="202">
        <f t="shared" si="39"/>
        <v>3995</v>
      </c>
      <c r="F252" s="202">
        <f t="shared" si="40"/>
        <v>3995</v>
      </c>
      <c r="G252" s="202"/>
      <c r="H252" s="202"/>
      <c r="I252" s="202"/>
      <c r="J252" s="202"/>
      <c r="K252" s="202"/>
      <c r="L252" s="202"/>
      <c r="M252" s="202">
        <f>4600-605</f>
        <v>3995</v>
      </c>
      <c r="N252" s="202"/>
    </row>
    <row r="253" spans="1:14" s="46" customFormat="1" ht="38.25">
      <c r="A253" s="111"/>
      <c r="B253" s="81"/>
      <c r="C253" s="85">
        <v>4400</v>
      </c>
      <c r="D253" s="88" t="s">
        <v>377</v>
      </c>
      <c r="E253" s="202">
        <f t="shared" si="39"/>
        <v>36600</v>
      </c>
      <c r="F253" s="202">
        <f t="shared" si="40"/>
        <v>36600</v>
      </c>
      <c r="G253" s="202"/>
      <c r="H253" s="202"/>
      <c r="I253" s="202"/>
      <c r="J253" s="202"/>
      <c r="K253" s="202"/>
      <c r="L253" s="202"/>
      <c r="M253" s="202">
        <v>36600</v>
      </c>
      <c r="N253" s="202"/>
    </row>
    <row r="254" spans="1:14" s="46" customFormat="1" ht="12.75">
      <c r="A254" s="111"/>
      <c r="B254" s="81"/>
      <c r="C254" s="85">
        <v>4410</v>
      </c>
      <c r="D254" s="88" t="s">
        <v>639</v>
      </c>
      <c r="E254" s="202">
        <f t="shared" si="39"/>
        <v>2547</v>
      </c>
      <c r="F254" s="202">
        <f t="shared" si="40"/>
        <v>2547</v>
      </c>
      <c r="G254" s="202"/>
      <c r="H254" s="202"/>
      <c r="I254" s="202"/>
      <c r="J254" s="202"/>
      <c r="K254" s="202"/>
      <c r="L254" s="202"/>
      <c r="M254" s="202">
        <f>3670-1123</f>
        <v>2547</v>
      </c>
      <c r="N254" s="202"/>
    </row>
    <row r="255" spans="1:14" s="46" customFormat="1" ht="12.75">
      <c r="A255" s="111"/>
      <c r="B255" s="81"/>
      <c r="C255" s="85">
        <v>4430</v>
      </c>
      <c r="D255" s="88" t="s">
        <v>640</v>
      </c>
      <c r="E255" s="202">
        <f t="shared" si="39"/>
        <v>200</v>
      </c>
      <c r="F255" s="202">
        <f t="shared" si="40"/>
        <v>200</v>
      </c>
      <c r="G255" s="202"/>
      <c r="H255" s="202"/>
      <c r="I255" s="202"/>
      <c r="J255" s="202"/>
      <c r="K255" s="202"/>
      <c r="L255" s="202"/>
      <c r="M255" s="202">
        <f>400-200</f>
        <v>200</v>
      </c>
      <c r="N255" s="202"/>
    </row>
    <row r="256" spans="1:14" s="46" customFormat="1" ht="25.5">
      <c r="A256" s="111"/>
      <c r="B256" s="81"/>
      <c r="C256" s="85">
        <v>4440</v>
      </c>
      <c r="D256" s="88" t="s">
        <v>641</v>
      </c>
      <c r="E256" s="202">
        <f t="shared" si="39"/>
        <v>36861</v>
      </c>
      <c r="F256" s="202">
        <f t="shared" si="40"/>
        <v>36861</v>
      </c>
      <c r="G256" s="202"/>
      <c r="H256" s="202"/>
      <c r="I256" s="202"/>
      <c r="J256" s="202"/>
      <c r="K256" s="202"/>
      <c r="L256" s="202"/>
      <c r="M256" s="202">
        <f>33460+3401</f>
        <v>36861</v>
      </c>
      <c r="N256" s="202"/>
    </row>
    <row r="257" spans="1:14" s="46" customFormat="1" ht="38.25">
      <c r="A257" s="111"/>
      <c r="B257" s="81"/>
      <c r="C257" s="85">
        <v>4700</v>
      </c>
      <c r="D257" s="88" t="s">
        <v>226</v>
      </c>
      <c r="E257" s="202">
        <f t="shared" si="39"/>
        <v>50</v>
      </c>
      <c r="F257" s="202">
        <f t="shared" si="40"/>
        <v>50</v>
      </c>
      <c r="G257" s="202"/>
      <c r="H257" s="202"/>
      <c r="I257" s="202"/>
      <c r="J257" s="202"/>
      <c r="K257" s="202"/>
      <c r="L257" s="202"/>
      <c r="M257" s="202">
        <f>1940-1890</f>
        <v>50</v>
      </c>
      <c r="N257" s="202"/>
    </row>
    <row r="258" spans="1:14" s="46" customFormat="1" ht="38.25">
      <c r="A258" s="111"/>
      <c r="B258" s="81"/>
      <c r="C258" s="85">
        <v>4740</v>
      </c>
      <c r="D258" s="88" t="s">
        <v>658</v>
      </c>
      <c r="E258" s="202">
        <f t="shared" si="39"/>
        <v>1020</v>
      </c>
      <c r="F258" s="202">
        <f t="shared" si="40"/>
        <v>1020</v>
      </c>
      <c r="G258" s="202"/>
      <c r="H258" s="202"/>
      <c r="I258" s="202"/>
      <c r="J258" s="202"/>
      <c r="K258" s="202"/>
      <c r="L258" s="202"/>
      <c r="M258" s="202">
        <v>1020</v>
      </c>
      <c r="N258" s="202"/>
    </row>
    <row r="259" spans="1:14" s="46" customFormat="1" ht="12.75">
      <c r="A259" s="111"/>
      <c r="B259" s="81"/>
      <c r="C259" s="85">
        <v>4510</v>
      </c>
      <c r="D259" s="88" t="s">
        <v>301</v>
      </c>
      <c r="E259" s="202">
        <f t="shared" si="39"/>
        <v>200</v>
      </c>
      <c r="F259" s="202">
        <f>SUM(G259:M259)</f>
        <v>200</v>
      </c>
      <c r="G259" s="202"/>
      <c r="H259" s="202"/>
      <c r="I259" s="202"/>
      <c r="J259" s="202"/>
      <c r="K259" s="202"/>
      <c r="L259" s="202"/>
      <c r="M259" s="202">
        <v>200</v>
      </c>
      <c r="N259" s="202"/>
    </row>
    <row r="260" spans="1:14" s="46" customFormat="1" ht="25.5">
      <c r="A260" s="111"/>
      <c r="B260" s="81"/>
      <c r="C260" s="85">
        <v>4750</v>
      </c>
      <c r="D260" s="88" t="s">
        <v>692</v>
      </c>
      <c r="E260" s="202">
        <f t="shared" si="39"/>
        <v>2420</v>
      </c>
      <c r="F260" s="202">
        <f t="shared" si="40"/>
        <v>2420</v>
      </c>
      <c r="G260" s="202"/>
      <c r="H260" s="202"/>
      <c r="I260" s="202"/>
      <c r="J260" s="202"/>
      <c r="K260" s="202"/>
      <c r="L260" s="202"/>
      <c r="M260" s="202">
        <f>1020+1400</f>
        <v>2420</v>
      </c>
      <c r="N260" s="202"/>
    </row>
    <row r="261" spans="1:14" s="79" customFormat="1" ht="12.75">
      <c r="A261" s="122"/>
      <c r="B261" s="86">
        <v>80134</v>
      </c>
      <c r="C261" s="89"/>
      <c r="D261" s="93" t="s">
        <v>4</v>
      </c>
      <c r="E261" s="215">
        <f t="shared" si="39"/>
        <v>393552</v>
      </c>
      <c r="F261" s="215">
        <f t="shared" si="40"/>
        <v>393552</v>
      </c>
      <c r="G261" s="215">
        <f>SUM(G262:G267)</f>
        <v>288014</v>
      </c>
      <c r="H261" s="215">
        <f aca="true" t="shared" si="43" ref="H261:N261">SUM(H262:H267)</f>
        <v>23836</v>
      </c>
      <c r="I261" s="215">
        <f t="shared" si="43"/>
        <v>63497</v>
      </c>
      <c r="J261" s="215">
        <f t="shared" si="43"/>
        <v>0</v>
      </c>
      <c r="K261" s="215">
        <f t="shared" si="43"/>
        <v>0</v>
      </c>
      <c r="L261" s="215">
        <f t="shared" si="43"/>
        <v>0</v>
      </c>
      <c r="M261" s="215">
        <f t="shared" si="43"/>
        <v>18205</v>
      </c>
      <c r="N261" s="215">
        <f t="shared" si="43"/>
        <v>0</v>
      </c>
    </row>
    <row r="262" spans="1:14" s="46" customFormat="1" ht="25.5">
      <c r="A262" s="111"/>
      <c r="B262" s="81"/>
      <c r="C262" s="85">
        <v>3020</v>
      </c>
      <c r="D262" s="88" t="s">
        <v>227</v>
      </c>
      <c r="E262" s="202">
        <f t="shared" si="39"/>
        <v>720</v>
      </c>
      <c r="F262" s="202">
        <f t="shared" si="40"/>
        <v>720</v>
      </c>
      <c r="G262" s="202"/>
      <c r="H262" s="202"/>
      <c r="I262" s="202"/>
      <c r="J262" s="202"/>
      <c r="K262" s="202"/>
      <c r="L262" s="202"/>
      <c r="M262" s="202">
        <f>720</f>
        <v>720</v>
      </c>
      <c r="N262" s="202"/>
    </row>
    <row r="263" spans="1:14" s="46" customFormat="1" ht="25.5">
      <c r="A263" s="111"/>
      <c r="B263" s="81"/>
      <c r="C263" s="85">
        <v>4010</v>
      </c>
      <c r="D263" s="88" t="s">
        <v>624</v>
      </c>
      <c r="E263" s="202">
        <f t="shared" si="39"/>
        <v>288014</v>
      </c>
      <c r="F263" s="202">
        <f t="shared" si="40"/>
        <v>288014</v>
      </c>
      <c r="G263" s="202">
        <f>294490-6476</f>
        <v>288014</v>
      </c>
      <c r="H263" s="202"/>
      <c r="I263" s="202"/>
      <c r="J263" s="202"/>
      <c r="K263" s="202"/>
      <c r="L263" s="202"/>
      <c r="M263" s="202"/>
      <c r="N263" s="202"/>
    </row>
    <row r="264" spans="1:14" s="46" customFormat="1" ht="12.75">
      <c r="A264" s="111"/>
      <c r="B264" s="81"/>
      <c r="C264" s="85">
        <v>4040</v>
      </c>
      <c r="D264" s="88" t="s">
        <v>625</v>
      </c>
      <c r="E264" s="202">
        <f t="shared" si="39"/>
        <v>23836</v>
      </c>
      <c r="F264" s="202">
        <f t="shared" si="40"/>
        <v>23836</v>
      </c>
      <c r="G264" s="202"/>
      <c r="H264" s="202">
        <f>24370-534</f>
        <v>23836</v>
      </c>
      <c r="I264" s="202"/>
      <c r="J264" s="202"/>
      <c r="K264" s="202"/>
      <c r="L264" s="202"/>
      <c r="M264" s="202"/>
      <c r="N264" s="202"/>
    </row>
    <row r="265" spans="1:14" s="46" customFormat="1" ht="12.75">
      <c r="A265" s="111"/>
      <c r="B265" s="81"/>
      <c r="C265" s="85">
        <v>4110</v>
      </c>
      <c r="D265" s="88" t="s">
        <v>687</v>
      </c>
      <c r="E265" s="202">
        <f t="shared" si="39"/>
        <v>55647</v>
      </c>
      <c r="F265" s="202">
        <f t="shared" si="40"/>
        <v>55647</v>
      </c>
      <c r="G265" s="202"/>
      <c r="H265" s="202"/>
      <c r="I265" s="202">
        <f>53820+1827</f>
        <v>55647</v>
      </c>
      <c r="J265" s="202"/>
      <c r="K265" s="202"/>
      <c r="L265" s="202"/>
      <c r="M265" s="202"/>
      <c r="N265" s="202"/>
    </row>
    <row r="266" spans="1:14" s="46" customFormat="1" ht="12.75">
      <c r="A266" s="111"/>
      <c r="B266" s="81"/>
      <c r="C266" s="85">
        <v>4120</v>
      </c>
      <c r="D266" s="88" t="s">
        <v>627</v>
      </c>
      <c r="E266" s="202">
        <f t="shared" si="39"/>
        <v>7850</v>
      </c>
      <c r="F266" s="202">
        <f t="shared" si="40"/>
        <v>7850</v>
      </c>
      <c r="G266" s="202"/>
      <c r="H266" s="202"/>
      <c r="I266" s="202">
        <f>7650+200</f>
        <v>7850</v>
      </c>
      <c r="J266" s="202"/>
      <c r="K266" s="202"/>
      <c r="L266" s="202"/>
      <c r="M266" s="202"/>
      <c r="N266" s="202"/>
    </row>
    <row r="267" spans="1:14" s="46" customFormat="1" ht="25.5">
      <c r="A267" s="111"/>
      <c r="B267" s="81"/>
      <c r="C267" s="85">
        <v>4440</v>
      </c>
      <c r="D267" s="88" t="s">
        <v>641</v>
      </c>
      <c r="E267" s="202">
        <f>F267+N267</f>
        <v>17485</v>
      </c>
      <c r="F267" s="202">
        <f>SUM(G267:M267)</f>
        <v>17485</v>
      </c>
      <c r="G267" s="202"/>
      <c r="H267" s="202"/>
      <c r="I267" s="202"/>
      <c r="J267" s="202"/>
      <c r="K267" s="202"/>
      <c r="L267" s="202"/>
      <c r="M267" s="202">
        <f>18360-875</f>
        <v>17485</v>
      </c>
      <c r="N267" s="202"/>
    </row>
    <row r="268" spans="1:14" s="79" customFormat="1" ht="25.5">
      <c r="A268" s="122"/>
      <c r="B268" s="86">
        <v>80146</v>
      </c>
      <c r="C268" s="89"/>
      <c r="D268" s="93" t="s">
        <v>7</v>
      </c>
      <c r="E268" s="215">
        <f aca="true" t="shared" si="44" ref="E268:E329">F268+N268</f>
        <v>48218</v>
      </c>
      <c r="F268" s="215">
        <f aca="true" t="shared" si="45" ref="F268:F329">SUM(G268:M268)</f>
        <v>48218</v>
      </c>
      <c r="G268" s="215">
        <f aca="true" t="shared" si="46" ref="G268:N268">SUM(G269:G272)</f>
        <v>0</v>
      </c>
      <c r="H268" s="215">
        <f t="shared" si="46"/>
        <v>0</v>
      </c>
      <c r="I268" s="215">
        <f t="shared" si="46"/>
        <v>0</v>
      </c>
      <c r="J268" s="215">
        <f t="shared" si="46"/>
        <v>8000</v>
      </c>
      <c r="K268" s="215">
        <f t="shared" si="46"/>
        <v>0</v>
      </c>
      <c r="L268" s="215">
        <f t="shared" si="46"/>
        <v>0</v>
      </c>
      <c r="M268" s="215">
        <f t="shared" si="46"/>
        <v>40218</v>
      </c>
      <c r="N268" s="215">
        <f t="shared" si="46"/>
        <v>0</v>
      </c>
    </row>
    <row r="269" spans="1:14" s="46" customFormat="1" ht="76.5">
      <c r="A269" s="111"/>
      <c r="B269" s="81"/>
      <c r="C269" s="85">
        <v>2310</v>
      </c>
      <c r="D269" s="88" t="s">
        <v>8</v>
      </c>
      <c r="E269" s="202">
        <f t="shared" si="44"/>
        <v>8000</v>
      </c>
      <c r="F269" s="202">
        <f t="shared" si="45"/>
        <v>8000</v>
      </c>
      <c r="G269" s="202"/>
      <c r="H269" s="202"/>
      <c r="I269" s="202"/>
      <c r="J269" s="202">
        <f>7000+689+311</f>
        <v>8000</v>
      </c>
      <c r="K269" s="202"/>
      <c r="L269" s="202"/>
      <c r="M269" s="202"/>
      <c r="N269" s="202"/>
    </row>
    <row r="270" spans="1:14" s="46" customFormat="1" ht="12.75">
      <c r="A270" s="111"/>
      <c r="B270" s="81"/>
      <c r="C270" s="85">
        <v>4170</v>
      </c>
      <c r="D270" s="88" t="s">
        <v>670</v>
      </c>
      <c r="E270" s="202">
        <f t="shared" si="44"/>
        <v>2850</v>
      </c>
      <c r="F270" s="202">
        <f>SUM(G270:M270)</f>
        <v>2850</v>
      </c>
      <c r="G270" s="202"/>
      <c r="H270" s="202"/>
      <c r="I270" s="202"/>
      <c r="J270" s="202"/>
      <c r="K270" s="202"/>
      <c r="L270" s="202"/>
      <c r="M270" s="202">
        <f>2850</f>
        <v>2850</v>
      </c>
      <c r="N270" s="202"/>
    </row>
    <row r="271" spans="1:14" s="46" customFormat="1" ht="12.75">
      <c r="A271" s="111"/>
      <c r="B271" s="81"/>
      <c r="C271" s="85">
        <v>4300</v>
      </c>
      <c r="D271" s="88" t="s">
        <v>666</v>
      </c>
      <c r="E271" s="202">
        <f t="shared" si="44"/>
        <v>33210</v>
      </c>
      <c r="F271" s="202">
        <f t="shared" si="45"/>
        <v>33210</v>
      </c>
      <c r="G271" s="202"/>
      <c r="H271" s="202"/>
      <c r="I271" s="202"/>
      <c r="J271" s="202"/>
      <c r="K271" s="202"/>
      <c r="L271" s="202"/>
      <c r="M271" s="202">
        <f>42500+2321-2850+1050-9811</f>
        <v>33210</v>
      </c>
      <c r="N271" s="202"/>
    </row>
    <row r="272" spans="1:14" s="46" customFormat="1" ht="12.75">
      <c r="A272" s="111"/>
      <c r="B272" s="81"/>
      <c r="C272" s="85">
        <v>4410</v>
      </c>
      <c r="D272" s="88" t="s">
        <v>639</v>
      </c>
      <c r="E272" s="202">
        <f t="shared" si="44"/>
        <v>4158</v>
      </c>
      <c r="F272" s="202">
        <f t="shared" si="45"/>
        <v>4158</v>
      </c>
      <c r="G272" s="202"/>
      <c r="H272" s="202"/>
      <c r="I272" s="202"/>
      <c r="J272" s="202"/>
      <c r="K272" s="202"/>
      <c r="L272" s="202"/>
      <c r="M272" s="202">
        <f>7420-320-2942</f>
        <v>4158</v>
      </c>
      <c r="N272" s="202"/>
    </row>
    <row r="273" spans="1:14" s="79" customFormat="1" ht="12.75">
      <c r="A273" s="122"/>
      <c r="B273" s="86">
        <v>80195</v>
      </c>
      <c r="C273" s="89"/>
      <c r="D273" s="93" t="s">
        <v>676</v>
      </c>
      <c r="E273" s="215">
        <f t="shared" si="44"/>
        <v>618122</v>
      </c>
      <c r="F273" s="215">
        <f t="shared" si="45"/>
        <v>618122</v>
      </c>
      <c r="G273" s="215">
        <f>SUM(G274:G294)</f>
        <v>213270</v>
      </c>
      <c r="H273" s="215">
        <f aca="true" t="shared" si="47" ref="H273:N273">SUM(H274:H294)</f>
        <v>10546</v>
      </c>
      <c r="I273" s="215">
        <f t="shared" si="47"/>
        <v>41560</v>
      </c>
      <c r="J273" s="215">
        <f t="shared" si="47"/>
        <v>0</v>
      </c>
      <c r="K273" s="215">
        <f t="shared" si="47"/>
        <v>0</v>
      </c>
      <c r="L273" s="215">
        <f t="shared" si="47"/>
        <v>0</v>
      </c>
      <c r="M273" s="215">
        <f t="shared" si="47"/>
        <v>352746</v>
      </c>
      <c r="N273" s="215">
        <f t="shared" si="47"/>
        <v>0</v>
      </c>
    </row>
    <row r="274" spans="1:14" s="46" customFormat="1" ht="25.5">
      <c r="A274" s="111"/>
      <c r="B274" s="81"/>
      <c r="C274" s="85">
        <v>3020</v>
      </c>
      <c r="D274" s="88" t="s">
        <v>227</v>
      </c>
      <c r="E274" s="202">
        <f t="shared" si="44"/>
        <v>900</v>
      </c>
      <c r="F274" s="202">
        <f t="shared" si="45"/>
        <v>900</v>
      </c>
      <c r="G274" s="202"/>
      <c r="H274" s="202"/>
      <c r="I274" s="202"/>
      <c r="J274" s="202"/>
      <c r="K274" s="202"/>
      <c r="L274" s="202"/>
      <c r="M274" s="202">
        <f>1600-600-100</f>
        <v>900</v>
      </c>
      <c r="N274" s="202"/>
    </row>
    <row r="275" spans="1:14" s="46" customFormat="1" ht="25.5">
      <c r="A275" s="111"/>
      <c r="B275" s="81"/>
      <c r="C275" s="85">
        <v>4010</v>
      </c>
      <c r="D275" s="88" t="s">
        <v>624</v>
      </c>
      <c r="E275" s="202">
        <f t="shared" si="44"/>
        <v>213270</v>
      </c>
      <c r="F275" s="202">
        <f t="shared" si="45"/>
        <v>213270</v>
      </c>
      <c r="G275" s="202">
        <f>208112+5158</f>
        <v>213270</v>
      </c>
      <c r="H275" s="202"/>
      <c r="I275" s="202"/>
      <c r="J275" s="202"/>
      <c r="K275" s="202"/>
      <c r="L275" s="202"/>
      <c r="M275" s="202"/>
      <c r="N275" s="202"/>
    </row>
    <row r="276" spans="1:14" s="46" customFormat="1" ht="12.75">
      <c r="A276" s="111"/>
      <c r="B276" s="81"/>
      <c r="C276" s="85">
        <v>4040</v>
      </c>
      <c r="D276" s="88" t="s">
        <v>625</v>
      </c>
      <c r="E276" s="202">
        <f t="shared" si="44"/>
        <v>10546</v>
      </c>
      <c r="F276" s="202">
        <f t="shared" si="45"/>
        <v>10546</v>
      </c>
      <c r="G276" s="202"/>
      <c r="H276" s="202">
        <f>11230-466-218</f>
        <v>10546</v>
      </c>
      <c r="I276" s="202"/>
      <c r="J276" s="202"/>
      <c r="K276" s="202"/>
      <c r="L276" s="202"/>
      <c r="M276" s="202"/>
      <c r="N276" s="202"/>
    </row>
    <row r="277" spans="1:14" s="46" customFormat="1" ht="12.75">
      <c r="A277" s="111"/>
      <c r="B277" s="81"/>
      <c r="C277" s="85">
        <v>4110</v>
      </c>
      <c r="D277" s="88" t="s">
        <v>687</v>
      </c>
      <c r="E277" s="202">
        <f t="shared" si="44"/>
        <v>36529</v>
      </c>
      <c r="F277" s="202">
        <f t="shared" si="45"/>
        <v>36529</v>
      </c>
      <c r="G277" s="202"/>
      <c r="H277" s="202"/>
      <c r="I277" s="202">
        <f>35602+935-15+7</f>
        <v>36529</v>
      </c>
      <c r="J277" s="202"/>
      <c r="K277" s="202"/>
      <c r="L277" s="202"/>
      <c r="M277" s="202"/>
      <c r="N277" s="202"/>
    </row>
    <row r="278" spans="1:14" s="46" customFormat="1" ht="12.75">
      <c r="A278" s="111"/>
      <c r="B278" s="81"/>
      <c r="C278" s="85">
        <v>4120</v>
      </c>
      <c r="D278" s="88" t="s">
        <v>627</v>
      </c>
      <c r="E278" s="202">
        <f t="shared" si="44"/>
        <v>5031</v>
      </c>
      <c r="F278" s="202">
        <f t="shared" si="45"/>
        <v>5031</v>
      </c>
      <c r="G278" s="202"/>
      <c r="H278" s="202"/>
      <c r="I278" s="202">
        <f>4906+125</f>
        <v>5031</v>
      </c>
      <c r="J278" s="202"/>
      <c r="K278" s="202"/>
      <c r="L278" s="202"/>
      <c r="M278" s="202"/>
      <c r="N278" s="202"/>
    </row>
    <row r="279" spans="1:14" s="46" customFormat="1" ht="12.75">
      <c r="A279" s="111"/>
      <c r="B279" s="81"/>
      <c r="C279" s="85">
        <v>4170</v>
      </c>
      <c r="D279" s="88" t="s">
        <v>655</v>
      </c>
      <c r="E279" s="202">
        <f t="shared" si="44"/>
        <v>4820</v>
      </c>
      <c r="F279" s="202">
        <f t="shared" si="45"/>
        <v>4820</v>
      </c>
      <c r="G279" s="202"/>
      <c r="H279" s="202"/>
      <c r="I279" s="202"/>
      <c r="J279" s="202"/>
      <c r="K279" s="202"/>
      <c r="L279" s="202"/>
      <c r="M279" s="202">
        <f>2000+2800-400+420</f>
        <v>4820</v>
      </c>
      <c r="N279" s="202"/>
    </row>
    <row r="280" spans="1:14" s="46" customFormat="1" ht="12.75">
      <c r="A280" s="111"/>
      <c r="B280" s="81"/>
      <c r="C280" s="85">
        <v>4210</v>
      </c>
      <c r="D280" s="88" t="s">
        <v>629</v>
      </c>
      <c r="E280" s="202">
        <f t="shared" si="44"/>
        <v>26552</v>
      </c>
      <c r="F280" s="202">
        <f t="shared" si="45"/>
        <v>26552</v>
      </c>
      <c r="G280" s="202"/>
      <c r="H280" s="202"/>
      <c r="I280" s="202"/>
      <c r="J280" s="202"/>
      <c r="K280" s="202"/>
      <c r="L280" s="202"/>
      <c r="M280" s="202">
        <f>8150+2000+14000+2229+173</f>
        <v>26552</v>
      </c>
      <c r="N280" s="202"/>
    </row>
    <row r="281" spans="1:14" s="46" customFormat="1" ht="25.5">
      <c r="A281" s="111"/>
      <c r="B281" s="84"/>
      <c r="C281" s="85">
        <v>4240</v>
      </c>
      <c r="D281" s="88" t="s">
        <v>0</v>
      </c>
      <c r="E281" s="202">
        <f t="shared" si="44"/>
        <v>221000</v>
      </c>
      <c r="F281" s="202">
        <f t="shared" si="45"/>
        <v>221000</v>
      </c>
      <c r="G281" s="202"/>
      <c r="H281" s="202"/>
      <c r="I281" s="202"/>
      <c r="J281" s="202"/>
      <c r="K281" s="202"/>
      <c r="L281" s="202"/>
      <c r="M281" s="202">
        <v>221000</v>
      </c>
      <c r="N281" s="202"/>
    </row>
    <row r="282" spans="1:14" s="46" customFormat="1" ht="12.75">
      <c r="A282" s="111"/>
      <c r="B282" s="81"/>
      <c r="C282" s="85">
        <v>4260</v>
      </c>
      <c r="D282" s="88" t="s">
        <v>630</v>
      </c>
      <c r="E282" s="202">
        <f t="shared" si="44"/>
        <v>2360</v>
      </c>
      <c r="F282" s="202">
        <f t="shared" si="45"/>
        <v>2360</v>
      </c>
      <c r="G282" s="202"/>
      <c r="H282" s="202"/>
      <c r="I282" s="202"/>
      <c r="J282" s="202"/>
      <c r="K282" s="202"/>
      <c r="L282" s="202"/>
      <c r="M282" s="202">
        <f>3210-250-600</f>
        <v>2360</v>
      </c>
      <c r="N282" s="202"/>
    </row>
    <row r="283" spans="1:14" s="46" customFormat="1" ht="12.75">
      <c r="A283" s="111"/>
      <c r="B283" s="81"/>
      <c r="C283" s="85">
        <v>4270</v>
      </c>
      <c r="D283" s="88" t="s">
        <v>648</v>
      </c>
      <c r="E283" s="202">
        <f t="shared" si="44"/>
        <v>8680</v>
      </c>
      <c r="F283" s="202">
        <f t="shared" si="45"/>
        <v>8680</v>
      </c>
      <c r="G283" s="202"/>
      <c r="H283" s="202"/>
      <c r="I283" s="202"/>
      <c r="J283" s="202"/>
      <c r="K283" s="202"/>
      <c r="L283" s="202"/>
      <c r="M283" s="202">
        <f>620+8000+60</f>
        <v>8680</v>
      </c>
      <c r="N283" s="202"/>
    </row>
    <row r="284" spans="1:14" s="46" customFormat="1" ht="12.75">
      <c r="A284" s="111"/>
      <c r="B284" s="81"/>
      <c r="C284" s="85">
        <v>4280</v>
      </c>
      <c r="D284" s="88" t="s">
        <v>632</v>
      </c>
      <c r="E284" s="202">
        <f t="shared" si="44"/>
        <v>400</v>
      </c>
      <c r="F284" s="202">
        <f t="shared" si="45"/>
        <v>400</v>
      </c>
      <c r="G284" s="202"/>
      <c r="H284" s="202"/>
      <c r="I284" s="202"/>
      <c r="J284" s="202"/>
      <c r="K284" s="202"/>
      <c r="L284" s="202"/>
      <c r="M284" s="202">
        <f>150+250</f>
        <v>400</v>
      </c>
      <c r="N284" s="202"/>
    </row>
    <row r="285" spans="1:14" s="46" customFormat="1" ht="12.75">
      <c r="A285" s="111"/>
      <c r="B285" s="81"/>
      <c r="C285" s="85">
        <v>4300</v>
      </c>
      <c r="D285" s="88" t="s">
        <v>9</v>
      </c>
      <c r="E285" s="202">
        <f t="shared" si="44"/>
        <v>3750</v>
      </c>
      <c r="F285" s="202">
        <f t="shared" si="45"/>
        <v>3750</v>
      </c>
      <c r="G285" s="202"/>
      <c r="H285" s="202"/>
      <c r="I285" s="202"/>
      <c r="J285" s="202"/>
      <c r="K285" s="202"/>
      <c r="L285" s="202"/>
      <c r="M285" s="202">
        <f>2550+1500-300</f>
        <v>3750</v>
      </c>
      <c r="N285" s="202"/>
    </row>
    <row r="286" spans="1:14" s="46" customFormat="1" ht="25.5">
      <c r="A286" s="111"/>
      <c r="B286" s="81"/>
      <c r="C286" s="85">
        <v>4350</v>
      </c>
      <c r="D286" s="88" t="s">
        <v>633</v>
      </c>
      <c r="E286" s="202">
        <f t="shared" si="44"/>
        <v>1571</v>
      </c>
      <c r="F286" s="202">
        <f t="shared" si="45"/>
        <v>1571</v>
      </c>
      <c r="G286" s="202"/>
      <c r="H286" s="202"/>
      <c r="I286" s="202"/>
      <c r="J286" s="202"/>
      <c r="K286" s="202"/>
      <c r="L286" s="202"/>
      <c r="M286" s="202">
        <f>1980-409</f>
        <v>1571</v>
      </c>
      <c r="N286" s="202"/>
    </row>
    <row r="287" spans="1:14" s="46" customFormat="1" ht="38.25">
      <c r="A287" s="111"/>
      <c r="B287" s="81"/>
      <c r="C287" s="85">
        <v>4370</v>
      </c>
      <c r="D287" s="88" t="s">
        <v>691</v>
      </c>
      <c r="E287" s="202">
        <f t="shared" si="44"/>
        <v>5310</v>
      </c>
      <c r="F287" s="202">
        <f t="shared" si="45"/>
        <v>5310</v>
      </c>
      <c r="G287" s="202"/>
      <c r="H287" s="202"/>
      <c r="I287" s="202"/>
      <c r="J287" s="202"/>
      <c r="K287" s="202"/>
      <c r="L287" s="202"/>
      <c r="M287" s="202">
        <f>6110-800</f>
        <v>5310</v>
      </c>
      <c r="N287" s="202"/>
    </row>
    <row r="288" spans="1:14" s="46" customFormat="1" ht="12.75">
      <c r="A288" s="111"/>
      <c r="B288" s="81"/>
      <c r="C288" s="85">
        <v>4410</v>
      </c>
      <c r="D288" s="88" t="s">
        <v>639</v>
      </c>
      <c r="E288" s="202">
        <f t="shared" si="44"/>
        <v>870</v>
      </c>
      <c r="F288" s="202">
        <f t="shared" si="45"/>
        <v>870</v>
      </c>
      <c r="G288" s="202"/>
      <c r="H288" s="202"/>
      <c r="I288" s="202"/>
      <c r="J288" s="202"/>
      <c r="K288" s="202"/>
      <c r="L288" s="202"/>
      <c r="M288" s="202">
        <f>1070-200</f>
        <v>870</v>
      </c>
      <c r="N288" s="202"/>
    </row>
    <row r="289" spans="1:14" s="46" customFormat="1" ht="12.75">
      <c r="A289" s="111"/>
      <c r="B289" s="81"/>
      <c r="C289" s="85">
        <v>4430</v>
      </c>
      <c r="D289" s="88" t="s">
        <v>640</v>
      </c>
      <c r="E289" s="202">
        <f t="shared" si="44"/>
        <v>12</v>
      </c>
      <c r="F289" s="202">
        <f t="shared" si="45"/>
        <v>12</v>
      </c>
      <c r="G289" s="202"/>
      <c r="H289" s="202"/>
      <c r="I289" s="202"/>
      <c r="J289" s="202"/>
      <c r="K289" s="202"/>
      <c r="L289" s="202"/>
      <c r="M289" s="202">
        <f>200-100-88</f>
        <v>12</v>
      </c>
      <c r="N289" s="202"/>
    </row>
    <row r="290" spans="1:14" s="46" customFormat="1" ht="25.5">
      <c r="A290" s="111"/>
      <c r="B290" s="81"/>
      <c r="C290" s="85">
        <v>4440</v>
      </c>
      <c r="D290" s="88" t="s">
        <v>641</v>
      </c>
      <c r="E290" s="202">
        <f t="shared" si="44"/>
        <v>61443</v>
      </c>
      <c r="F290" s="202">
        <f t="shared" si="45"/>
        <v>61443</v>
      </c>
      <c r="G290" s="202"/>
      <c r="H290" s="202"/>
      <c r="I290" s="202"/>
      <c r="J290" s="202"/>
      <c r="K290" s="202"/>
      <c r="L290" s="202"/>
      <c r="M290" s="202">
        <f>79550+25+123-18255</f>
        <v>61443</v>
      </c>
      <c r="N290" s="202"/>
    </row>
    <row r="291" spans="1:14" s="46" customFormat="1" ht="12.75">
      <c r="A291" s="111"/>
      <c r="B291" s="81"/>
      <c r="C291" s="85">
        <v>4510</v>
      </c>
      <c r="D291" s="88" t="s">
        <v>301</v>
      </c>
      <c r="E291" s="202">
        <f t="shared" si="44"/>
        <v>100</v>
      </c>
      <c r="F291" s="202">
        <f>SUM(G291:M291)</f>
        <v>100</v>
      </c>
      <c r="G291" s="202"/>
      <c r="H291" s="202"/>
      <c r="I291" s="202"/>
      <c r="J291" s="202"/>
      <c r="K291" s="202"/>
      <c r="L291" s="202"/>
      <c r="M291" s="202">
        <v>100</v>
      </c>
      <c r="N291" s="202"/>
    </row>
    <row r="292" spans="1:14" s="46" customFormat="1" ht="38.25">
      <c r="A292" s="111"/>
      <c r="B292" s="81"/>
      <c r="C292" s="85">
        <v>4700</v>
      </c>
      <c r="D292" s="88" t="s">
        <v>226</v>
      </c>
      <c r="E292" s="202">
        <f t="shared" si="44"/>
        <v>1608</v>
      </c>
      <c r="F292" s="202">
        <f t="shared" si="45"/>
        <v>1608</v>
      </c>
      <c r="G292" s="202"/>
      <c r="H292" s="202"/>
      <c r="I292" s="202"/>
      <c r="J292" s="202"/>
      <c r="K292" s="202"/>
      <c r="L292" s="202"/>
      <c r="M292" s="202">
        <f>2000-392</f>
        <v>1608</v>
      </c>
      <c r="N292" s="202"/>
    </row>
    <row r="293" spans="1:14" s="46" customFormat="1" ht="38.25">
      <c r="A293" s="111"/>
      <c r="B293" s="81"/>
      <c r="C293" s="85">
        <v>4740</v>
      </c>
      <c r="D293" s="88" t="s">
        <v>658</v>
      </c>
      <c r="E293" s="202">
        <f t="shared" si="44"/>
        <v>1170</v>
      </c>
      <c r="F293" s="202">
        <f t="shared" si="45"/>
        <v>1170</v>
      </c>
      <c r="G293" s="202"/>
      <c r="H293" s="202"/>
      <c r="I293" s="202"/>
      <c r="J293" s="202"/>
      <c r="K293" s="202"/>
      <c r="L293" s="202"/>
      <c r="M293" s="202">
        <f>1020+150</f>
        <v>1170</v>
      </c>
      <c r="N293" s="202"/>
    </row>
    <row r="294" spans="1:14" s="46" customFormat="1" ht="25.5">
      <c r="A294" s="111"/>
      <c r="B294" s="81"/>
      <c r="C294" s="85">
        <v>4750</v>
      </c>
      <c r="D294" s="88" t="s">
        <v>692</v>
      </c>
      <c r="E294" s="202">
        <f t="shared" si="44"/>
        <v>12200</v>
      </c>
      <c r="F294" s="202">
        <f t="shared" si="45"/>
        <v>12200</v>
      </c>
      <c r="G294" s="202"/>
      <c r="H294" s="202"/>
      <c r="I294" s="202"/>
      <c r="J294" s="202"/>
      <c r="K294" s="202"/>
      <c r="L294" s="202"/>
      <c r="M294" s="202">
        <f>5100+5500+600+1000</f>
        <v>12200</v>
      </c>
      <c r="N294" s="202"/>
    </row>
    <row r="295" spans="1:14" s="120" customFormat="1" ht="12.75">
      <c r="A295" s="81">
        <v>803</v>
      </c>
      <c r="B295" s="81"/>
      <c r="C295" s="82"/>
      <c r="D295" s="94" t="s">
        <v>10</v>
      </c>
      <c r="E295" s="214">
        <f t="shared" si="44"/>
        <v>45197</v>
      </c>
      <c r="F295" s="214">
        <f t="shared" si="45"/>
        <v>45197</v>
      </c>
      <c r="G295" s="214">
        <f aca="true" t="shared" si="48" ref="G295:N295">SUM(G296)</f>
        <v>0</v>
      </c>
      <c r="H295" s="214">
        <f t="shared" si="48"/>
        <v>0</v>
      </c>
      <c r="I295" s="214">
        <f t="shared" si="48"/>
        <v>294</v>
      </c>
      <c r="J295" s="214">
        <f t="shared" si="48"/>
        <v>0</v>
      </c>
      <c r="K295" s="214">
        <f t="shared" si="48"/>
        <v>0</v>
      </c>
      <c r="L295" s="214">
        <f t="shared" si="48"/>
        <v>44903</v>
      </c>
      <c r="M295" s="214">
        <f t="shared" si="48"/>
        <v>0</v>
      </c>
      <c r="N295" s="214">
        <f t="shared" si="48"/>
        <v>0</v>
      </c>
    </row>
    <row r="296" spans="1:14" s="79" customFormat="1" ht="25.5">
      <c r="A296" s="86"/>
      <c r="B296" s="86">
        <v>80309</v>
      </c>
      <c r="C296" s="89"/>
      <c r="D296" s="93" t="s">
        <v>11</v>
      </c>
      <c r="E296" s="215">
        <f t="shared" si="44"/>
        <v>45197</v>
      </c>
      <c r="F296" s="215">
        <f t="shared" si="45"/>
        <v>45197</v>
      </c>
      <c r="G296" s="215">
        <f aca="true" t="shared" si="49" ref="G296:M296">SUM(G297:G304)</f>
        <v>0</v>
      </c>
      <c r="H296" s="215">
        <f t="shared" si="49"/>
        <v>0</v>
      </c>
      <c r="I296" s="215">
        <f t="shared" si="49"/>
        <v>294</v>
      </c>
      <c r="J296" s="215">
        <f t="shared" si="49"/>
        <v>0</v>
      </c>
      <c r="K296" s="215">
        <f t="shared" si="49"/>
        <v>0</v>
      </c>
      <c r="L296" s="215">
        <f t="shared" si="49"/>
        <v>44903</v>
      </c>
      <c r="M296" s="215">
        <f t="shared" si="49"/>
        <v>0</v>
      </c>
      <c r="N296" s="215">
        <f>SUM(N297:N304)</f>
        <v>0</v>
      </c>
    </row>
    <row r="297" spans="1:14" s="46" customFormat="1" ht="12.75">
      <c r="A297" s="81"/>
      <c r="B297" s="81"/>
      <c r="C297" s="85">
        <v>3218</v>
      </c>
      <c r="D297" s="88" t="s">
        <v>13</v>
      </c>
      <c r="E297" s="202">
        <f t="shared" si="44"/>
        <v>32550</v>
      </c>
      <c r="F297" s="202">
        <f t="shared" si="45"/>
        <v>32550</v>
      </c>
      <c r="G297" s="202"/>
      <c r="H297" s="202"/>
      <c r="I297" s="202"/>
      <c r="J297" s="202"/>
      <c r="K297" s="202"/>
      <c r="L297" s="202">
        <v>32550</v>
      </c>
      <c r="M297" s="202"/>
      <c r="N297" s="202"/>
    </row>
    <row r="298" spans="1:14" s="46" customFormat="1" ht="12.75">
      <c r="A298" s="81"/>
      <c r="B298" s="81"/>
      <c r="C298" s="85">
        <v>3219</v>
      </c>
      <c r="D298" s="88" t="s">
        <v>13</v>
      </c>
      <c r="E298" s="202">
        <f t="shared" si="44"/>
        <v>10850</v>
      </c>
      <c r="F298" s="202">
        <f t="shared" si="45"/>
        <v>10850</v>
      </c>
      <c r="G298" s="202"/>
      <c r="H298" s="202"/>
      <c r="I298" s="202"/>
      <c r="J298" s="202"/>
      <c r="K298" s="202"/>
      <c r="L298" s="202">
        <v>10850</v>
      </c>
      <c r="M298" s="202"/>
      <c r="N298" s="202"/>
    </row>
    <row r="299" spans="1:14" s="46" customFormat="1" ht="12.75">
      <c r="A299" s="81"/>
      <c r="B299" s="81"/>
      <c r="C299" s="85">
        <v>4118</v>
      </c>
      <c r="D299" s="88" t="s">
        <v>687</v>
      </c>
      <c r="E299" s="202">
        <f t="shared" si="44"/>
        <v>193</v>
      </c>
      <c r="F299" s="202">
        <f>SUM(G299:K299)</f>
        <v>193</v>
      </c>
      <c r="G299" s="202"/>
      <c r="H299" s="202"/>
      <c r="I299" s="202">
        <v>193</v>
      </c>
      <c r="J299" s="202"/>
      <c r="K299" s="202"/>
      <c r="L299" s="216"/>
      <c r="M299" s="216"/>
      <c r="N299" s="202"/>
    </row>
    <row r="300" spans="1:14" s="46" customFormat="1" ht="12.75">
      <c r="A300" s="81"/>
      <c r="B300" s="81"/>
      <c r="C300" s="85">
        <v>4119</v>
      </c>
      <c r="D300" s="88" t="s">
        <v>687</v>
      </c>
      <c r="E300" s="202">
        <f t="shared" si="44"/>
        <v>64</v>
      </c>
      <c r="F300" s="202">
        <f>SUM(G300:K300)</f>
        <v>64</v>
      </c>
      <c r="G300" s="202"/>
      <c r="H300" s="202"/>
      <c r="I300" s="202">
        <v>64</v>
      </c>
      <c r="J300" s="202"/>
      <c r="K300" s="202"/>
      <c r="L300" s="216"/>
      <c r="M300" s="216"/>
      <c r="N300" s="202"/>
    </row>
    <row r="301" spans="1:14" s="46" customFormat="1" ht="12.75">
      <c r="A301" s="81"/>
      <c r="B301" s="81"/>
      <c r="C301" s="85">
        <v>4128</v>
      </c>
      <c r="D301" s="88" t="s">
        <v>627</v>
      </c>
      <c r="E301" s="202">
        <f t="shared" si="44"/>
        <v>28</v>
      </c>
      <c r="F301" s="202">
        <f>SUM(G301:K301)</f>
        <v>28</v>
      </c>
      <c r="G301" s="202"/>
      <c r="H301" s="202"/>
      <c r="I301" s="202">
        <v>28</v>
      </c>
      <c r="J301" s="202"/>
      <c r="K301" s="202"/>
      <c r="L301" s="216"/>
      <c r="M301" s="216"/>
      <c r="N301" s="202"/>
    </row>
    <row r="302" spans="1:14" s="46" customFormat="1" ht="12.75">
      <c r="A302" s="81"/>
      <c r="B302" s="81"/>
      <c r="C302" s="85">
        <v>4129</v>
      </c>
      <c r="D302" s="88" t="s">
        <v>627</v>
      </c>
      <c r="E302" s="202">
        <f t="shared" si="44"/>
        <v>9</v>
      </c>
      <c r="F302" s="202">
        <f>SUM(G302:K302)</f>
        <v>9</v>
      </c>
      <c r="G302" s="202"/>
      <c r="H302" s="202"/>
      <c r="I302" s="202">
        <v>9</v>
      </c>
      <c r="J302" s="202"/>
      <c r="K302" s="202"/>
      <c r="L302" s="216"/>
      <c r="M302" s="216"/>
      <c r="N302" s="202"/>
    </row>
    <row r="303" spans="1:14" s="46" customFormat="1" ht="12.75">
      <c r="A303" s="81"/>
      <c r="B303" s="81"/>
      <c r="C303" s="85">
        <v>4178</v>
      </c>
      <c r="D303" s="88" t="s">
        <v>655</v>
      </c>
      <c r="E303" s="202">
        <f t="shared" si="44"/>
        <v>1127</v>
      </c>
      <c r="F303" s="202">
        <f t="shared" si="45"/>
        <v>1127</v>
      </c>
      <c r="G303" s="202"/>
      <c r="H303" s="202"/>
      <c r="I303" s="202"/>
      <c r="J303" s="202"/>
      <c r="K303" s="202"/>
      <c r="L303" s="202">
        <v>1127</v>
      </c>
      <c r="M303" s="202"/>
      <c r="N303" s="202"/>
    </row>
    <row r="304" spans="1:14" s="46" customFormat="1" ht="12.75">
      <c r="A304" s="81"/>
      <c r="B304" s="81"/>
      <c r="C304" s="85">
        <v>4179</v>
      </c>
      <c r="D304" s="88" t="s">
        <v>655</v>
      </c>
      <c r="E304" s="202">
        <f t="shared" si="44"/>
        <v>376</v>
      </c>
      <c r="F304" s="202">
        <f t="shared" si="45"/>
        <v>376</v>
      </c>
      <c r="G304" s="202"/>
      <c r="H304" s="202"/>
      <c r="I304" s="202"/>
      <c r="J304" s="202"/>
      <c r="K304" s="202"/>
      <c r="L304" s="202">
        <v>376</v>
      </c>
      <c r="M304" s="202"/>
      <c r="N304" s="202"/>
    </row>
    <row r="305" spans="1:14" s="120" customFormat="1" ht="12.75">
      <c r="A305" s="81">
        <v>851</v>
      </c>
      <c r="B305" s="81"/>
      <c r="C305" s="82"/>
      <c r="D305" s="94" t="s">
        <v>14</v>
      </c>
      <c r="E305" s="214">
        <f t="shared" si="44"/>
        <v>1151280</v>
      </c>
      <c r="F305" s="214">
        <f t="shared" si="45"/>
        <v>1151280</v>
      </c>
      <c r="G305" s="214">
        <f aca="true" t="shared" si="50" ref="G305:M305">SUM(G308+G306+G310)</f>
        <v>0</v>
      </c>
      <c r="H305" s="214">
        <f t="shared" si="50"/>
        <v>0</v>
      </c>
      <c r="I305" s="214">
        <f t="shared" si="50"/>
        <v>0</v>
      </c>
      <c r="J305" s="214">
        <f t="shared" si="50"/>
        <v>2000</v>
      </c>
      <c r="K305" s="214">
        <f t="shared" si="50"/>
        <v>0</v>
      </c>
      <c r="L305" s="214">
        <f t="shared" si="50"/>
        <v>0</v>
      </c>
      <c r="M305" s="214">
        <f t="shared" si="50"/>
        <v>1149280</v>
      </c>
      <c r="N305" s="214">
        <f>SUM(N308+N306)</f>
        <v>0</v>
      </c>
    </row>
    <row r="306" spans="1:14" s="79" customFormat="1" ht="51">
      <c r="A306" s="86"/>
      <c r="B306" s="86">
        <v>85156</v>
      </c>
      <c r="C306" s="89"/>
      <c r="D306" s="93" t="s">
        <v>15</v>
      </c>
      <c r="E306" s="215">
        <f t="shared" si="44"/>
        <v>1103780</v>
      </c>
      <c r="F306" s="215">
        <f t="shared" si="45"/>
        <v>1103780</v>
      </c>
      <c r="G306" s="215">
        <f aca="true" t="shared" si="51" ref="G306:M306">SUM(G307)</f>
        <v>0</v>
      </c>
      <c r="H306" s="215">
        <f t="shared" si="51"/>
        <v>0</v>
      </c>
      <c r="I306" s="215">
        <f t="shared" si="51"/>
        <v>0</v>
      </c>
      <c r="J306" s="215">
        <f t="shared" si="51"/>
        <v>0</v>
      </c>
      <c r="K306" s="215">
        <f t="shared" si="51"/>
        <v>0</v>
      </c>
      <c r="L306" s="215">
        <f t="shared" si="51"/>
        <v>0</v>
      </c>
      <c r="M306" s="215">
        <f t="shared" si="51"/>
        <v>1103780</v>
      </c>
      <c r="N306" s="215"/>
    </row>
    <row r="307" spans="1:14" s="46" customFormat="1" ht="12.75">
      <c r="A307" s="84"/>
      <c r="B307" s="84"/>
      <c r="C307" s="85">
        <v>4130</v>
      </c>
      <c r="D307" s="88" t="s">
        <v>16</v>
      </c>
      <c r="E307" s="202">
        <f t="shared" si="44"/>
        <v>1103780</v>
      </c>
      <c r="F307" s="202">
        <f t="shared" si="45"/>
        <v>1103780</v>
      </c>
      <c r="G307" s="202"/>
      <c r="H307" s="202"/>
      <c r="I307" s="202"/>
      <c r="J307" s="202"/>
      <c r="K307" s="202"/>
      <c r="L307" s="202"/>
      <c r="M307" s="202">
        <f>1158800-75800+67160-46380</f>
        <v>1103780</v>
      </c>
      <c r="N307" s="202"/>
    </row>
    <row r="308" spans="1:14" s="79" customFormat="1" ht="12.75">
      <c r="A308" s="86"/>
      <c r="B308" s="86">
        <v>85149</v>
      </c>
      <c r="C308" s="89"/>
      <c r="D308" s="93" t="s">
        <v>17</v>
      </c>
      <c r="E308" s="215">
        <f t="shared" si="44"/>
        <v>45000</v>
      </c>
      <c r="F308" s="215">
        <f t="shared" si="45"/>
        <v>45000</v>
      </c>
      <c r="G308" s="215">
        <f aca="true" t="shared" si="52" ref="G308:M310">G309</f>
        <v>0</v>
      </c>
      <c r="H308" s="215">
        <f t="shared" si="52"/>
        <v>0</v>
      </c>
      <c r="I308" s="215">
        <f t="shared" si="52"/>
        <v>0</v>
      </c>
      <c r="J308" s="215">
        <f t="shared" si="52"/>
        <v>0</v>
      </c>
      <c r="K308" s="215">
        <f t="shared" si="52"/>
        <v>0</v>
      </c>
      <c r="L308" s="215">
        <f t="shared" si="52"/>
        <v>0</v>
      </c>
      <c r="M308" s="215">
        <f t="shared" si="52"/>
        <v>45000</v>
      </c>
      <c r="N308" s="215"/>
    </row>
    <row r="309" spans="1:14" s="46" customFormat="1" ht="12.75">
      <c r="A309" s="84"/>
      <c r="B309" s="84"/>
      <c r="C309" s="85">
        <v>4280</v>
      </c>
      <c r="D309" s="88" t="s">
        <v>18</v>
      </c>
      <c r="E309" s="202">
        <f t="shared" si="44"/>
        <v>45000</v>
      </c>
      <c r="F309" s="202">
        <f t="shared" si="45"/>
        <v>45000</v>
      </c>
      <c r="G309" s="202"/>
      <c r="H309" s="202"/>
      <c r="I309" s="202"/>
      <c r="J309" s="202"/>
      <c r="K309" s="202"/>
      <c r="L309" s="202"/>
      <c r="M309" s="202">
        <v>45000</v>
      </c>
      <c r="N309" s="202"/>
    </row>
    <row r="310" spans="1:14" s="46" customFormat="1" ht="12.75">
      <c r="A310" s="84"/>
      <c r="B310" s="81">
        <v>85195</v>
      </c>
      <c r="C310" s="85"/>
      <c r="D310" s="336" t="s">
        <v>676</v>
      </c>
      <c r="E310" s="215">
        <f t="shared" si="44"/>
        <v>2500</v>
      </c>
      <c r="F310" s="202">
        <f>SUM(G310:M310)</f>
        <v>2500</v>
      </c>
      <c r="G310" s="215">
        <f t="shared" si="52"/>
        <v>0</v>
      </c>
      <c r="H310" s="215">
        <f t="shared" si="52"/>
        <v>0</v>
      </c>
      <c r="I310" s="215">
        <f t="shared" si="52"/>
        <v>0</v>
      </c>
      <c r="J310" s="215">
        <f t="shared" si="52"/>
        <v>2000</v>
      </c>
      <c r="K310" s="215">
        <f t="shared" si="52"/>
        <v>0</v>
      </c>
      <c r="L310" s="215">
        <f t="shared" si="52"/>
        <v>0</v>
      </c>
      <c r="M310" s="215">
        <f>M311+M312</f>
        <v>500</v>
      </c>
      <c r="N310" s="202"/>
    </row>
    <row r="311" spans="1:14" s="46" customFormat="1" ht="33.75">
      <c r="A311" s="84"/>
      <c r="B311" s="84"/>
      <c r="C311" s="85">
        <v>2820</v>
      </c>
      <c r="D311" s="102" t="s">
        <v>317</v>
      </c>
      <c r="E311" s="215">
        <f t="shared" si="44"/>
        <v>2000</v>
      </c>
      <c r="F311" s="202">
        <f>SUM(G311:M311)</f>
        <v>2000</v>
      </c>
      <c r="G311" s="202"/>
      <c r="H311" s="202"/>
      <c r="I311" s="202"/>
      <c r="J311" s="202">
        <v>2000</v>
      </c>
      <c r="K311" s="202"/>
      <c r="L311" s="202"/>
      <c r="M311" s="202"/>
      <c r="N311" s="202"/>
    </row>
    <row r="312" spans="1:14" s="46" customFormat="1" ht="12.75">
      <c r="A312" s="84"/>
      <c r="B312" s="84"/>
      <c r="C312" s="85">
        <v>4300</v>
      </c>
      <c r="D312" s="102" t="s">
        <v>666</v>
      </c>
      <c r="E312" s="215">
        <f t="shared" si="44"/>
        <v>500</v>
      </c>
      <c r="F312" s="202">
        <f>SUM(G312:M312)</f>
        <v>500</v>
      </c>
      <c r="G312" s="202"/>
      <c r="H312" s="202"/>
      <c r="I312" s="202"/>
      <c r="J312" s="202"/>
      <c r="K312" s="202"/>
      <c r="L312" s="202"/>
      <c r="M312" s="202">
        <v>500</v>
      </c>
      <c r="N312" s="202"/>
    </row>
    <row r="313" spans="1:14" s="120" customFormat="1" ht="12.75">
      <c r="A313" s="81">
        <v>852</v>
      </c>
      <c r="B313" s="81"/>
      <c r="C313" s="82"/>
      <c r="D313" s="94" t="s">
        <v>19</v>
      </c>
      <c r="E313" s="214">
        <f t="shared" si="44"/>
        <v>14777760</v>
      </c>
      <c r="F313" s="214">
        <f t="shared" si="45"/>
        <v>13796959</v>
      </c>
      <c r="G313" s="214">
        <f aca="true" t="shared" si="53" ref="G313:N313">SUM(G314+G341+G370+G395+G402+G426+G436+G439)</f>
        <v>5960142</v>
      </c>
      <c r="H313" s="214">
        <f t="shared" si="53"/>
        <v>420821</v>
      </c>
      <c r="I313" s="214">
        <f t="shared" si="53"/>
        <v>1239353</v>
      </c>
      <c r="J313" s="214">
        <f t="shared" si="53"/>
        <v>302135</v>
      </c>
      <c r="K313" s="214">
        <f t="shared" si="53"/>
        <v>0</v>
      </c>
      <c r="L313" s="214">
        <f t="shared" si="53"/>
        <v>0</v>
      </c>
      <c r="M313" s="214">
        <f t="shared" si="53"/>
        <v>5874508</v>
      </c>
      <c r="N313" s="214">
        <f t="shared" si="53"/>
        <v>980801</v>
      </c>
    </row>
    <row r="314" spans="1:14" s="79" customFormat="1" ht="25.5">
      <c r="A314" s="86"/>
      <c r="B314" s="86">
        <v>85201</v>
      </c>
      <c r="C314" s="89"/>
      <c r="D314" s="93" t="s">
        <v>20</v>
      </c>
      <c r="E314" s="215">
        <f t="shared" si="44"/>
        <v>1440250</v>
      </c>
      <c r="F314" s="215">
        <f t="shared" si="45"/>
        <v>1421750</v>
      </c>
      <c r="G314" s="215">
        <f>SUM(G315:G340)</f>
        <v>602750</v>
      </c>
      <c r="H314" s="215">
        <f aca="true" t="shared" si="54" ref="H314:N314">SUM(H315:H340)</f>
        <v>42793</v>
      </c>
      <c r="I314" s="215">
        <f t="shared" si="54"/>
        <v>124762</v>
      </c>
      <c r="J314" s="215">
        <f t="shared" si="54"/>
        <v>210603</v>
      </c>
      <c r="K314" s="215">
        <f t="shared" si="54"/>
        <v>0</v>
      </c>
      <c r="L314" s="215">
        <f t="shared" si="54"/>
        <v>0</v>
      </c>
      <c r="M314" s="215">
        <f t="shared" si="54"/>
        <v>440842</v>
      </c>
      <c r="N314" s="215">
        <f t="shared" si="54"/>
        <v>18500</v>
      </c>
    </row>
    <row r="315" spans="1:14" s="46" customFormat="1" ht="76.5">
      <c r="A315" s="84"/>
      <c r="B315" s="84"/>
      <c r="C315" s="85">
        <v>2320</v>
      </c>
      <c r="D315" s="88" t="s">
        <v>21</v>
      </c>
      <c r="E315" s="202">
        <f t="shared" si="44"/>
        <v>210603</v>
      </c>
      <c r="F315" s="202">
        <f>SUM(G315:K315)</f>
        <v>210603</v>
      </c>
      <c r="G315" s="202"/>
      <c r="H315" s="202"/>
      <c r="I315" s="202"/>
      <c r="J315" s="202">
        <f>259150-10347-26900-11300</f>
        <v>210603</v>
      </c>
      <c r="K315" s="202"/>
      <c r="L315" s="202"/>
      <c r="M315" s="216"/>
      <c r="N315" s="202"/>
    </row>
    <row r="316" spans="1:14" s="46" customFormat="1" ht="25.5">
      <c r="A316" s="84"/>
      <c r="B316" s="84"/>
      <c r="C316" s="85">
        <v>3020</v>
      </c>
      <c r="D316" s="88" t="s">
        <v>227</v>
      </c>
      <c r="E316" s="202">
        <f t="shared" si="44"/>
        <v>25900</v>
      </c>
      <c r="F316" s="202">
        <f t="shared" si="45"/>
        <v>25900</v>
      </c>
      <c r="G316" s="202"/>
      <c r="H316" s="202"/>
      <c r="I316" s="202"/>
      <c r="J316" s="202"/>
      <c r="K316" s="202"/>
      <c r="L316" s="202"/>
      <c r="M316" s="202">
        <f>45600+1300-21000</f>
        <v>25900</v>
      </c>
      <c r="N316" s="202"/>
    </row>
    <row r="317" spans="1:14" s="46" customFormat="1" ht="12.75">
      <c r="A317" s="84"/>
      <c r="B317" s="84"/>
      <c r="C317" s="85">
        <v>3110</v>
      </c>
      <c r="D317" s="88" t="s">
        <v>22</v>
      </c>
      <c r="E317" s="202">
        <f t="shared" si="44"/>
        <v>123900</v>
      </c>
      <c r="F317" s="202">
        <f t="shared" si="45"/>
        <v>123900</v>
      </c>
      <c r="G317" s="202"/>
      <c r="H317" s="202"/>
      <c r="I317" s="202"/>
      <c r="J317" s="202"/>
      <c r="K317" s="202"/>
      <c r="L317" s="202"/>
      <c r="M317" s="202">
        <f>161600-37700</f>
        <v>123900</v>
      </c>
      <c r="N317" s="202"/>
    </row>
    <row r="318" spans="1:14" s="46" customFormat="1" ht="25.5">
      <c r="A318" s="84"/>
      <c r="B318" s="84"/>
      <c r="C318" s="85">
        <v>4010</v>
      </c>
      <c r="D318" s="88" t="s">
        <v>624</v>
      </c>
      <c r="E318" s="202">
        <f t="shared" si="44"/>
        <v>602750</v>
      </c>
      <c r="F318" s="202">
        <f t="shared" si="45"/>
        <v>602750</v>
      </c>
      <c r="G318" s="202">
        <f>539800+9900+22750+30300</f>
        <v>602750</v>
      </c>
      <c r="H318" s="202"/>
      <c r="I318" s="202"/>
      <c r="J318" s="202"/>
      <c r="K318" s="202"/>
      <c r="L318" s="202"/>
      <c r="M318" s="202"/>
      <c r="N318" s="202"/>
    </row>
    <row r="319" spans="1:14" s="46" customFormat="1" ht="12.75">
      <c r="A319" s="84"/>
      <c r="B319" s="84"/>
      <c r="C319" s="85">
        <v>4040</v>
      </c>
      <c r="D319" s="88" t="s">
        <v>625</v>
      </c>
      <c r="E319" s="202">
        <f t="shared" si="44"/>
        <v>42793</v>
      </c>
      <c r="F319" s="202">
        <f t="shared" si="45"/>
        <v>42793</v>
      </c>
      <c r="G319" s="202"/>
      <c r="H319" s="202">
        <f>45000-2207</f>
        <v>42793</v>
      </c>
      <c r="I319" s="202"/>
      <c r="J319" s="202"/>
      <c r="K319" s="202"/>
      <c r="L319" s="202"/>
      <c r="M319" s="202"/>
      <c r="N319" s="202"/>
    </row>
    <row r="320" spans="1:14" s="46" customFormat="1" ht="12.75">
      <c r="A320" s="84"/>
      <c r="B320" s="84"/>
      <c r="C320" s="85">
        <v>4110</v>
      </c>
      <c r="D320" s="88" t="s">
        <v>626</v>
      </c>
      <c r="E320" s="202">
        <f t="shared" si="44"/>
        <v>108931</v>
      </c>
      <c r="F320" s="202">
        <f t="shared" si="45"/>
        <v>108931</v>
      </c>
      <c r="G320" s="202"/>
      <c r="H320" s="202"/>
      <c r="I320" s="202">
        <f>102700+1727+3970+1628-1094</f>
        <v>108931</v>
      </c>
      <c r="J320" s="202"/>
      <c r="K320" s="202"/>
      <c r="L320" s="202"/>
      <c r="M320" s="202"/>
      <c r="N320" s="202"/>
    </row>
    <row r="321" spans="1:14" s="46" customFormat="1" ht="12.75">
      <c r="A321" s="84"/>
      <c r="B321" s="84"/>
      <c r="C321" s="85">
        <v>4120</v>
      </c>
      <c r="D321" s="88" t="s">
        <v>627</v>
      </c>
      <c r="E321" s="202">
        <f t="shared" si="44"/>
        <v>15831</v>
      </c>
      <c r="F321" s="202">
        <f t="shared" si="45"/>
        <v>15831</v>
      </c>
      <c r="G321" s="202"/>
      <c r="H321" s="202"/>
      <c r="I321" s="202">
        <f>14800+243+560+228</f>
        <v>15831</v>
      </c>
      <c r="J321" s="202"/>
      <c r="K321" s="202"/>
      <c r="L321" s="202"/>
      <c r="M321" s="202"/>
      <c r="N321" s="202"/>
    </row>
    <row r="322" spans="1:14" s="46" customFormat="1" ht="12.75">
      <c r="A322" s="84"/>
      <c r="B322" s="84"/>
      <c r="C322" s="85">
        <v>4210</v>
      </c>
      <c r="D322" s="88" t="s">
        <v>629</v>
      </c>
      <c r="E322" s="202">
        <f t="shared" si="44"/>
        <v>128435</v>
      </c>
      <c r="F322" s="202">
        <f t="shared" si="45"/>
        <v>128435</v>
      </c>
      <c r="G322" s="202"/>
      <c r="H322" s="202"/>
      <c r="I322" s="202"/>
      <c r="J322" s="202"/>
      <c r="K322" s="202"/>
      <c r="L322" s="202"/>
      <c r="M322" s="202">
        <f>33600+5000+8035+81800</f>
        <v>128435</v>
      </c>
      <c r="N322" s="202"/>
    </row>
    <row r="323" spans="1:14" s="46" customFormat="1" ht="12.75">
      <c r="A323" s="84"/>
      <c r="B323" s="84"/>
      <c r="C323" s="85">
        <v>4220</v>
      </c>
      <c r="D323" s="88" t="s">
        <v>23</v>
      </c>
      <c r="E323" s="202">
        <f t="shared" si="44"/>
        <v>52600</v>
      </c>
      <c r="F323" s="202">
        <f t="shared" si="45"/>
        <v>52600</v>
      </c>
      <c r="G323" s="202"/>
      <c r="H323" s="202"/>
      <c r="I323" s="202"/>
      <c r="J323" s="202"/>
      <c r="K323" s="202"/>
      <c r="L323" s="202"/>
      <c r="M323" s="202">
        <f>45000+2500+5100</f>
        <v>52600</v>
      </c>
      <c r="N323" s="202"/>
    </row>
    <row r="324" spans="1:14" s="46" customFormat="1" ht="25.5">
      <c r="A324" s="84"/>
      <c r="B324" s="84"/>
      <c r="C324" s="85">
        <v>4230</v>
      </c>
      <c r="D324" s="88" t="s">
        <v>352</v>
      </c>
      <c r="E324" s="202">
        <f t="shared" si="44"/>
        <v>3000</v>
      </c>
      <c r="F324" s="202">
        <f t="shared" si="45"/>
        <v>3000</v>
      </c>
      <c r="G324" s="202"/>
      <c r="H324" s="202"/>
      <c r="I324" s="202"/>
      <c r="J324" s="202"/>
      <c r="K324" s="202"/>
      <c r="L324" s="202"/>
      <c r="M324" s="202">
        <f>2000+1000</f>
        <v>3000</v>
      </c>
      <c r="N324" s="202"/>
    </row>
    <row r="325" spans="1:14" s="46" customFormat="1" ht="25.5">
      <c r="A325" s="84"/>
      <c r="B325" s="84"/>
      <c r="C325" s="85">
        <v>4240</v>
      </c>
      <c r="D325" s="88" t="s">
        <v>690</v>
      </c>
      <c r="E325" s="202">
        <f t="shared" si="44"/>
        <v>2000</v>
      </c>
      <c r="F325" s="202">
        <f t="shared" si="45"/>
        <v>2000</v>
      </c>
      <c r="G325" s="202"/>
      <c r="H325" s="202"/>
      <c r="I325" s="202"/>
      <c r="J325" s="202"/>
      <c r="K325" s="202"/>
      <c r="L325" s="202"/>
      <c r="M325" s="202">
        <v>2000</v>
      </c>
      <c r="N325" s="202"/>
    </row>
    <row r="326" spans="1:14" s="46" customFormat="1" ht="12.75">
      <c r="A326" s="84"/>
      <c r="B326" s="84"/>
      <c r="C326" s="85">
        <v>4260</v>
      </c>
      <c r="D326" s="88" t="s">
        <v>630</v>
      </c>
      <c r="E326" s="202">
        <f t="shared" si="44"/>
        <v>18700</v>
      </c>
      <c r="F326" s="202">
        <f t="shared" si="45"/>
        <v>18700</v>
      </c>
      <c r="G326" s="202"/>
      <c r="H326" s="202"/>
      <c r="I326" s="202"/>
      <c r="J326" s="202"/>
      <c r="K326" s="202"/>
      <c r="L326" s="202"/>
      <c r="M326" s="202">
        <v>18700</v>
      </c>
      <c r="N326" s="202"/>
    </row>
    <row r="327" spans="1:14" s="46" customFormat="1" ht="12.75">
      <c r="A327" s="84"/>
      <c r="B327" s="84"/>
      <c r="C327" s="85">
        <v>4270</v>
      </c>
      <c r="D327" s="88" t="s">
        <v>648</v>
      </c>
      <c r="E327" s="202">
        <f t="shared" si="44"/>
        <v>7377</v>
      </c>
      <c r="F327" s="202">
        <f t="shared" si="45"/>
        <v>7377</v>
      </c>
      <c r="G327" s="202"/>
      <c r="H327" s="202"/>
      <c r="I327" s="202"/>
      <c r="J327" s="202"/>
      <c r="K327" s="202"/>
      <c r="L327" s="202"/>
      <c r="M327" s="202">
        <f>11500-4123</f>
        <v>7377</v>
      </c>
      <c r="N327" s="202"/>
    </row>
    <row r="328" spans="1:14" s="46" customFormat="1" ht="12.75">
      <c r="A328" s="84"/>
      <c r="B328" s="84"/>
      <c r="C328" s="85">
        <v>4280</v>
      </c>
      <c r="D328" s="88" t="s">
        <v>632</v>
      </c>
      <c r="E328" s="202">
        <f t="shared" si="44"/>
        <v>300</v>
      </c>
      <c r="F328" s="202">
        <f t="shared" si="45"/>
        <v>300</v>
      </c>
      <c r="G328" s="202"/>
      <c r="H328" s="202"/>
      <c r="I328" s="202"/>
      <c r="J328" s="202"/>
      <c r="K328" s="202"/>
      <c r="L328" s="202"/>
      <c r="M328" s="202">
        <v>300</v>
      </c>
      <c r="N328" s="202"/>
    </row>
    <row r="329" spans="1:14" s="46" customFormat="1" ht="12.75">
      <c r="A329" s="84"/>
      <c r="B329" s="84"/>
      <c r="C329" s="85">
        <v>4300</v>
      </c>
      <c r="D329" s="88" t="s">
        <v>666</v>
      </c>
      <c r="E329" s="202">
        <f t="shared" si="44"/>
        <v>16000</v>
      </c>
      <c r="F329" s="202">
        <f t="shared" si="45"/>
        <v>16000</v>
      </c>
      <c r="G329" s="202"/>
      <c r="H329" s="202"/>
      <c r="I329" s="202"/>
      <c r="J329" s="202"/>
      <c r="K329" s="202"/>
      <c r="L329" s="202"/>
      <c r="M329" s="202">
        <f>12000+4000</f>
        <v>16000</v>
      </c>
      <c r="N329" s="202"/>
    </row>
    <row r="330" spans="1:14" s="46" customFormat="1" ht="25.5">
      <c r="A330" s="84"/>
      <c r="B330" s="84"/>
      <c r="C330" s="85">
        <v>4350</v>
      </c>
      <c r="D330" s="88" t="s">
        <v>633</v>
      </c>
      <c r="E330" s="202">
        <f aca="true" t="shared" si="55" ref="E330:E394">F330+N330</f>
        <v>1100</v>
      </c>
      <c r="F330" s="202">
        <f aca="true" t="shared" si="56" ref="F330:F394">SUM(G330:M330)</f>
        <v>1100</v>
      </c>
      <c r="G330" s="202"/>
      <c r="H330" s="202"/>
      <c r="I330" s="202"/>
      <c r="J330" s="202"/>
      <c r="K330" s="202"/>
      <c r="L330" s="202"/>
      <c r="M330" s="202">
        <v>1100</v>
      </c>
      <c r="N330" s="202"/>
    </row>
    <row r="331" spans="1:14" s="46" customFormat="1" ht="38.25">
      <c r="A331" s="84"/>
      <c r="B331" s="84"/>
      <c r="C331" s="85">
        <v>4360</v>
      </c>
      <c r="D331" s="88" t="s">
        <v>1</v>
      </c>
      <c r="E331" s="202">
        <f t="shared" si="55"/>
        <v>1200</v>
      </c>
      <c r="F331" s="202">
        <f t="shared" si="56"/>
        <v>1200</v>
      </c>
      <c r="G331" s="202"/>
      <c r="H331" s="202"/>
      <c r="I331" s="202"/>
      <c r="J331" s="202"/>
      <c r="K331" s="202"/>
      <c r="L331" s="202"/>
      <c r="M331" s="202">
        <v>1200</v>
      </c>
      <c r="N331" s="202"/>
    </row>
    <row r="332" spans="1:14" s="46" customFormat="1" ht="38.25">
      <c r="A332" s="84"/>
      <c r="B332" s="84"/>
      <c r="C332" s="85">
        <v>4370</v>
      </c>
      <c r="D332" s="88" t="s">
        <v>691</v>
      </c>
      <c r="E332" s="202">
        <f t="shared" si="55"/>
        <v>5000</v>
      </c>
      <c r="F332" s="202">
        <f t="shared" si="56"/>
        <v>5000</v>
      </c>
      <c r="G332" s="202"/>
      <c r="H332" s="202"/>
      <c r="I332" s="202"/>
      <c r="J332" s="202"/>
      <c r="K332" s="202"/>
      <c r="L332" s="202"/>
      <c r="M332" s="202">
        <v>5000</v>
      </c>
      <c r="N332" s="202"/>
    </row>
    <row r="333" spans="1:14" s="46" customFormat="1" ht="12.75">
      <c r="A333" s="84"/>
      <c r="B333" s="84"/>
      <c r="C333" s="85">
        <v>4410</v>
      </c>
      <c r="D333" s="88" t="s">
        <v>639</v>
      </c>
      <c r="E333" s="202">
        <f t="shared" si="55"/>
        <v>3000</v>
      </c>
      <c r="F333" s="202">
        <f t="shared" si="56"/>
        <v>3000</v>
      </c>
      <c r="G333" s="202"/>
      <c r="H333" s="202"/>
      <c r="I333" s="202"/>
      <c r="J333" s="202"/>
      <c r="K333" s="202"/>
      <c r="L333" s="202"/>
      <c r="M333" s="202">
        <v>3000</v>
      </c>
      <c r="N333" s="202"/>
    </row>
    <row r="334" spans="1:14" s="46" customFormat="1" ht="12.75">
      <c r="A334" s="84"/>
      <c r="B334" s="84"/>
      <c r="C334" s="85">
        <v>4430</v>
      </c>
      <c r="D334" s="88" t="s">
        <v>640</v>
      </c>
      <c r="E334" s="202">
        <f t="shared" si="55"/>
        <v>2500</v>
      </c>
      <c r="F334" s="202">
        <f t="shared" si="56"/>
        <v>2500</v>
      </c>
      <c r="G334" s="202"/>
      <c r="H334" s="202"/>
      <c r="I334" s="202"/>
      <c r="J334" s="202"/>
      <c r="K334" s="202"/>
      <c r="L334" s="202"/>
      <c r="M334" s="202">
        <v>2500</v>
      </c>
      <c r="N334" s="202"/>
    </row>
    <row r="335" spans="1:14" s="46" customFormat="1" ht="25.5">
      <c r="A335" s="84"/>
      <c r="B335" s="84"/>
      <c r="C335" s="85">
        <v>4440</v>
      </c>
      <c r="D335" s="88" t="s">
        <v>641</v>
      </c>
      <c r="E335" s="202">
        <f t="shared" si="55"/>
        <v>32000</v>
      </c>
      <c r="F335" s="202">
        <f t="shared" si="56"/>
        <v>32000</v>
      </c>
      <c r="G335" s="202"/>
      <c r="H335" s="202"/>
      <c r="I335" s="202"/>
      <c r="J335" s="202"/>
      <c r="K335" s="202"/>
      <c r="L335" s="202"/>
      <c r="M335" s="202">
        <v>32000</v>
      </c>
      <c r="N335" s="202"/>
    </row>
    <row r="336" spans="1:14" s="46" customFormat="1" ht="12.75">
      <c r="A336" s="84"/>
      <c r="B336" s="84"/>
      <c r="C336" s="85">
        <v>4480</v>
      </c>
      <c r="D336" s="88" t="s">
        <v>642</v>
      </c>
      <c r="E336" s="202">
        <f t="shared" si="55"/>
        <v>5000</v>
      </c>
      <c r="F336" s="202">
        <f t="shared" si="56"/>
        <v>5000</v>
      </c>
      <c r="G336" s="202"/>
      <c r="H336" s="202"/>
      <c r="I336" s="202"/>
      <c r="J336" s="202"/>
      <c r="K336" s="202"/>
      <c r="L336" s="202"/>
      <c r="M336" s="202">
        <v>5000</v>
      </c>
      <c r="N336" s="202"/>
    </row>
    <row r="337" spans="1:14" s="46" customFormat="1" ht="25.5">
      <c r="A337" s="84"/>
      <c r="B337" s="84"/>
      <c r="C337" s="85">
        <v>4520</v>
      </c>
      <c r="D337" s="88" t="s">
        <v>25</v>
      </c>
      <c r="E337" s="202">
        <f t="shared" si="55"/>
        <v>630</v>
      </c>
      <c r="F337" s="202">
        <f t="shared" si="56"/>
        <v>630</v>
      </c>
      <c r="G337" s="202"/>
      <c r="H337" s="202"/>
      <c r="I337" s="202"/>
      <c r="J337" s="202"/>
      <c r="K337" s="202"/>
      <c r="L337" s="202"/>
      <c r="M337" s="202">
        <f>1300-670</f>
        <v>630</v>
      </c>
      <c r="N337" s="202"/>
    </row>
    <row r="338" spans="1:14" s="46" customFormat="1" ht="38.25">
      <c r="A338" s="84"/>
      <c r="B338" s="84"/>
      <c r="C338" s="85">
        <v>4740</v>
      </c>
      <c r="D338" s="88" t="s">
        <v>658</v>
      </c>
      <c r="E338" s="202">
        <f t="shared" si="55"/>
        <v>1200</v>
      </c>
      <c r="F338" s="202">
        <f t="shared" si="56"/>
        <v>1200</v>
      </c>
      <c r="G338" s="202"/>
      <c r="H338" s="202"/>
      <c r="I338" s="202"/>
      <c r="J338" s="202"/>
      <c r="K338" s="202"/>
      <c r="L338" s="202"/>
      <c r="M338" s="202">
        <v>1200</v>
      </c>
      <c r="N338" s="202"/>
    </row>
    <row r="339" spans="1:14" s="46" customFormat="1" ht="25.5">
      <c r="A339" s="84"/>
      <c r="B339" s="84"/>
      <c r="C339" s="85">
        <v>4750</v>
      </c>
      <c r="D339" s="88" t="s">
        <v>692</v>
      </c>
      <c r="E339" s="202">
        <f t="shared" si="55"/>
        <v>11000</v>
      </c>
      <c r="F339" s="202">
        <f t="shared" si="56"/>
        <v>11000</v>
      </c>
      <c r="G339" s="202"/>
      <c r="H339" s="202"/>
      <c r="I339" s="202"/>
      <c r="J339" s="202"/>
      <c r="K339" s="202"/>
      <c r="L339" s="202"/>
      <c r="M339" s="202">
        <f>1000+10000</f>
        <v>11000</v>
      </c>
      <c r="N339" s="202"/>
    </row>
    <row r="340" spans="1:14" s="46" customFormat="1" ht="25.5">
      <c r="A340" s="84"/>
      <c r="B340" s="84"/>
      <c r="C340" s="85">
        <v>6060</v>
      </c>
      <c r="D340" s="88" t="s">
        <v>381</v>
      </c>
      <c r="E340" s="202">
        <f t="shared" si="55"/>
        <v>18500</v>
      </c>
      <c r="F340" s="202">
        <f t="shared" si="56"/>
        <v>0</v>
      </c>
      <c r="G340" s="202"/>
      <c r="H340" s="202"/>
      <c r="I340" s="202"/>
      <c r="J340" s="202"/>
      <c r="K340" s="202"/>
      <c r="L340" s="202"/>
      <c r="M340" s="202"/>
      <c r="N340" s="202">
        <f>17000+1500</f>
        <v>18500</v>
      </c>
    </row>
    <row r="341" spans="1:14" s="79" customFormat="1" ht="12.75">
      <c r="A341" s="122"/>
      <c r="B341" s="86">
        <v>85202</v>
      </c>
      <c r="C341" s="89"/>
      <c r="D341" s="93" t="s">
        <v>26</v>
      </c>
      <c r="E341" s="215">
        <f t="shared" si="55"/>
        <v>10128839</v>
      </c>
      <c r="F341" s="215">
        <f t="shared" si="56"/>
        <v>9178538</v>
      </c>
      <c r="G341" s="215">
        <f aca="true" t="shared" si="57" ref="G341:M341">SUM(G342:G369)</f>
        <v>4674176</v>
      </c>
      <c r="H341" s="215">
        <f t="shared" si="57"/>
        <v>335888</v>
      </c>
      <c r="I341" s="215">
        <f t="shared" si="57"/>
        <v>943527</v>
      </c>
      <c r="J341" s="215">
        <f t="shared" si="57"/>
        <v>0</v>
      </c>
      <c r="K341" s="215">
        <f t="shared" si="57"/>
        <v>0</v>
      </c>
      <c r="L341" s="215">
        <f t="shared" si="57"/>
        <v>0</v>
      </c>
      <c r="M341" s="215">
        <f t="shared" si="57"/>
        <v>3224947</v>
      </c>
      <c r="N341" s="215">
        <f>SUM(N342:N369)</f>
        <v>950301</v>
      </c>
    </row>
    <row r="342" spans="1:14" s="46" customFormat="1" ht="25.5">
      <c r="A342" s="111"/>
      <c r="B342" s="84"/>
      <c r="C342" s="85">
        <v>3020</v>
      </c>
      <c r="D342" s="88" t="s">
        <v>27</v>
      </c>
      <c r="E342" s="202">
        <f t="shared" si="55"/>
        <v>33000</v>
      </c>
      <c r="F342" s="202">
        <f t="shared" si="56"/>
        <v>33000</v>
      </c>
      <c r="G342" s="202"/>
      <c r="H342" s="202"/>
      <c r="I342" s="202"/>
      <c r="J342" s="202"/>
      <c r="K342" s="202"/>
      <c r="L342" s="202"/>
      <c r="M342" s="202">
        <f>78600-43800+3000+200-5000</f>
        <v>33000</v>
      </c>
      <c r="N342" s="202"/>
    </row>
    <row r="343" spans="1:14" s="46" customFormat="1" ht="25.5">
      <c r="A343" s="111"/>
      <c r="B343" s="84"/>
      <c r="C343" s="85">
        <v>4010</v>
      </c>
      <c r="D343" s="88" t="s">
        <v>624</v>
      </c>
      <c r="E343" s="202">
        <f t="shared" si="55"/>
        <v>4674176</v>
      </c>
      <c r="F343" s="202">
        <f t="shared" si="56"/>
        <v>4674176</v>
      </c>
      <c r="G343" s="202">
        <f>4203200+45570+214640+43800+2790+111343+40833+12000</f>
        <v>4674176</v>
      </c>
      <c r="H343" s="202"/>
      <c r="I343" s="202"/>
      <c r="J343" s="202"/>
      <c r="K343" s="202"/>
      <c r="L343" s="202"/>
      <c r="M343" s="202"/>
      <c r="N343" s="202"/>
    </row>
    <row r="344" spans="1:14" s="46" customFormat="1" ht="12.75">
      <c r="A344" s="111"/>
      <c r="B344" s="84"/>
      <c r="C344" s="85">
        <v>4040</v>
      </c>
      <c r="D344" s="88" t="s">
        <v>625</v>
      </c>
      <c r="E344" s="202">
        <f t="shared" si="55"/>
        <v>335888</v>
      </c>
      <c r="F344" s="202">
        <f t="shared" si="56"/>
        <v>335888</v>
      </c>
      <c r="G344" s="202"/>
      <c r="H344" s="202">
        <f>351000-6753-2801-5558</f>
        <v>335888</v>
      </c>
      <c r="I344" s="202"/>
      <c r="J344" s="202"/>
      <c r="K344" s="202"/>
      <c r="L344" s="202"/>
      <c r="M344" s="202"/>
      <c r="N344" s="202"/>
    </row>
    <row r="345" spans="1:14" s="46" customFormat="1" ht="12.75">
      <c r="A345" s="111"/>
      <c r="B345" s="84"/>
      <c r="C345" s="85">
        <v>4110</v>
      </c>
      <c r="D345" s="88" t="s">
        <v>626</v>
      </c>
      <c r="E345" s="202">
        <f t="shared" si="55"/>
        <v>825865</v>
      </c>
      <c r="F345" s="202">
        <f t="shared" si="56"/>
        <v>825865</v>
      </c>
      <c r="G345" s="202"/>
      <c r="H345" s="202"/>
      <c r="I345" s="202">
        <f>763100+8200+38050-3120-1000+14735+4400-4000+5500</f>
        <v>825865</v>
      </c>
      <c r="J345" s="202"/>
      <c r="K345" s="202"/>
      <c r="L345" s="202"/>
      <c r="M345" s="202"/>
      <c r="N345" s="202"/>
    </row>
    <row r="346" spans="1:14" s="46" customFormat="1" ht="12.75">
      <c r="A346" s="111"/>
      <c r="B346" s="84"/>
      <c r="C346" s="85">
        <v>4120</v>
      </c>
      <c r="D346" s="88" t="s">
        <v>627</v>
      </c>
      <c r="E346" s="202">
        <f t="shared" si="55"/>
        <v>117662</v>
      </c>
      <c r="F346" s="202">
        <f t="shared" si="56"/>
        <v>117662</v>
      </c>
      <c r="G346" s="202"/>
      <c r="H346" s="202"/>
      <c r="I346" s="202">
        <f>109900+1120+5260+3462+620-2700</f>
        <v>117662</v>
      </c>
      <c r="J346" s="202"/>
      <c r="K346" s="202"/>
      <c r="L346" s="202"/>
      <c r="M346" s="202"/>
      <c r="N346" s="202"/>
    </row>
    <row r="347" spans="1:14" s="46" customFormat="1" ht="12.75">
      <c r="A347" s="111"/>
      <c r="B347" s="84"/>
      <c r="C347" s="85">
        <v>4140</v>
      </c>
      <c r="D347" s="88" t="s">
        <v>351</v>
      </c>
      <c r="E347" s="202">
        <f t="shared" si="55"/>
        <v>6889</v>
      </c>
      <c r="F347" s="202">
        <f t="shared" si="56"/>
        <v>6889</v>
      </c>
      <c r="G347" s="202"/>
      <c r="H347" s="202"/>
      <c r="I347" s="202"/>
      <c r="J347" s="202"/>
      <c r="K347" s="202"/>
      <c r="L347" s="202"/>
      <c r="M347" s="202">
        <f>7000-111</f>
        <v>6889</v>
      </c>
      <c r="N347" s="202"/>
    </row>
    <row r="348" spans="1:14" s="46" customFormat="1" ht="12.75">
      <c r="A348" s="111"/>
      <c r="B348" s="84"/>
      <c r="C348" s="85">
        <v>4170</v>
      </c>
      <c r="D348" s="88" t="s">
        <v>28</v>
      </c>
      <c r="E348" s="202">
        <f t="shared" si="55"/>
        <v>58600</v>
      </c>
      <c r="F348" s="202">
        <f t="shared" si="56"/>
        <v>58600</v>
      </c>
      <c r="G348" s="202"/>
      <c r="H348" s="202"/>
      <c r="I348" s="202"/>
      <c r="J348" s="202"/>
      <c r="K348" s="202"/>
      <c r="L348" s="202"/>
      <c r="M348" s="202">
        <f>12400+5500-4000+3120+1000+40000+10000+6240-860-14800</f>
        <v>58600</v>
      </c>
      <c r="N348" s="202"/>
    </row>
    <row r="349" spans="1:14" s="46" customFormat="1" ht="12.75">
      <c r="A349" s="111"/>
      <c r="B349" s="84"/>
      <c r="C349" s="85">
        <v>4210</v>
      </c>
      <c r="D349" s="88" t="s">
        <v>629</v>
      </c>
      <c r="E349" s="202">
        <f t="shared" si="55"/>
        <v>999058</v>
      </c>
      <c r="F349" s="202">
        <f t="shared" si="56"/>
        <v>999058</v>
      </c>
      <c r="G349" s="202"/>
      <c r="H349" s="202"/>
      <c r="I349" s="202"/>
      <c r="J349" s="202"/>
      <c r="K349" s="202"/>
      <c r="L349" s="202"/>
      <c r="M349" s="202">
        <f>975900+10000+500+1451+8000+9466+18741-25000</f>
        <v>999058</v>
      </c>
      <c r="N349" s="202"/>
    </row>
    <row r="350" spans="1:14" s="46" customFormat="1" ht="12.75">
      <c r="A350" s="111"/>
      <c r="B350" s="84"/>
      <c r="C350" s="85">
        <v>4220</v>
      </c>
      <c r="D350" s="88" t="s">
        <v>23</v>
      </c>
      <c r="E350" s="202">
        <f t="shared" si="55"/>
        <v>880100</v>
      </c>
      <c r="F350" s="202">
        <f t="shared" si="56"/>
        <v>880100</v>
      </c>
      <c r="G350" s="202"/>
      <c r="H350" s="202"/>
      <c r="I350" s="202"/>
      <c r="J350" s="202"/>
      <c r="K350" s="202"/>
      <c r="L350" s="202"/>
      <c r="M350" s="202">
        <f>887400-8000+700</f>
        <v>880100</v>
      </c>
      <c r="N350" s="202"/>
    </row>
    <row r="351" spans="1:14" s="46" customFormat="1" ht="25.5">
      <c r="A351" s="111"/>
      <c r="B351" s="84"/>
      <c r="C351" s="85">
        <v>4230</v>
      </c>
      <c r="D351" s="88" t="s">
        <v>352</v>
      </c>
      <c r="E351" s="202">
        <f t="shared" si="55"/>
        <v>181879</v>
      </c>
      <c r="F351" s="202">
        <f t="shared" si="56"/>
        <v>181879</v>
      </c>
      <c r="G351" s="202"/>
      <c r="H351" s="202"/>
      <c r="I351" s="202"/>
      <c r="J351" s="202"/>
      <c r="K351" s="202"/>
      <c r="L351" s="202"/>
      <c r="M351" s="202">
        <f>114500+20220+7755+13604+19500+6300</f>
        <v>181879</v>
      </c>
      <c r="N351" s="202"/>
    </row>
    <row r="352" spans="1:14" s="46" customFormat="1" ht="12.75">
      <c r="A352" s="111"/>
      <c r="B352" s="84"/>
      <c r="C352" s="85">
        <v>4260</v>
      </c>
      <c r="D352" s="88" t="s">
        <v>630</v>
      </c>
      <c r="E352" s="202">
        <f t="shared" si="55"/>
        <v>249360</v>
      </c>
      <c r="F352" s="202">
        <f t="shared" si="56"/>
        <v>249360</v>
      </c>
      <c r="G352" s="202"/>
      <c r="H352" s="202"/>
      <c r="I352" s="202"/>
      <c r="J352" s="202"/>
      <c r="K352" s="202"/>
      <c r="L352" s="202"/>
      <c r="M352" s="202">
        <f>225700+6400+11260+6000</f>
        <v>249360</v>
      </c>
      <c r="N352" s="202"/>
    </row>
    <row r="353" spans="1:14" s="46" customFormat="1" ht="12.75">
      <c r="A353" s="111"/>
      <c r="B353" s="84"/>
      <c r="C353" s="85">
        <v>4270</v>
      </c>
      <c r="D353" s="88" t="s">
        <v>631</v>
      </c>
      <c r="E353" s="202">
        <f t="shared" si="55"/>
        <v>226140</v>
      </c>
      <c r="F353" s="202">
        <f t="shared" si="56"/>
        <v>226140</v>
      </c>
      <c r="G353" s="202"/>
      <c r="H353" s="202"/>
      <c r="I353" s="202"/>
      <c r="J353" s="202"/>
      <c r="K353" s="202"/>
      <c r="L353" s="202"/>
      <c r="M353" s="202">
        <f>77200+11590+50000+69750+9000+3500+5100</f>
        <v>226140</v>
      </c>
      <c r="N353" s="202"/>
    </row>
    <row r="354" spans="1:14" s="46" customFormat="1" ht="12.75">
      <c r="A354" s="111"/>
      <c r="B354" s="84"/>
      <c r="C354" s="85">
        <v>4280</v>
      </c>
      <c r="D354" s="88" t="s">
        <v>632</v>
      </c>
      <c r="E354" s="202">
        <f t="shared" si="55"/>
        <v>11930</v>
      </c>
      <c r="F354" s="202">
        <f t="shared" si="56"/>
        <v>11930</v>
      </c>
      <c r="G354" s="202"/>
      <c r="H354" s="202"/>
      <c r="I354" s="202"/>
      <c r="J354" s="202"/>
      <c r="K354" s="202"/>
      <c r="L354" s="202"/>
      <c r="M354" s="202">
        <f>14430-1500-1000</f>
        <v>11930</v>
      </c>
      <c r="N354" s="202"/>
    </row>
    <row r="355" spans="1:14" s="46" customFormat="1" ht="12.75">
      <c r="A355" s="111"/>
      <c r="B355" s="84"/>
      <c r="C355" s="85">
        <v>4300</v>
      </c>
      <c r="D355" s="88" t="s">
        <v>612</v>
      </c>
      <c r="E355" s="202">
        <f t="shared" si="55"/>
        <v>230535</v>
      </c>
      <c r="F355" s="202">
        <f t="shared" si="56"/>
        <v>230535</v>
      </c>
      <c r="G355" s="202"/>
      <c r="H355" s="202"/>
      <c r="I355" s="202"/>
      <c r="J355" s="202"/>
      <c r="K355" s="202"/>
      <c r="L355" s="202"/>
      <c r="M355" s="202">
        <f>276600-24950-1115-4000-5500+3000-13500</f>
        <v>230535</v>
      </c>
      <c r="N355" s="202"/>
    </row>
    <row r="356" spans="1:14" s="46" customFormat="1" ht="25.5">
      <c r="A356" s="111"/>
      <c r="B356" s="84"/>
      <c r="C356" s="85">
        <v>4350</v>
      </c>
      <c r="D356" s="88" t="s">
        <v>633</v>
      </c>
      <c r="E356" s="202">
        <f t="shared" si="55"/>
        <v>6764</v>
      </c>
      <c r="F356" s="202">
        <f t="shared" si="56"/>
        <v>6764</v>
      </c>
      <c r="G356" s="202"/>
      <c r="H356" s="202"/>
      <c r="I356" s="202"/>
      <c r="J356" s="202"/>
      <c r="K356" s="202"/>
      <c r="L356" s="202"/>
      <c r="M356" s="202">
        <f>9330-2000-1166+600</f>
        <v>6764</v>
      </c>
      <c r="N356" s="202"/>
    </row>
    <row r="357" spans="1:14" s="46" customFormat="1" ht="38.25">
      <c r="A357" s="111"/>
      <c r="B357" s="84"/>
      <c r="C357" s="85">
        <v>4360</v>
      </c>
      <c r="D357" s="88" t="s">
        <v>1</v>
      </c>
      <c r="E357" s="202">
        <f t="shared" si="55"/>
        <v>16020</v>
      </c>
      <c r="F357" s="202">
        <f t="shared" si="56"/>
        <v>16020</v>
      </c>
      <c r="G357" s="202"/>
      <c r="H357" s="202"/>
      <c r="I357" s="202"/>
      <c r="J357" s="202"/>
      <c r="K357" s="202"/>
      <c r="L357" s="202"/>
      <c r="M357" s="202">
        <f>16000+500+350+400-1230</f>
        <v>16020</v>
      </c>
      <c r="N357" s="202"/>
    </row>
    <row r="358" spans="1:14" s="46" customFormat="1" ht="38.25">
      <c r="A358" s="111"/>
      <c r="B358" s="84"/>
      <c r="C358" s="85">
        <v>4370</v>
      </c>
      <c r="D358" s="88" t="s">
        <v>691</v>
      </c>
      <c r="E358" s="202">
        <f t="shared" si="55"/>
        <v>31450</v>
      </c>
      <c r="F358" s="202">
        <f t="shared" si="56"/>
        <v>31450</v>
      </c>
      <c r="G358" s="202"/>
      <c r="H358" s="202"/>
      <c r="I358" s="202"/>
      <c r="J358" s="202"/>
      <c r="K358" s="202"/>
      <c r="L358" s="202"/>
      <c r="M358" s="202">
        <f>45700-3700-350-6000-4200</f>
        <v>31450</v>
      </c>
      <c r="N358" s="202"/>
    </row>
    <row r="359" spans="1:14" s="46" customFormat="1" ht="25.5">
      <c r="A359" s="111"/>
      <c r="B359" s="84"/>
      <c r="C359" s="85">
        <v>4390</v>
      </c>
      <c r="D359" s="88" t="s">
        <v>223</v>
      </c>
      <c r="E359" s="202">
        <f t="shared" si="55"/>
        <v>4026</v>
      </c>
      <c r="F359" s="202">
        <f t="shared" si="56"/>
        <v>4026</v>
      </c>
      <c r="G359" s="202"/>
      <c r="H359" s="202"/>
      <c r="I359" s="202"/>
      <c r="J359" s="202"/>
      <c r="K359" s="202"/>
      <c r="L359" s="202"/>
      <c r="M359" s="202">
        <v>4026</v>
      </c>
      <c r="N359" s="202"/>
    </row>
    <row r="360" spans="1:14" s="46" customFormat="1" ht="12.75">
      <c r="A360" s="111"/>
      <c r="B360" s="84"/>
      <c r="C360" s="85">
        <v>4410</v>
      </c>
      <c r="D360" s="88" t="s">
        <v>639</v>
      </c>
      <c r="E360" s="202">
        <f t="shared" si="55"/>
        <v>6390</v>
      </c>
      <c r="F360" s="202">
        <f t="shared" si="56"/>
        <v>6390</v>
      </c>
      <c r="G360" s="202"/>
      <c r="H360" s="202"/>
      <c r="I360" s="202"/>
      <c r="J360" s="202"/>
      <c r="K360" s="202"/>
      <c r="L360" s="202"/>
      <c r="M360" s="202">
        <f>10690-2700-2300+700</f>
        <v>6390</v>
      </c>
      <c r="N360" s="202"/>
    </row>
    <row r="361" spans="1:14" s="46" customFormat="1" ht="12.75">
      <c r="A361" s="111"/>
      <c r="B361" s="84"/>
      <c r="C361" s="85">
        <v>4430</v>
      </c>
      <c r="D361" s="88" t="s">
        <v>640</v>
      </c>
      <c r="E361" s="202">
        <f t="shared" si="55"/>
        <v>29350</v>
      </c>
      <c r="F361" s="202">
        <f t="shared" si="56"/>
        <v>29350</v>
      </c>
      <c r="G361" s="202"/>
      <c r="H361" s="202"/>
      <c r="I361" s="202"/>
      <c r="J361" s="202"/>
      <c r="K361" s="202"/>
      <c r="L361" s="202"/>
      <c r="M361" s="202">
        <f>30300+450-1400</f>
        <v>29350</v>
      </c>
      <c r="N361" s="202"/>
    </row>
    <row r="362" spans="1:14" s="46" customFormat="1" ht="25.5">
      <c r="A362" s="111"/>
      <c r="B362" s="84"/>
      <c r="C362" s="85">
        <v>4440</v>
      </c>
      <c r="D362" s="88" t="s">
        <v>641</v>
      </c>
      <c r="E362" s="202">
        <f t="shared" si="55"/>
        <v>190316</v>
      </c>
      <c r="F362" s="202">
        <f t="shared" si="56"/>
        <v>190316</v>
      </c>
      <c r="G362" s="202"/>
      <c r="H362" s="202"/>
      <c r="I362" s="202"/>
      <c r="J362" s="202"/>
      <c r="K362" s="202"/>
      <c r="L362" s="202"/>
      <c r="M362" s="202">
        <f>176900+7753+5663</f>
        <v>190316</v>
      </c>
      <c r="N362" s="202"/>
    </row>
    <row r="363" spans="1:14" s="46" customFormat="1" ht="12.75">
      <c r="A363" s="111"/>
      <c r="B363" s="84"/>
      <c r="C363" s="85">
        <v>4480</v>
      </c>
      <c r="D363" s="88" t="s">
        <v>642</v>
      </c>
      <c r="E363" s="202">
        <f t="shared" si="55"/>
        <v>30990</v>
      </c>
      <c r="F363" s="202">
        <f t="shared" si="56"/>
        <v>30990</v>
      </c>
      <c r="G363" s="202"/>
      <c r="H363" s="202"/>
      <c r="I363" s="202"/>
      <c r="J363" s="202"/>
      <c r="K363" s="202"/>
      <c r="L363" s="202"/>
      <c r="M363" s="202">
        <f>21470+10000-1385+798+107</f>
        <v>30990</v>
      </c>
      <c r="N363" s="202"/>
    </row>
    <row r="364" spans="1:14" s="46" customFormat="1" ht="25.5">
      <c r="A364" s="111"/>
      <c r="B364" s="84"/>
      <c r="C364" s="85">
        <v>4520</v>
      </c>
      <c r="D364" s="88" t="s">
        <v>29</v>
      </c>
      <c r="E364" s="202">
        <f t="shared" si="55"/>
        <v>4600</v>
      </c>
      <c r="F364" s="202">
        <f t="shared" si="56"/>
        <v>4600</v>
      </c>
      <c r="G364" s="202"/>
      <c r="H364" s="202"/>
      <c r="I364" s="202"/>
      <c r="J364" s="202"/>
      <c r="K364" s="202"/>
      <c r="L364" s="202"/>
      <c r="M364" s="202">
        <v>4600</v>
      </c>
      <c r="N364" s="202"/>
    </row>
    <row r="365" spans="1:14" s="46" customFormat="1" ht="38.25">
      <c r="A365" s="111"/>
      <c r="B365" s="84"/>
      <c r="C365" s="85">
        <v>4700</v>
      </c>
      <c r="D365" s="88" t="s">
        <v>226</v>
      </c>
      <c r="E365" s="202">
        <f t="shared" si="55"/>
        <v>13350</v>
      </c>
      <c r="F365" s="202">
        <f t="shared" si="56"/>
        <v>13350</v>
      </c>
      <c r="G365" s="202"/>
      <c r="H365" s="202"/>
      <c r="I365" s="202"/>
      <c r="J365" s="202"/>
      <c r="K365" s="202"/>
      <c r="L365" s="202"/>
      <c r="M365" s="202">
        <f>8000+2000+2000+1350+1400-1400</f>
        <v>13350</v>
      </c>
      <c r="N365" s="202"/>
    </row>
    <row r="366" spans="1:14" s="46" customFormat="1" ht="38.25">
      <c r="A366" s="111"/>
      <c r="B366" s="84"/>
      <c r="C366" s="85">
        <v>4740</v>
      </c>
      <c r="D366" s="88" t="s">
        <v>658</v>
      </c>
      <c r="E366" s="202">
        <f t="shared" si="55"/>
        <v>8100</v>
      </c>
      <c r="F366" s="202">
        <f t="shared" si="56"/>
        <v>8100</v>
      </c>
      <c r="G366" s="202"/>
      <c r="H366" s="202"/>
      <c r="I366" s="202"/>
      <c r="J366" s="202"/>
      <c r="K366" s="202"/>
      <c r="L366" s="202"/>
      <c r="M366" s="202">
        <f>5400+2400+900-600</f>
        <v>8100</v>
      </c>
      <c r="N366" s="202"/>
    </row>
    <row r="367" spans="1:14" s="46" customFormat="1" ht="25.5">
      <c r="A367" s="111"/>
      <c r="B367" s="84"/>
      <c r="C367" s="85">
        <v>4750</v>
      </c>
      <c r="D367" s="88" t="s">
        <v>692</v>
      </c>
      <c r="E367" s="202">
        <f t="shared" si="55"/>
        <v>6100</v>
      </c>
      <c r="F367" s="202">
        <f t="shared" si="56"/>
        <v>6100</v>
      </c>
      <c r="G367" s="202"/>
      <c r="H367" s="202"/>
      <c r="I367" s="202"/>
      <c r="J367" s="202"/>
      <c r="K367" s="202"/>
      <c r="L367" s="202"/>
      <c r="M367" s="202">
        <f>2600+500+1500+1100+400</f>
        <v>6100</v>
      </c>
      <c r="N367" s="202"/>
    </row>
    <row r="368" spans="1:14" s="46" customFormat="1" ht="25.5">
      <c r="A368" s="111"/>
      <c r="B368" s="81"/>
      <c r="C368" s="95">
        <v>6050</v>
      </c>
      <c r="D368" s="96" t="s">
        <v>645</v>
      </c>
      <c r="E368" s="202">
        <f t="shared" si="55"/>
        <v>903381</v>
      </c>
      <c r="F368" s="202">
        <f t="shared" si="56"/>
        <v>0</v>
      </c>
      <c r="G368" s="202"/>
      <c r="H368" s="202"/>
      <c r="I368" s="202"/>
      <c r="J368" s="202"/>
      <c r="K368" s="202"/>
      <c r="L368" s="202"/>
      <c r="M368" s="202"/>
      <c r="N368" s="202">
        <f>180000+6610-87565+646565+59600-4000+59171+33557+9443</f>
        <v>903381</v>
      </c>
    </row>
    <row r="369" spans="1:14" s="46" customFormat="1" ht="25.5">
      <c r="A369" s="111"/>
      <c r="B369" s="81"/>
      <c r="C369" s="95">
        <v>6060</v>
      </c>
      <c r="D369" s="96" t="s">
        <v>331</v>
      </c>
      <c r="E369" s="202">
        <f>F369+N369</f>
        <v>46920</v>
      </c>
      <c r="F369" s="202">
        <f>SUM(G369:M369)</f>
        <v>0</v>
      </c>
      <c r="G369" s="202"/>
      <c r="H369" s="202"/>
      <c r="I369" s="202"/>
      <c r="J369" s="202"/>
      <c r="K369" s="202"/>
      <c r="L369" s="202"/>
      <c r="M369" s="202"/>
      <c r="N369" s="202">
        <f>19200+19300+4000+4420</f>
        <v>46920</v>
      </c>
    </row>
    <row r="370" spans="1:14" s="79" customFormat="1" ht="12.75">
      <c r="A370" s="122"/>
      <c r="B370" s="86">
        <v>85203</v>
      </c>
      <c r="C370" s="89"/>
      <c r="D370" s="93" t="s">
        <v>30</v>
      </c>
      <c r="E370" s="215">
        <f t="shared" si="55"/>
        <v>749759</v>
      </c>
      <c r="F370" s="215">
        <f t="shared" si="56"/>
        <v>737759</v>
      </c>
      <c r="G370" s="215">
        <f>SUM(G371:G394)</f>
        <v>336540</v>
      </c>
      <c r="H370" s="215">
        <f aca="true" t="shared" si="58" ref="H370:N370">SUM(H371:H394)</f>
        <v>17403</v>
      </c>
      <c r="I370" s="215">
        <f t="shared" si="58"/>
        <v>69865</v>
      </c>
      <c r="J370" s="215">
        <f t="shared" si="58"/>
        <v>0</v>
      </c>
      <c r="K370" s="215">
        <f t="shared" si="58"/>
        <v>0</v>
      </c>
      <c r="L370" s="215">
        <f t="shared" si="58"/>
        <v>0</v>
      </c>
      <c r="M370" s="215">
        <f t="shared" si="58"/>
        <v>313951</v>
      </c>
      <c r="N370" s="215">
        <f t="shared" si="58"/>
        <v>12000</v>
      </c>
    </row>
    <row r="371" spans="1:14" s="46" customFormat="1" ht="25.5">
      <c r="A371" s="111"/>
      <c r="B371" s="84"/>
      <c r="C371" s="85">
        <v>3020</v>
      </c>
      <c r="D371" s="88" t="s">
        <v>27</v>
      </c>
      <c r="E371" s="202">
        <f t="shared" si="55"/>
        <v>800</v>
      </c>
      <c r="F371" s="202">
        <f t="shared" si="56"/>
        <v>800</v>
      </c>
      <c r="G371" s="202"/>
      <c r="H371" s="202"/>
      <c r="I371" s="202"/>
      <c r="J371" s="202"/>
      <c r="K371" s="202"/>
      <c r="L371" s="202"/>
      <c r="M371" s="202">
        <v>800</v>
      </c>
      <c r="N371" s="202"/>
    </row>
    <row r="372" spans="1:14" s="46" customFormat="1" ht="25.5">
      <c r="A372" s="111"/>
      <c r="B372" s="84"/>
      <c r="C372" s="85">
        <v>4010</v>
      </c>
      <c r="D372" s="88" t="s">
        <v>624</v>
      </c>
      <c r="E372" s="202">
        <f t="shared" si="55"/>
        <v>336540</v>
      </c>
      <c r="F372" s="202">
        <f t="shared" si="56"/>
        <v>336540</v>
      </c>
      <c r="G372" s="202">
        <f>310800+15540+10200</f>
        <v>336540</v>
      </c>
      <c r="H372" s="202"/>
      <c r="I372" s="202"/>
      <c r="J372" s="202"/>
      <c r="K372" s="202"/>
      <c r="L372" s="202"/>
      <c r="M372" s="202"/>
      <c r="N372" s="202"/>
    </row>
    <row r="373" spans="1:14" s="46" customFormat="1" ht="12.75">
      <c r="A373" s="111"/>
      <c r="B373" s="84"/>
      <c r="C373" s="85">
        <v>4040</v>
      </c>
      <c r="D373" s="88" t="s">
        <v>625</v>
      </c>
      <c r="E373" s="202">
        <f t="shared" si="55"/>
        <v>17403</v>
      </c>
      <c r="F373" s="202">
        <f t="shared" si="56"/>
        <v>17403</v>
      </c>
      <c r="G373" s="202"/>
      <c r="H373" s="202">
        <f>17100+303</f>
        <v>17403</v>
      </c>
      <c r="I373" s="202"/>
      <c r="J373" s="202"/>
      <c r="K373" s="202"/>
      <c r="L373" s="202"/>
      <c r="M373" s="202"/>
      <c r="N373" s="202"/>
    </row>
    <row r="374" spans="1:14" s="46" customFormat="1" ht="12.75">
      <c r="A374" s="111"/>
      <c r="B374" s="84"/>
      <c r="C374" s="85">
        <v>4110</v>
      </c>
      <c r="D374" s="88" t="s">
        <v>626</v>
      </c>
      <c r="E374" s="202">
        <f t="shared" si="55"/>
        <v>61135</v>
      </c>
      <c r="F374" s="202">
        <f t="shared" si="56"/>
        <v>61135</v>
      </c>
      <c r="G374" s="202"/>
      <c r="H374" s="202"/>
      <c r="I374" s="202">
        <f>56600+2750+1785</f>
        <v>61135</v>
      </c>
      <c r="J374" s="202"/>
      <c r="K374" s="202"/>
      <c r="L374" s="202"/>
      <c r="M374" s="202"/>
      <c r="N374" s="202"/>
    </row>
    <row r="375" spans="1:14" s="46" customFormat="1" ht="12.75">
      <c r="A375" s="111"/>
      <c r="B375" s="84"/>
      <c r="C375" s="85">
        <v>4120</v>
      </c>
      <c r="D375" s="88" t="s">
        <v>627</v>
      </c>
      <c r="E375" s="202">
        <f t="shared" si="55"/>
        <v>8730</v>
      </c>
      <c r="F375" s="202">
        <f t="shared" si="56"/>
        <v>8730</v>
      </c>
      <c r="G375" s="202"/>
      <c r="H375" s="202"/>
      <c r="I375" s="202">
        <f>8100+380+250</f>
        <v>8730</v>
      </c>
      <c r="J375" s="202"/>
      <c r="K375" s="202"/>
      <c r="L375" s="202"/>
      <c r="M375" s="202"/>
      <c r="N375" s="202"/>
    </row>
    <row r="376" spans="1:14" s="46" customFormat="1" ht="12.75">
      <c r="A376" s="111"/>
      <c r="B376" s="84"/>
      <c r="C376" s="85">
        <v>4170</v>
      </c>
      <c r="D376" s="88" t="s">
        <v>28</v>
      </c>
      <c r="E376" s="202">
        <f t="shared" si="55"/>
        <v>16800</v>
      </c>
      <c r="F376" s="202">
        <f t="shared" si="56"/>
        <v>16800</v>
      </c>
      <c r="G376" s="202"/>
      <c r="H376" s="202"/>
      <c r="I376" s="202"/>
      <c r="J376" s="202"/>
      <c r="K376" s="202"/>
      <c r="L376" s="202"/>
      <c r="M376" s="202">
        <v>16800</v>
      </c>
      <c r="N376" s="202"/>
    </row>
    <row r="377" spans="1:14" s="46" customFormat="1" ht="12.75">
      <c r="A377" s="111"/>
      <c r="B377" s="84"/>
      <c r="C377" s="85">
        <v>4210</v>
      </c>
      <c r="D377" s="88" t="s">
        <v>629</v>
      </c>
      <c r="E377" s="202">
        <f t="shared" si="55"/>
        <v>165839</v>
      </c>
      <c r="F377" s="202">
        <f t="shared" si="56"/>
        <v>165839</v>
      </c>
      <c r="G377" s="202"/>
      <c r="H377" s="202"/>
      <c r="I377" s="202"/>
      <c r="J377" s="202"/>
      <c r="K377" s="202"/>
      <c r="L377" s="202"/>
      <c r="M377" s="202">
        <f>133100-3730-3012-2000+13454+12700+15327</f>
        <v>165839</v>
      </c>
      <c r="N377" s="202"/>
    </row>
    <row r="378" spans="1:14" s="46" customFormat="1" ht="12.75">
      <c r="A378" s="111"/>
      <c r="B378" s="84"/>
      <c r="C378" s="85">
        <v>4220</v>
      </c>
      <c r="D378" s="88" t="s">
        <v>23</v>
      </c>
      <c r="E378" s="202">
        <f t="shared" si="55"/>
        <v>37400</v>
      </c>
      <c r="F378" s="202">
        <f t="shared" si="56"/>
        <v>37400</v>
      </c>
      <c r="G378" s="202"/>
      <c r="H378" s="202"/>
      <c r="I378" s="202"/>
      <c r="J378" s="202"/>
      <c r="K378" s="202"/>
      <c r="L378" s="202"/>
      <c r="M378" s="202">
        <f>43400-6000</f>
        <v>37400</v>
      </c>
      <c r="N378" s="202"/>
    </row>
    <row r="379" spans="1:14" s="46" customFormat="1" ht="25.5">
      <c r="A379" s="111"/>
      <c r="B379" s="84"/>
      <c r="C379" s="85">
        <v>4230</v>
      </c>
      <c r="D379" s="88" t="s">
        <v>24</v>
      </c>
      <c r="E379" s="202">
        <f t="shared" si="55"/>
        <v>200</v>
      </c>
      <c r="F379" s="202">
        <f t="shared" si="56"/>
        <v>200</v>
      </c>
      <c r="G379" s="202"/>
      <c r="H379" s="202"/>
      <c r="I379" s="202"/>
      <c r="J379" s="202"/>
      <c r="K379" s="202"/>
      <c r="L379" s="202"/>
      <c r="M379" s="202">
        <f>200</f>
        <v>200</v>
      </c>
      <c r="N379" s="202"/>
    </row>
    <row r="380" spans="1:14" s="46" customFormat="1" ht="12.75">
      <c r="A380" s="111"/>
      <c r="B380" s="84"/>
      <c r="C380" s="85">
        <v>4260</v>
      </c>
      <c r="D380" s="88" t="s">
        <v>630</v>
      </c>
      <c r="E380" s="202">
        <f t="shared" si="55"/>
        <v>15000</v>
      </c>
      <c r="F380" s="202">
        <f t="shared" si="56"/>
        <v>15000</v>
      </c>
      <c r="G380" s="202"/>
      <c r="H380" s="202"/>
      <c r="I380" s="202"/>
      <c r="J380" s="202"/>
      <c r="K380" s="202"/>
      <c r="L380" s="202"/>
      <c r="M380" s="202">
        <v>15000</v>
      </c>
      <c r="N380" s="202"/>
    </row>
    <row r="381" spans="1:14" s="46" customFormat="1" ht="12.75">
      <c r="A381" s="111"/>
      <c r="B381" s="84"/>
      <c r="C381" s="85">
        <v>4270</v>
      </c>
      <c r="D381" s="88" t="s">
        <v>631</v>
      </c>
      <c r="E381" s="202">
        <f t="shared" si="55"/>
        <v>14273</v>
      </c>
      <c r="F381" s="202">
        <f t="shared" si="56"/>
        <v>14273</v>
      </c>
      <c r="G381" s="202"/>
      <c r="H381" s="202"/>
      <c r="I381" s="202"/>
      <c r="J381" s="202"/>
      <c r="K381" s="202"/>
      <c r="L381" s="202"/>
      <c r="M381" s="202">
        <f>7700-3000+13000-3427</f>
        <v>14273</v>
      </c>
      <c r="N381" s="202"/>
    </row>
    <row r="382" spans="1:14" s="46" customFormat="1" ht="12.75">
      <c r="A382" s="111"/>
      <c r="B382" s="84"/>
      <c r="C382" s="85">
        <v>4280</v>
      </c>
      <c r="D382" s="88" t="s">
        <v>632</v>
      </c>
      <c r="E382" s="202">
        <f t="shared" si="55"/>
        <v>1200</v>
      </c>
      <c r="F382" s="202">
        <f t="shared" si="56"/>
        <v>1200</v>
      </c>
      <c r="G382" s="202"/>
      <c r="H382" s="202"/>
      <c r="I382" s="202"/>
      <c r="J382" s="202"/>
      <c r="K382" s="202"/>
      <c r="L382" s="202"/>
      <c r="M382" s="202">
        <v>1200</v>
      </c>
      <c r="N382" s="202"/>
    </row>
    <row r="383" spans="1:14" s="46" customFormat="1" ht="12.75">
      <c r="A383" s="111"/>
      <c r="B383" s="84"/>
      <c r="C383" s="85">
        <v>4300</v>
      </c>
      <c r="D383" s="88" t="s">
        <v>612</v>
      </c>
      <c r="E383" s="202">
        <f t="shared" si="55"/>
        <v>24100</v>
      </c>
      <c r="F383" s="202">
        <f t="shared" si="56"/>
        <v>24100</v>
      </c>
      <c r="G383" s="202"/>
      <c r="H383" s="202"/>
      <c r="I383" s="202"/>
      <c r="J383" s="202"/>
      <c r="K383" s="202"/>
      <c r="L383" s="202"/>
      <c r="M383" s="202">
        <f>16100+2000+6000</f>
        <v>24100</v>
      </c>
      <c r="N383" s="202"/>
    </row>
    <row r="384" spans="1:14" s="46" customFormat="1" ht="38.25">
      <c r="A384" s="111"/>
      <c r="B384" s="84"/>
      <c r="C384" s="85">
        <v>4360</v>
      </c>
      <c r="D384" s="88" t="s">
        <v>1</v>
      </c>
      <c r="E384" s="202">
        <f t="shared" si="55"/>
        <v>500</v>
      </c>
      <c r="F384" s="202">
        <f t="shared" si="56"/>
        <v>500</v>
      </c>
      <c r="G384" s="202"/>
      <c r="H384" s="202"/>
      <c r="I384" s="202"/>
      <c r="J384" s="202"/>
      <c r="K384" s="202"/>
      <c r="L384" s="202"/>
      <c r="M384" s="202">
        <f>300+200</f>
        <v>500</v>
      </c>
      <c r="N384" s="202"/>
    </row>
    <row r="385" spans="1:14" s="46" customFormat="1" ht="38.25">
      <c r="A385" s="111"/>
      <c r="B385" s="84"/>
      <c r="C385" s="85">
        <v>4370</v>
      </c>
      <c r="D385" s="88" t="s">
        <v>691</v>
      </c>
      <c r="E385" s="202">
        <f t="shared" si="55"/>
        <v>4600</v>
      </c>
      <c r="F385" s="202">
        <f t="shared" si="56"/>
        <v>4600</v>
      </c>
      <c r="G385" s="202"/>
      <c r="H385" s="202"/>
      <c r="I385" s="202"/>
      <c r="J385" s="202"/>
      <c r="K385" s="202"/>
      <c r="L385" s="202"/>
      <c r="M385" s="202">
        <f>4200+400</f>
        <v>4600</v>
      </c>
      <c r="N385" s="202"/>
    </row>
    <row r="386" spans="1:14" s="46" customFormat="1" ht="12.75">
      <c r="A386" s="111"/>
      <c r="B386" s="84"/>
      <c r="C386" s="85">
        <v>4410</v>
      </c>
      <c r="D386" s="88" t="s">
        <v>639</v>
      </c>
      <c r="E386" s="202">
        <f t="shared" si="55"/>
        <v>300</v>
      </c>
      <c r="F386" s="202">
        <f t="shared" si="56"/>
        <v>300</v>
      </c>
      <c r="G386" s="202"/>
      <c r="H386" s="202"/>
      <c r="I386" s="202"/>
      <c r="J386" s="202"/>
      <c r="K386" s="202"/>
      <c r="L386" s="202"/>
      <c r="M386" s="202">
        <v>300</v>
      </c>
      <c r="N386" s="202"/>
    </row>
    <row r="387" spans="1:14" s="46" customFormat="1" ht="12.75">
      <c r="A387" s="111"/>
      <c r="B387" s="84"/>
      <c r="C387" s="85">
        <v>4430</v>
      </c>
      <c r="D387" s="88" t="s">
        <v>640</v>
      </c>
      <c r="E387" s="202">
        <f t="shared" si="55"/>
        <v>7700</v>
      </c>
      <c r="F387" s="202">
        <f t="shared" si="56"/>
        <v>7700</v>
      </c>
      <c r="G387" s="202"/>
      <c r="H387" s="202"/>
      <c r="I387" s="202"/>
      <c r="J387" s="202"/>
      <c r="K387" s="202"/>
      <c r="L387" s="202"/>
      <c r="M387" s="202">
        <f>6300+2000-600</f>
        <v>7700</v>
      </c>
      <c r="N387" s="202"/>
    </row>
    <row r="388" spans="1:14" s="46" customFormat="1" ht="25.5">
      <c r="A388" s="111"/>
      <c r="B388" s="84"/>
      <c r="C388" s="85">
        <v>4440</v>
      </c>
      <c r="D388" s="88" t="s">
        <v>641</v>
      </c>
      <c r="E388" s="202">
        <f t="shared" si="55"/>
        <v>13977</v>
      </c>
      <c r="F388" s="202">
        <f t="shared" si="56"/>
        <v>13977</v>
      </c>
      <c r="G388" s="202"/>
      <c r="H388" s="202"/>
      <c r="I388" s="202"/>
      <c r="J388" s="202"/>
      <c r="K388" s="202"/>
      <c r="L388" s="202"/>
      <c r="M388" s="202">
        <f>13300+677</f>
        <v>13977</v>
      </c>
      <c r="N388" s="202"/>
    </row>
    <row r="389" spans="1:14" s="46" customFormat="1" ht="12.75">
      <c r="A389" s="111"/>
      <c r="B389" s="84"/>
      <c r="C389" s="85">
        <v>4480</v>
      </c>
      <c r="D389" s="88" t="s">
        <v>642</v>
      </c>
      <c r="E389" s="202">
        <f t="shared" si="55"/>
        <v>4527</v>
      </c>
      <c r="F389" s="202">
        <f t="shared" si="56"/>
        <v>4527</v>
      </c>
      <c r="G389" s="202"/>
      <c r="H389" s="202"/>
      <c r="I389" s="202"/>
      <c r="J389" s="202"/>
      <c r="K389" s="202"/>
      <c r="L389" s="202"/>
      <c r="M389" s="202">
        <f>1600+2927</f>
        <v>4527</v>
      </c>
      <c r="N389" s="202"/>
    </row>
    <row r="390" spans="1:14" s="46" customFormat="1" ht="12.75">
      <c r="A390" s="111"/>
      <c r="B390" s="84"/>
      <c r="C390" s="85">
        <v>4520</v>
      </c>
      <c r="D390" s="88" t="s">
        <v>353</v>
      </c>
      <c r="E390" s="202">
        <f t="shared" si="55"/>
        <v>771</v>
      </c>
      <c r="F390" s="202">
        <f t="shared" si="56"/>
        <v>771</v>
      </c>
      <c r="G390" s="202"/>
      <c r="H390" s="202"/>
      <c r="I390" s="202"/>
      <c r="J390" s="202"/>
      <c r="K390" s="202"/>
      <c r="L390" s="202"/>
      <c r="M390" s="202">
        <v>771</v>
      </c>
      <c r="N390" s="202"/>
    </row>
    <row r="391" spans="1:14" s="46" customFormat="1" ht="38.25">
      <c r="A391" s="111"/>
      <c r="B391" s="84"/>
      <c r="C391" s="85">
        <v>4700</v>
      </c>
      <c r="D391" s="88" t="s">
        <v>226</v>
      </c>
      <c r="E391" s="202">
        <f t="shared" si="55"/>
        <v>4064</v>
      </c>
      <c r="F391" s="202">
        <f t="shared" si="56"/>
        <v>4064</v>
      </c>
      <c r="G391" s="202"/>
      <c r="H391" s="202"/>
      <c r="I391" s="202"/>
      <c r="J391" s="202"/>
      <c r="K391" s="202"/>
      <c r="L391" s="202"/>
      <c r="M391" s="202">
        <f>1500+2564</f>
        <v>4064</v>
      </c>
      <c r="N391" s="202"/>
    </row>
    <row r="392" spans="1:14" s="46" customFormat="1" ht="38.25">
      <c r="A392" s="111"/>
      <c r="B392" s="84"/>
      <c r="C392" s="85">
        <v>4740</v>
      </c>
      <c r="D392" s="88" t="s">
        <v>658</v>
      </c>
      <c r="E392" s="202">
        <f t="shared" si="55"/>
        <v>800</v>
      </c>
      <c r="F392" s="202">
        <f t="shared" si="56"/>
        <v>800</v>
      </c>
      <c r="G392" s="202"/>
      <c r="H392" s="202"/>
      <c r="I392" s="202"/>
      <c r="J392" s="202"/>
      <c r="K392" s="202"/>
      <c r="L392" s="202"/>
      <c r="M392" s="202">
        <v>800</v>
      </c>
      <c r="N392" s="202"/>
    </row>
    <row r="393" spans="1:14" s="46" customFormat="1" ht="25.5">
      <c r="A393" s="111"/>
      <c r="B393" s="84"/>
      <c r="C393" s="85">
        <v>4750</v>
      </c>
      <c r="D393" s="88" t="s">
        <v>692</v>
      </c>
      <c r="E393" s="202">
        <f t="shared" si="55"/>
        <v>1100</v>
      </c>
      <c r="F393" s="202">
        <f t="shared" si="56"/>
        <v>1100</v>
      </c>
      <c r="G393" s="202"/>
      <c r="H393" s="202"/>
      <c r="I393" s="202"/>
      <c r="J393" s="202"/>
      <c r="K393" s="202"/>
      <c r="L393" s="202"/>
      <c r="M393" s="202">
        <f>500+600</f>
        <v>1100</v>
      </c>
      <c r="N393" s="202"/>
    </row>
    <row r="394" spans="1:14" s="46" customFormat="1" ht="25.5">
      <c r="A394" s="111"/>
      <c r="B394" s="84"/>
      <c r="C394" s="85">
        <v>6050</v>
      </c>
      <c r="D394" s="96" t="s">
        <v>645</v>
      </c>
      <c r="E394" s="202">
        <f t="shared" si="55"/>
        <v>12000</v>
      </c>
      <c r="F394" s="202">
        <f t="shared" si="56"/>
        <v>0</v>
      </c>
      <c r="G394" s="202"/>
      <c r="H394" s="202"/>
      <c r="I394" s="202"/>
      <c r="J394" s="202"/>
      <c r="K394" s="202"/>
      <c r="L394" s="202"/>
      <c r="M394" s="202"/>
      <c r="N394" s="202">
        <v>12000</v>
      </c>
    </row>
    <row r="395" spans="1:14" s="79" customFormat="1" ht="12.75">
      <c r="A395" s="122"/>
      <c r="B395" s="86">
        <v>85204</v>
      </c>
      <c r="C395" s="89"/>
      <c r="D395" s="93" t="s">
        <v>31</v>
      </c>
      <c r="E395" s="215">
        <f aca="true" t="shared" si="59" ref="E395:E407">F395+N395</f>
        <v>1872220</v>
      </c>
      <c r="F395" s="215">
        <f aca="true" t="shared" si="60" ref="F395:F407">SUM(G395:M395)</f>
        <v>1872220</v>
      </c>
      <c r="G395" s="215">
        <f aca="true" t="shared" si="61" ref="G395:N395">SUM(G396:G400)</f>
        <v>0</v>
      </c>
      <c r="H395" s="215">
        <f t="shared" si="61"/>
        <v>0</v>
      </c>
      <c r="I395" s="215">
        <f t="shared" si="61"/>
        <v>27102</v>
      </c>
      <c r="J395" s="215">
        <f t="shared" si="61"/>
        <v>91532</v>
      </c>
      <c r="K395" s="215">
        <f t="shared" si="61"/>
        <v>0</v>
      </c>
      <c r="L395" s="215">
        <f t="shared" si="61"/>
        <v>0</v>
      </c>
      <c r="M395" s="215">
        <f>SUM(M396:M401)</f>
        <v>1753586</v>
      </c>
      <c r="N395" s="215">
        <f t="shared" si="61"/>
        <v>0</v>
      </c>
    </row>
    <row r="396" spans="1:14" s="46" customFormat="1" ht="76.5">
      <c r="A396" s="111"/>
      <c r="B396" s="84"/>
      <c r="C396" s="85">
        <v>2320</v>
      </c>
      <c r="D396" s="88" t="s">
        <v>21</v>
      </c>
      <c r="E396" s="202">
        <f t="shared" si="59"/>
        <v>91532</v>
      </c>
      <c r="F396" s="202">
        <f t="shared" si="60"/>
        <v>91532</v>
      </c>
      <c r="G396" s="202"/>
      <c r="H396" s="202"/>
      <c r="I396" s="202"/>
      <c r="J396" s="202">
        <f>53740+23446+3046+11300</f>
        <v>91532</v>
      </c>
      <c r="K396" s="202"/>
      <c r="L396" s="202"/>
      <c r="M396" s="202"/>
      <c r="N396" s="202"/>
    </row>
    <row r="397" spans="1:14" s="46" customFormat="1" ht="12.75">
      <c r="A397" s="111"/>
      <c r="B397" s="84"/>
      <c r="C397" s="85">
        <v>3110</v>
      </c>
      <c r="D397" s="88" t="s">
        <v>22</v>
      </c>
      <c r="E397" s="202">
        <f t="shared" si="59"/>
        <v>1607897</v>
      </c>
      <c r="F397" s="202">
        <f t="shared" si="60"/>
        <v>1607897</v>
      </c>
      <c r="G397" s="202"/>
      <c r="H397" s="202"/>
      <c r="I397" s="202"/>
      <c r="J397" s="202"/>
      <c r="K397" s="202"/>
      <c r="L397" s="202"/>
      <c r="M397" s="202">
        <f>1546300-2640+30000+34237</f>
        <v>1607897</v>
      </c>
      <c r="N397" s="202"/>
    </row>
    <row r="398" spans="1:14" s="46" customFormat="1" ht="12.75">
      <c r="A398" s="111"/>
      <c r="B398" s="84"/>
      <c r="C398" s="85">
        <v>4170</v>
      </c>
      <c r="D398" s="88" t="s">
        <v>628</v>
      </c>
      <c r="E398" s="202">
        <f t="shared" si="59"/>
        <v>144701</v>
      </c>
      <c r="F398" s="202">
        <f t="shared" si="60"/>
        <v>144701</v>
      </c>
      <c r="G398" s="202"/>
      <c r="H398" s="202"/>
      <c r="I398" s="202"/>
      <c r="J398" s="202"/>
      <c r="K398" s="202"/>
      <c r="L398" s="202"/>
      <c r="M398" s="202">
        <f>122500+21964+2000-1763</f>
        <v>144701</v>
      </c>
      <c r="N398" s="202"/>
    </row>
    <row r="399" spans="1:14" s="46" customFormat="1" ht="12.75">
      <c r="A399" s="111"/>
      <c r="B399" s="84"/>
      <c r="C399" s="85">
        <v>4110</v>
      </c>
      <c r="D399" s="88" t="s">
        <v>687</v>
      </c>
      <c r="E399" s="202">
        <f t="shared" si="59"/>
        <v>23557</v>
      </c>
      <c r="F399" s="202">
        <f t="shared" si="60"/>
        <v>23557</v>
      </c>
      <c r="G399" s="202"/>
      <c r="H399" s="202"/>
      <c r="I399" s="202">
        <f>27600-4077+34</f>
        <v>23557</v>
      </c>
      <c r="J399" s="202"/>
      <c r="K399" s="202"/>
      <c r="L399" s="202"/>
      <c r="M399" s="202"/>
      <c r="N399" s="202"/>
    </row>
    <row r="400" spans="1:14" s="46" customFormat="1" ht="12.75">
      <c r="A400" s="111"/>
      <c r="B400" s="84"/>
      <c r="C400" s="85">
        <v>4120</v>
      </c>
      <c r="D400" s="88" t="s">
        <v>627</v>
      </c>
      <c r="E400" s="202">
        <f t="shared" si="59"/>
        <v>3545</v>
      </c>
      <c r="F400" s="202">
        <f t="shared" si="60"/>
        <v>3545</v>
      </c>
      <c r="G400" s="202"/>
      <c r="H400" s="202"/>
      <c r="I400" s="202">
        <f>4150-609+4</f>
        <v>3545</v>
      </c>
      <c r="J400" s="202"/>
      <c r="K400" s="202"/>
      <c r="L400" s="202"/>
      <c r="M400" s="202"/>
      <c r="N400" s="202"/>
    </row>
    <row r="401" spans="1:14" s="46" customFormat="1" ht="12.75">
      <c r="A401" s="111"/>
      <c r="B401" s="84"/>
      <c r="C401" s="85">
        <v>4300</v>
      </c>
      <c r="D401" s="88" t="s">
        <v>666</v>
      </c>
      <c r="E401" s="202">
        <f t="shared" si="59"/>
        <v>988</v>
      </c>
      <c r="F401" s="202">
        <f>SUM(G401:M401)</f>
        <v>988</v>
      </c>
      <c r="G401" s="202"/>
      <c r="H401" s="202"/>
      <c r="I401" s="202"/>
      <c r="J401" s="202"/>
      <c r="K401" s="202"/>
      <c r="L401" s="202"/>
      <c r="M401" s="202">
        <f>488+500</f>
        <v>988</v>
      </c>
      <c r="N401" s="202"/>
    </row>
    <row r="402" spans="1:14" s="79" customFormat="1" ht="25.5">
      <c r="A402" s="122"/>
      <c r="B402" s="86">
        <v>85218</v>
      </c>
      <c r="C402" s="89"/>
      <c r="D402" s="93" t="s">
        <v>32</v>
      </c>
      <c r="E402" s="215">
        <f t="shared" si="59"/>
        <v>518344</v>
      </c>
      <c r="F402" s="215">
        <f t="shared" si="60"/>
        <v>518344</v>
      </c>
      <c r="G402" s="215">
        <f aca="true" t="shared" si="62" ref="G402:N402">SUM(G403:G425)</f>
        <v>306870</v>
      </c>
      <c r="H402" s="215">
        <f t="shared" si="62"/>
        <v>22037</v>
      </c>
      <c r="I402" s="215">
        <f t="shared" si="62"/>
        <v>65804</v>
      </c>
      <c r="J402" s="215">
        <f t="shared" si="62"/>
        <v>0</v>
      </c>
      <c r="K402" s="215">
        <f t="shared" si="62"/>
        <v>0</v>
      </c>
      <c r="L402" s="215">
        <f t="shared" si="62"/>
        <v>0</v>
      </c>
      <c r="M402" s="215">
        <f t="shared" si="62"/>
        <v>123633</v>
      </c>
      <c r="N402" s="215">
        <f t="shared" si="62"/>
        <v>0</v>
      </c>
    </row>
    <row r="403" spans="1:14" s="46" customFormat="1" ht="25.5">
      <c r="A403" s="111"/>
      <c r="B403" s="84"/>
      <c r="C403" s="85">
        <v>3020</v>
      </c>
      <c r="D403" s="88" t="s">
        <v>227</v>
      </c>
      <c r="E403" s="202">
        <f t="shared" si="59"/>
        <v>1000</v>
      </c>
      <c r="F403" s="202">
        <f t="shared" si="60"/>
        <v>1000</v>
      </c>
      <c r="G403" s="202"/>
      <c r="H403" s="202"/>
      <c r="I403" s="202"/>
      <c r="J403" s="202"/>
      <c r="K403" s="202"/>
      <c r="L403" s="202"/>
      <c r="M403" s="202">
        <v>1000</v>
      </c>
      <c r="N403" s="202"/>
    </row>
    <row r="404" spans="1:14" s="46" customFormat="1" ht="25.5">
      <c r="A404" s="111"/>
      <c r="B404" s="84"/>
      <c r="C404" s="85">
        <v>4010</v>
      </c>
      <c r="D404" s="88" t="s">
        <v>624</v>
      </c>
      <c r="E404" s="202">
        <f t="shared" si="59"/>
        <v>306870</v>
      </c>
      <c r="F404" s="202">
        <f t="shared" si="60"/>
        <v>306870</v>
      </c>
      <c r="G404" s="202">
        <f>288600+14430+2996-2996+9844-3004-3000</f>
        <v>306870</v>
      </c>
      <c r="H404" s="202"/>
      <c r="I404" s="202"/>
      <c r="J404" s="202"/>
      <c r="K404" s="202"/>
      <c r="L404" s="202"/>
      <c r="M404" s="202"/>
      <c r="N404" s="202"/>
    </row>
    <row r="405" spans="1:14" s="46" customFormat="1" ht="12.75">
      <c r="A405" s="111"/>
      <c r="B405" s="84"/>
      <c r="C405" s="85">
        <v>4040</v>
      </c>
      <c r="D405" s="88" t="s">
        <v>625</v>
      </c>
      <c r="E405" s="202">
        <f t="shared" si="59"/>
        <v>22037</v>
      </c>
      <c r="F405" s="202">
        <f t="shared" si="60"/>
        <v>22037</v>
      </c>
      <c r="G405" s="202"/>
      <c r="H405" s="202">
        <f>23500-1463</f>
        <v>22037</v>
      </c>
      <c r="I405" s="202"/>
      <c r="J405" s="202"/>
      <c r="K405" s="202"/>
      <c r="L405" s="202"/>
      <c r="M405" s="202"/>
      <c r="N405" s="202"/>
    </row>
    <row r="406" spans="1:14" s="46" customFormat="1" ht="12.75">
      <c r="A406" s="111"/>
      <c r="B406" s="84"/>
      <c r="C406" s="85">
        <v>4110</v>
      </c>
      <c r="D406" s="88" t="s">
        <v>626</v>
      </c>
      <c r="E406" s="202">
        <f t="shared" si="59"/>
        <v>57687</v>
      </c>
      <c r="F406" s="202">
        <f t="shared" si="60"/>
        <v>57687</v>
      </c>
      <c r="G406" s="202"/>
      <c r="H406" s="202"/>
      <c r="I406" s="202">
        <f>54400+2520+1197-430</f>
        <v>57687</v>
      </c>
      <c r="J406" s="202"/>
      <c r="K406" s="202"/>
      <c r="L406" s="202"/>
      <c r="M406" s="202"/>
      <c r="N406" s="202"/>
    </row>
    <row r="407" spans="1:14" s="46" customFormat="1" ht="12.75">
      <c r="A407" s="111"/>
      <c r="B407" s="84"/>
      <c r="C407" s="85">
        <v>4120</v>
      </c>
      <c r="D407" s="88" t="s">
        <v>627</v>
      </c>
      <c r="E407" s="202">
        <f t="shared" si="59"/>
        <v>8117</v>
      </c>
      <c r="F407" s="202">
        <f t="shared" si="60"/>
        <v>8117</v>
      </c>
      <c r="G407" s="202"/>
      <c r="H407" s="202"/>
      <c r="I407" s="202">
        <f>7600+350+167</f>
        <v>8117</v>
      </c>
      <c r="J407" s="202"/>
      <c r="K407" s="202"/>
      <c r="L407" s="202"/>
      <c r="M407" s="202"/>
      <c r="N407" s="202"/>
    </row>
    <row r="408" spans="1:14" s="46" customFormat="1" ht="12.75">
      <c r="A408" s="111"/>
      <c r="B408" s="84"/>
      <c r="C408" s="85">
        <v>4170</v>
      </c>
      <c r="D408" s="88" t="s">
        <v>28</v>
      </c>
      <c r="E408" s="202">
        <f aca="true" t="shared" si="63" ref="E408:E474">F408+N408</f>
        <v>6360</v>
      </c>
      <c r="F408" s="202">
        <f aca="true" t="shared" si="64" ref="F408:F474">SUM(G408:M408)</f>
        <v>6360</v>
      </c>
      <c r="G408" s="202"/>
      <c r="H408" s="202"/>
      <c r="I408" s="202"/>
      <c r="J408" s="202"/>
      <c r="K408" s="202"/>
      <c r="L408" s="202"/>
      <c r="M408" s="202">
        <f>6600-240</f>
        <v>6360</v>
      </c>
      <c r="N408" s="202"/>
    </row>
    <row r="409" spans="1:14" s="46" customFormat="1" ht="12.75">
      <c r="A409" s="111"/>
      <c r="B409" s="84"/>
      <c r="C409" s="85">
        <v>4210</v>
      </c>
      <c r="D409" s="88" t="s">
        <v>629</v>
      </c>
      <c r="E409" s="202">
        <f t="shared" si="63"/>
        <v>8500</v>
      </c>
      <c r="F409" s="202">
        <f t="shared" si="64"/>
        <v>8500</v>
      </c>
      <c r="G409" s="202"/>
      <c r="H409" s="202"/>
      <c r="I409" s="202"/>
      <c r="J409" s="202"/>
      <c r="K409" s="202"/>
      <c r="L409" s="202"/>
      <c r="M409" s="202">
        <f>9500-1000</f>
        <v>8500</v>
      </c>
      <c r="N409" s="202"/>
    </row>
    <row r="410" spans="1:14" s="46" customFormat="1" ht="25.5">
      <c r="A410" s="111"/>
      <c r="B410" s="84"/>
      <c r="C410" s="85">
        <v>4230</v>
      </c>
      <c r="D410" s="88" t="s">
        <v>352</v>
      </c>
      <c r="E410" s="202">
        <f t="shared" si="63"/>
        <v>125</v>
      </c>
      <c r="F410" s="202">
        <f t="shared" si="64"/>
        <v>125</v>
      </c>
      <c r="G410" s="202"/>
      <c r="H410" s="202"/>
      <c r="I410" s="202"/>
      <c r="J410" s="202"/>
      <c r="K410" s="202"/>
      <c r="L410" s="202"/>
      <c r="M410" s="202">
        <v>125</v>
      </c>
      <c r="N410" s="202"/>
    </row>
    <row r="411" spans="1:14" s="46" customFormat="1" ht="12.75">
      <c r="A411" s="111"/>
      <c r="B411" s="84"/>
      <c r="C411" s="85">
        <v>4260</v>
      </c>
      <c r="D411" s="88" t="s">
        <v>630</v>
      </c>
      <c r="E411" s="202">
        <f t="shared" si="63"/>
        <v>6200</v>
      </c>
      <c r="F411" s="202">
        <f t="shared" si="64"/>
        <v>6200</v>
      </c>
      <c r="G411" s="202"/>
      <c r="H411" s="202"/>
      <c r="I411" s="202"/>
      <c r="J411" s="202"/>
      <c r="K411" s="202"/>
      <c r="L411" s="202"/>
      <c r="M411" s="202">
        <v>6200</v>
      </c>
      <c r="N411" s="202"/>
    </row>
    <row r="412" spans="1:14" s="46" customFormat="1" ht="12.75">
      <c r="A412" s="111"/>
      <c r="B412" s="84"/>
      <c r="C412" s="85">
        <v>4270</v>
      </c>
      <c r="D412" s="88" t="s">
        <v>631</v>
      </c>
      <c r="E412" s="202">
        <f t="shared" si="63"/>
        <v>1100</v>
      </c>
      <c r="F412" s="202">
        <f t="shared" si="64"/>
        <v>1100</v>
      </c>
      <c r="G412" s="202"/>
      <c r="H412" s="202"/>
      <c r="I412" s="202"/>
      <c r="J412" s="202"/>
      <c r="K412" s="202"/>
      <c r="L412" s="202"/>
      <c r="M412" s="202">
        <f>3100-2000</f>
        <v>1100</v>
      </c>
      <c r="N412" s="202"/>
    </row>
    <row r="413" spans="1:14" s="46" customFormat="1" ht="12.75">
      <c r="A413" s="111"/>
      <c r="B413" s="84"/>
      <c r="C413" s="85">
        <v>4280</v>
      </c>
      <c r="D413" s="88" t="s">
        <v>632</v>
      </c>
      <c r="E413" s="202">
        <f t="shared" si="63"/>
        <v>200</v>
      </c>
      <c r="F413" s="202">
        <f t="shared" si="64"/>
        <v>200</v>
      </c>
      <c r="G413" s="202"/>
      <c r="H413" s="202"/>
      <c r="I413" s="202"/>
      <c r="J413" s="202"/>
      <c r="K413" s="202"/>
      <c r="L413" s="202"/>
      <c r="M413" s="202">
        <v>200</v>
      </c>
      <c r="N413" s="202"/>
    </row>
    <row r="414" spans="1:14" s="46" customFormat="1" ht="12.75">
      <c r="A414" s="111"/>
      <c r="B414" s="84"/>
      <c r="C414" s="85">
        <v>4300</v>
      </c>
      <c r="D414" s="88" t="s">
        <v>612</v>
      </c>
      <c r="E414" s="202">
        <f t="shared" si="63"/>
        <v>22335</v>
      </c>
      <c r="F414" s="202">
        <f t="shared" si="64"/>
        <v>22335</v>
      </c>
      <c r="G414" s="202"/>
      <c r="H414" s="202"/>
      <c r="I414" s="202"/>
      <c r="J414" s="202"/>
      <c r="K414" s="202"/>
      <c r="L414" s="202"/>
      <c r="M414" s="202">
        <f>23000-415-250</f>
        <v>22335</v>
      </c>
      <c r="N414" s="202"/>
    </row>
    <row r="415" spans="1:14" s="46" customFormat="1" ht="25.5">
      <c r="A415" s="111"/>
      <c r="B415" s="84"/>
      <c r="C415" s="85">
        <v>4350</v>
      </c>
      <c r="D415" s="88" t="s">
        <v>633</v>
      </c>
      <c r="E415" s="202">
        <f t="shared" si="63"/>
        <v>1300</v>
      </c>
      <c r="F415" s="202">
        <f t="shared" si="64"/>
        <v>1300</v>
      </c>
      <c r="G415" s="202"/>
      <c r="H415" s="202"/>
      <c r="I415" s="202"/>
      <c r="J415" s="202"/>
      <c r="K415" s="202"/>
      <c r="L415" s="202"/>
      <c r="M415" s="202">
        <f>1500-200</f>
        <v>1300</v>
      </c>
      <c r="N415" s="202"/>
    </row>
    <row r="416" spans="1:14" s="46" customFormat="1" ht="38.25">
      <c r="A416" s="111"/>
      <c r="B416" s="84"/>
      <c r="C416" s="85">
        <v>4360</v>
      </c>
      <c r="D416" s="88" t="s">
        <v>1</v>
      </c>
      <c r="E416" s="202">
        <f t="shared" si="63"/>
        <v>2418</v>
      </c>
      <c r="F416" s="202">
        <f t="shared" si="64"/>
        <v>2418</v>
      </c>
      <c r="G416" s="202"/>
      <c r="H416" s="202"/>
      <c r="I416" s="202"/>
      <c r="J416" s="202"/>
      <c r="K416" s="202"/>
      <c r="L416" s="202"/>
      <c r="M416" s="202">
        <f>1700+718</f>
        <v>2418</v>
      </c>
      <c r="N416" s="202"/>
    </row>
    <row r="417" spans="1:14" s="46" customFormat="1" ht="38.25">
      <c r="A417" s="111"/>
      <c r="B417" s="84"/>
      <c r="C417" s="85">
        <v>4370</v>
      </c>
      <c r="D417" s="88" t="s">
        <v>691</v>
      </c>
      <c r="E417" s="202">
        <f t="shared" si="63"/>
        <v>7500</v>
      </c>
      <c r="F417" s="202">
        <f t="shared" si="64"/>
        <v>7500</v>
      </c>
      <c r="G417" s="202"/>
      <c r="H417" s="202"/>
      <c r="I417" s="202"/>
      <c r="J417" s="202"/>
      <c r="K417" s="202"/>
      <c r="L417" s="202"/>
      <c r="M417" s="202">
        <v>7500</v>
      </c>
      <c r="N417" s="202"/>
    </row>
    <row r="418" spans="1:14" s="46" customFormat="1" ht="38.25">
      <c r="A418" s="111"/>
      <c r="B418" s="84"/>
      <c r="C418" s="85">
        <v>4400</v>
      </c>
      <c r="D418" s="88" t="s">
        <v>377</v>
      </c>
      <c r="E418" s="202">
        <f t="shared" si="63"/>
        <v>43920</v>
      </c>
      <c r="F418" s="202">
        <f t="shared" si="64"/>
        <v>43920</v>
      </c>
      <c r="G418" s="202"/>
      <c r="H418" s="202"/>
      <c r="I418" s="202"/>
      <c r="J418" s="202"/>
      <c r="K418" s="202"/>
      <c r="L418" s="202"/>
      <c r="M418" s="202">
        <v>43920</v>
      </c>
      <c r="N418" s="202"/>
    </row>
    <row r="419" spans="1:14" s="46" customFormat="1" ht="12.75">
      <c r="A419" s="111"/>
      <c r="B419" s="84"/>
      <c r="C419" s="85">
        <v>4410</v>
      </c>
      <c r="D419" s="88" t="s">
        <v>639</v>
      </c>
      <c r="E419" s="202">
        <f t="shared" si="63"/>
        <v>2900</v>
      </c>
      <c r="F419" s="202">
        <f t="shared" si="64"/>
        <v>2900</v>
      </c>
      <c r="G419" s="202"/>
      <c r="H419" s="202"/>
      <c r="I419" s="202"/>
      <c r="J419" s="202"/>
      <c r="K419" s="202"/>
      <c r="L419" s="202"/>
      <c r="M419" s="202">
        <v>2900</v>
      </c>
      <c r="N419" s="202"/>
    </row>
    <row r="420" spans="1:14" s="46" customFormat="1" ht="12.75">
      <c r="A420" s="111"/>
      <c r="B420" s="84"/>
      <c r="C420" s="85">
        <v>4430</v>
      </c>
      <c r="D420" s="88" t="s">
        <v>640</v>
      </c>
      <c r="E420" s="202">
        <f t="shared" si="63"/>
        <v>253</v>
      </c>
      <c r="F420" s="202">
        <f t="shared" si="64"/>
        <v>253</v>
      </c>
      <c r="G420" s="202"/>
      <c r="H420" s="202"/>
      <c r="I420" s="202"/>
      <c r="J420" s="202"/>
      <c r="K420" s="202"/>
      <c r="L420" s="202"/>
      <c r="M420" s="202">
        <f>900-647</f>
        <v>253</v>
      </c>
      <c r="N420" s="202"/>
    </row>
    <row r="421" spans="1:14" s="46" customFormat="1" ht="25.5">
      <c r="A421" s="111"/>
      <c r="B421" s="84"/>
      <c r="C421" s="85">
        <v>4440</v>
      </c>
      <c r="D421" s="88" t="s">
        <v>641</v>
      </c>
      <c r="E421" s="202">
        <f t="shared" si="63"/>
        <v>8850</v>
      </c>
      <c r="F421" s="202">
        <f t="shared" si="64"/>
        <v>8850</v>
      </c>
      <c r="G421" s="202"/>
      <c r="H421" s="202"/>
      <c r="I421" s="202"/>
      <c r="J421" s="202"/>
      <c r="K421" s="202"/>
      <c r="L421" s="202"/>
      <c r="M421" s="202">
        <f>8600+250</f>
        <v>8850</v>
      </c>
      <c r="N421" s="202"/>
    </row>
    <row r="422" spans="1:14" s="46" customFormat="1" ht="12.75">
      <c r="A422" s="111"/>
      <c r="B422" s="84"/>
      <c r="C422" s="85">
        <v>4510</v>
      </c>
      <c r="D422" s="88" t="s">
        <v>301</v>
      </c>
      <c r="E422" s="202">
        <f t="shared" si="63"/>
        <v>250</v>
      </c>
      <c r="F422" s="202">
        <f>SUM(G422:M422)</f>
        <v>250</v>
      </c>
      <c r="G422" s="202"/>
      <c r="H422" s="202"/>
      <c r="I422" s="202"/>
      <c r="J422" s="202"/>
      <c r="K422" s="202"/>
      <c r="L422" s="202"/>
      <c r="M422" s="202">
        <v>250</v>
      </c>
      <c r="N422" s="202"/>
    </row>
    <row r="423" spans="1:14" s="46" customFormat="1" ht="38.25">
      <c r="A423" s="111"/>
      <c r="B423" s="84"/>
      <c r="C423" s="85">
        <v>4700</v>
      </c>
      <c r="D423" s="88" t="s">
        <v>226</v>
      </c>
      <c r="E423" s="202">
        <f t="shared" si="63"/>
        <v>2500</v>
      </c>
      <c r="F423" s="202">
        <f t="shared" si="64"/>
        <v>2500</v>
      </c>
      <c r="G423" s="202"/>
      <c r="H423" s="202"/>
      <c r="I423" s="202"/>
      <c r="J423" s="202"/>
      <c r="K423" s="202"/>
      <c r="L423" s="202"/>
      <c r="M423" s="202">
        <v>2500</v>
      </c>
      <c r="N423" s="202"/>
    </row>
    <row r="424" spans="1:14" s="46" customFormat="1" ht="38.25">
      <c r="A424" s="111"/>
      <c r="B424" s="84"/>
      <c r="C424" s="85">
        <v>4740</v>
      </c>
      <c r="D424" s="88" t="s">
        <v>658</v>
      </c>
      <c r="E424" s="202">
        <f t="shared" si="63"/>
        <v>1722</v>
      </c>
      <c r="F424" s="202">
        <f t="shared" si="64"/>
        <v>1722</v>
      </c>
      <c r="G424" s="202"/>
      <c r="H424" s="202"/>
      <c r="I424" s="202"/>
      <c r="J424" s="202"/>
      <c r="K424" s="202"/>
      <c r="L424" s="202"/>
      <c r="M424" s="202">
        <f>2000-278</f>
        <v>1722</v>
      </c>
      <c r="N424" s="202"/>
    </row>
    <row r="425" spans="1:14" s="46" customFormat="1" ht="25.5">
      <c r="A425" s="111"/>
      <c r="B425" s="84"/>
      <c r="C425" s="85">
        <v>4750</v>
      </c>
      <c r="D425" s="88" t="s">
        <v>692</v>
      </c>
      <c r="E425" s="202">
        <f t="shared" si="63"/>
        <v>6200</v>
      </c>
      <c r="F425" s="202">
        <f t="shared" si="64"/>
        <v>6200</v>
      </c>
      <c r="G425" s="202"/>
      <c r="H425" s="202"/>
      <c r="I425" s="202"/>
      <c r="J425" s="202"/>
      <c r="K425" s="202"/>
      <c r="L425" s="202"/>
      <c r="M425" s="202">
        <f>800+3400+2000</f>
        <v>6200</v>
      </c>
      <c r="N425" s="202"/>
    </row>
    <row r="426" spans="1:14" s="79" customFormat="1" ht="51">
      <c r="A426" s="122"/>
      <c r="B426" s="86">
        <v>85220</v>
      </c>
      <c r="C426" s="89"/>
      <c r="D426" s="93" t="s">
        <v>33</v>
      </c>
      <c r="E426" s="215">
        <f t="shared" si="63"/>
        <v>63414</v>
      </c>
      <c r="F426" s="215">
        <f t="shared" si="64"/>
        <v>63414</v>
      </c>
      <c r="G426" s="215">
        <f aca="true" t="shared" si="65" ref="G426:N426">SUM(G427:G435)</f>
        <v>36990</v>
      </c>
      <c r="H426" s="215">
        <f t="shared" si="65"/>
        <v>2700</v>
      </c>
      <c r="I426" s="215">
        <f t="shared" si="65"/>
        <v>7720</v>
      </c>
      <c r="J426" s="215">
        <f t="shared" si="65"/>
        <v>0</v>
      </c>
      <c r="K426" s="215">
        <f t="shared" si="65"/>
        <v>0</v>
      </c>
      <c r="L426" s="215">
        <f t="shared" si="65"/>
        <v>0</v>
      </c>
      <c r="M426" s="215">
        <f t="shared" si="65"/>
        <v>16004</v>
      </c>
      <c r="N426" s="215">
        <f t="shared" si="65"/>
        <v>0</v>
      </c>
    </row>
    <row r="427" spans="1:14" s="46" customFormat="1" ht="25.5">
      <c r="A427" s="111"/>
      <c r="B427" s="84"/>
      <c r="C427" s="85">
        <v>4010</v>
      </c>
      <c r="D427" s="88" t="s">
        <v>624</v>
      </c>
      <c r="E427" s="202">
        <f t="shared" si="63"/>
        <v>36990</v>
      </c>
      <c r="F427" s="202">
        <f t="shared" si="64"/>
        <v>36990</v>
      </c>
      <c r="G427" s="202">
        <f>31800+1590+600+3000</f>
        <v>36990</v>
      </c>
      <c r="H427" s="202"/>
      <c r="I427" s="202"/>
      <c r="J427" s="202"/>
      <c r="K427" s="202"/>
      <c r="L427" s="202"/>
      <c r="M427" s="202"/>
      <c r="N427" s="202"/>
    </row>
    <row r="428" spans="1:14" s="46" customFormat="1" ht="12.75">
      <c r="A428" s="111"/>
      <c r="B428" s="84"/>
      <c r="C428" s="85">
        <v>4040</v>
      </c>
      <c r="D428" s="88" t="s">
        <v>625</v>
      </c>
      <c r="E428" s="202">
        <f t="shared" si="63"/>
        <v>2700</v>
      </c>
      <c r="F428" s="202">
        <f t="shared" si="64"/>
        <v>2700</v>
      </c>
      <c r="G428" s="202"/>
      <c r="H428" s="202">
        <v>2700</v>
      </c>
      <c r="I428" s="202"/>
      <c r="J428" s="202"/>
      <c r="K428" s="202"/>
      <c r="L428" s="202"/>
      <c r="M428" s="202"/>
      <c r="N428" s="202"/>
    </row>
    <row r="429" spans="1:14" s="46" customFormat="1" ht="12.75">
      <c r="A429" s="111"/>
      <c r="B429" s="84"/>
      <c r="C429" s="85">
        <v>4110</v>
      </c>
      <c r="D429" s="88" t="s">
        <v>626</v>
      </c>
      <c r="E429" s="202">
        <f t="shared" si="63"/>
        <v>6765</v>
      </c>
      <c r="F429" s="202">
        <f t="shared" si="64"/>
        <v>6765</v>
      </c>
      <c r="G429" s="202"/>
      <c r="H429" s="202"/>
      <c r="I429" s="202">
        <f>6000+280+105+380</f>
        <v>6765</v>
      </c>
      <c r="J429" s="202"/>
      <c r="K429" s="202"/>
      <c r="L429" s="202"/>
      <c r="M429" s="202"/>
      <c r="N429" s="202"/>
    </row>
    <row r="430" spans="1:14" s="46" customFormat="1" ht="12.75">
      <c r="A430" s="111"/>
      <c r="B430" s="84"/>
      <c r="C430" s="85">
        <v>4120</v>
      </c>
      <c r="D430" s="88" t="s">
        <v>627</v>
      </c>
      <c r="E430" s="202">
        <f t="shared" si="63"/>
        <v>955</v>
      </c>
      <c r="F430" s="202">
        <f t="shared" si="64"/>
        <v>955</v>
      </c>
      <c r="G430" s="202"/>
      <c r="H430" s="202"/>
      <c r="I430" s="202">
        <f>850+40+15+50</f>
        <v>955</v>
      </c>
      <c r="J430" s="202"/>
      <c r="K430" s="202"/>
      <c r="L430" s="202"/>
      <c r="M430" s="202"/>
      <c r="N430" s="202"/>
    </row>
    <row r="431" spans="1:14" s="46" customFormat="1" ht="12.75">
      <c r="A431" s="111"/>
      <c r="B431" s="84"/>
      <c r="C431" s="85">
        <v>4170</v>
      </c>
      <c r="D431" s="88" t="s">
        <v>670</v>
      </c>
      <c r="E431" s="202">
        <f t="shared" si="63"/>
        <v>1542</v>
      </c>
      <c r="F431" s="202">
        <f t="shared" si="64"/>
        <v>1542</v>
      </c>
      <c r="G431" s="202"/>
      <c r="H431" s="202"/>
      <c r="I431" s="202"/>
      <c r="J431" s="202"/>
      <c r="K431" s="202"/>
      <c r="L431" s="202"/>
      <c r="M431" s="202">
        <f>2400-858</f>
        <v>1542</v>
      </c>
      <c r="N431" s="202"/>
    </row>
    <row r="432" spans="1:14" s="46" customFormat="1" ht="12.75">
      <c r="A432" s="111"/>
      <c r="B432" s="84"/>
      <c r="C432" s="85">
        <v>4210</v>
      </c>
      <c r="D432" s="88" t="s">
        <v>629</v>
      </c>
      <c r="E432" s="202">
        <f t="shared" si="63"/>
        <v>12000</v>
      </c>
      <c r="F432" s="202">
        <f>SUM(G432:M432)</f>
        <v>12000</v>
      </c>
      <c r="G432" s="202"/>
      <c r="H432" s="202"/>
      <c r="I432" s="202"/>
      <c r="J432" s="202"/>
      <c r="K432" s="202"/>
      <c r="L432" s="202"/>
      <c r="M432" s="202">
        <f>7400+4600</f>
        <v>12000</v>
      </c>
      <c r="N432" s="202"/>
    </row>
    <row r="433" spans="1:14" s="46" customFormat="1" ht="12.75">
      <c r="A433" s="111"/>
      <c r="B433" s="84"/>
      <c r="C433" s="85">
        <v>4300</v>
      </c>
      <c r="D433" s="88" t="s">
        <v>657</v>
      </c>
      <c r="E433" s="202">
        <f t="shared" si="63"/>
        <v>1458</v>
      </c>
      <c r="F433" s="202">
        <f t="shared" si="64"/>
        <v>1458</v>
      </c>
      <c r="G433" s="202"/>
      <c r="H433" s="202"/>
      <c r="I433" s="202"/>
      <c r="J433" s="202"/>
      <c r="K433" s="202"/>
      <c r="L433" s="202"/>
      <c r="M433" s="202">
        <f>600+858</f>
        <v>1458</v>
      </c>
      <c r="N433" s="202"/>
    </row>
    <row r="434" spans="1:14" s="46" customFormat="1" ht="12.75">
      <c r="A434" s="111"/>
      <c r="B434" s="84"/>
      <c r="C434" s="85">
        <v>4410</v>
      </c>
      <c r="D434" s="88" t="s">
        <v>639</v>
      </c>
      <c r="E434" s="202">
        <f t="shared" si="63"/>
        <v>200</v>
      </c>
      <c r="F434" s="202">
        <f t="shared" si="64"/>
        <v>200</v>
      </c>
      <c r="G434" s="202"/>
      <c r="H434" s="202"/>
      <c r="I434" s="202"/>
      <c r="J434" s="202"/>
      <c r="K434" s="202"/>
      <c r="L434" s="202"/>
      <c r="M434" s="202">
        <v>200</v>
      </c>
      <c r="N434" s="202"/>
    </row>
    <row r="435" spans="1:14" s="46" customFormat="1" ht="25.5">
      <c r="A435" s="111"/>
      <c r="B435" s="84"/>
      <c r="C435" s="85">
        <v>4440</v>
      </c>
      <c r="D435" s="88" t="s">
        <v>641</v>
      </c>
      <c r="E435" s="202">
        <f t="shared" si="63"/>
        <v>804</v>
      </c>
      <c r="F435" s="202">
        <f t="shared" si="64"/>
        <v>804</v>
      </c>
      <c r="G435" s="202"/>
      <c r="H435" s="202"/>
      <c r="I435" s="202"/>
      <c r="J435" s="202"/>
      <c r="K435" s="202"/>
      <c r="L435" s="202"/>
      <c r="M435" s="202">
        <f>790+14</f>
        <v>804</v>
      </c>
      <c r="N435" s="202"/>
    </row>
    <row r="436" spans="1:14" s="79" customFormat="1" ht="25.5">
      <c r="A436" s="122"/>
      <c r="B436" s="86">
        <v>85233</v>
      </c>
      <c r="C436" s="89"/>
      <c r="D436" s="93" t="s">
        <v>35</v>
      </c>
      <c r="E436" s="215">
        <f t="shared" si="63"/>
        <v>700</v>
      </c>
      <c r="F436" s="215">
        <f t="shared" si="64"/>
        <v>700</v>
      </c>
      <c r="G436" s="215">
        <f aca="true" t="shared" si="66" ref="G436:N436">SUM(G437:G438)</f>
        <v>0</v>
      </c>
      <c r="H436" s="215">
        <f t="shared" si="66"/>
        <v>0</v>
      </c>
      <c r="I436" s="215">
        <f t="shared" si="66"/>
        <v>0</v>
      </c>
      <c r="J436" s="215">
        <f t="shared" si="66"/>
        <v>0</v>
      </c>
      <c r="K436" s="215">
        <f t="shared" si="66"/>
        <v>0</v>
      </c>
      <c r="L436" s="215">
        <f t="shared" si="66"/>
        <v>0</v>
      </c>
      <c r="M436" s="215">
        <f t="shared" si="66"/>
        <v>700</v>
      </c>
      <c r="N436" s="215">
        <f t="shared" si="66"/>
        <v>0</v>
      </c>
    </row>
    <row r="437" spans="1:14" s="46" customFormat="1" ht="12.75">
      <c r="A437" s="111"/>
      <c r="B437" s="84"/>
      <c r="C437" s="85">
        <v>4300</v>
      </c>
      <c r="D437" s="88" t="s">
        <v>657</v>
      </c>
      <c r="E437" s="202">
        <f t="shared" si="63"/>
        <v>700</v>
      </c>
      <c r="F437" s="202">
        <f t="shared" si="64"/>
        <v>700</v>
      </c>
      <c r="G437" s="202"/>
      <c r="H437" s="202"/>
      <c r="I437" s="202"/>
      <c r="J437" s="202"/>
      <c r="K437" s="202"/>
      <c r="L437" s="202"/>
      <c r="M437" s="202">
        <f>3200-95-2405</f>
        <v>700</v>
      </c>
      <c r="N437" s="202"/>
    </row>
    <row r="438" spans="1:14" s="46" customFormat="1" ht="12.75">
      <c r="A438" s="111"/>
      <c r="B438" s="84"/>
      <c r="C438" s="85">
        <v>4410</v>
      </c>
      <c r="D438" s="88" t="s">
        <v>639</v>
      </c>
      <c r="E438" s="202">
        <f t="shared" si="63"/>
        <v>0</v>
      </c>
      <c r="F438" s="202">
        <f t="shared" si="64"/>
        <v>0</v>
      </c>
      <c r="G438" s="202"/>
      <c r="H438" s="202"/>
      <c r="I438" s="202"/>
      <c r="J438" s="202"/>
      <c r="K438" s="202"/>
      <c r="L438" s="202"/>
      <c r="M438" s="202">
        <f>430-430</f>
        <v>0</v>
      </c>
      <c r="N438" s="202"/>
    </row>
    <row r="439" spans="1:14" s="79" customFormat="1" ht="12.75">
      <c r="A439" s="122"/>
      <c r="B439" s="86">
        <v>85295</v>
      </c>
      <c r="C439" s="89"/>
      <c r="D439" s="93" t="s">
        <v>36</v>
      </c>
      <c r="E439" s="215">
        <f t="shared" si="63"/>
        <v>4234</v>
      </c>
      <c r="F439" s="215">
        <f t="shared" si="64"/>
        <v>4234</v>
      </c>
      <c r="G439" s="215">
        <f aca="true" t="shared" si="67" ref="G439:N439">SUM(G440:G443)</f>
        <v>2816</v>
      </c>
      <c r="H439" s="215">
        <f t="shared" si="67"/>
        <v>0</v>
      </c>
      <c r="I439" s="215">
        <f t="shared" si="67"/>
        <v>573</v>
      </c>
      <c r="J439" s="215">
        <f t="shared" si="67"/>
        <v>0</v>
      </c>
      <c r="K439" s="215">
        <f t="shared" si="67"/>
        <v>0</v>
      </c>
      <c r="L439" s="215">
        <f t="shared" si="67"/>
        <v>0</v>
      </c>
      <c r="M439" s="215">
        <f t="shared" si="67"/>
        <v>845</v>
      </c>
      <c r="N439" s="215">
        <f t="shared" si="67"/>
        <v>0</v>
      </c>
    </row>
    <row r="440" spans="1:14" s="46" customFormat="1" ht="25.5">
      <c r="A440" s="111"/>
      <c r="B440" s="84"/>
      <c r="C440" s="85">
        <v>4440</v>
      </c>
      <c r="D440" s="88" t="s">
        <v>641</v>
      </c>
      <c r="E440" s="202">
        <f t="shared" si="63"/>
        <v>845</v>
      </c>
      <c r="F440" s="202">
        <f t="shared" si="64"/>
        <v>845</v>
      </c>
      <c r="G440" s="202"/>
      <c r="H440" s="202"/>
      <c r="I440" s="202"/>
      <c r="J440" s="202"/>
      <c r="K440" s="202"/>
      <c r="L440" s="202"/>
      <c r="M440" s="202">
        <f>800+45</f>
        <v>845</v>
      </c>
      <c r="N440" s="202"/>
    </row>
    <row r="441" spans="1:14" s="46" customFormat="1" ht="25.5">
      <c r="A441" s="111"/>
      <c r="B441" s="84"/>
      <c r="C441" s="85">
        <v>4010</v>
      </c>
      <c r="D441" s="88" t="s">
        <v>183</v>
      </c>
      <c r="E441" s="202">
        <f t="shared" si="63"/>
        <v>2816</v>
      </c>
      <c r="F441" s="202">
        <f>SUM(G441:M441)</f>
        <v>2816</v>
      </c>
      <c r="G441" s="202">
        <v>2816</v>
      </c>
      <c r="H441" s="202"/>
      <c r="I441" s="202"/>
      <c r="J441" s="202"/>
      <c r="K441" s="202"/>
      <c r="L441" s="202"/>
      <c r="M441" s="202"/>
      <c r="N441" s="202"/>
    </row>
    <row r="442" spans="1:14" s="46" customFormat="1" ht="12.75">
      <c r="A442" s="111"/>
      <c r="B442" s="84"/>
      <c r="C442" s="85">
        <v>4110</v>
      </c>
      <c r="D442" s="88" t="s">
        <v>687</v>
      </c>
      <c r="E442" s="202">
        <f>F442+N442</f>
        <v>504</v>
      </c>
      <c r="F442" s="202">
        <f>SUM(G442:M442)</f>
        <v>504</v>
      </c>
      <c r="G442" s="202"/>
      <c r="H442" s="202"/>
      <c r="I442" s="202">
        <v>504</v>
      </c>
      <c r="J442" s="202"/>
      <c r="K442" s="202"/>
      <c r="L442" s="202"/>
      <c r="M442" s="202"/>
      <c r="N442" s="202"/>
    </row>
    <row r="443" spans="1:14" s="46" customFormat="1" ht="12.75">
      <c r="A443" s="111"/>
      <c r="B443" s="84"/>
      <c r="C443" s="85">
        <v>4120</v>
      </c>
      <c r="D443" s="88" t="s">
        <v>627</v>
      </c>
      <c r="E443" s="202">
        <f>F443+N443</f>
        <v>69</v>
      </c>
      <c r="F443" s="202">
        <f>SUM(G443:M443)</f>
        <v>69</v>
      </c>
      <c r="G443" s="202"/>
      <c r="H443" s="202"/>
      <c r="I443" s="202">
        <v>69</v>
      </c>
      <c r="J443" s="202"/>
      <c r="K443" s="202"/>
      <c r="L443" s="202"/>
      <c r="M443" s="202"/>
      <c r="N443" s="202"/>
    </row>
    <row r="444" spans="1:14" s="120" customFormat="1" ht="25.5">
      <c r="A444" s="81">
        <v>853</v>
      </c>
      <c r="B444" s="81"/>
      <c r="C444" s="82"/>
      <c r="D444" s="94" t="s">
        <v>37</v>
      </c>
      <c r="E444" s="214">
        <f t="shared" si="63"/>
        <v>2713853</v>
      </c>
      <c r="F444" s="214">
        <f t="shared" si="64"/>
        <v>2692283</v>
      </c>
      <c r="G444" s="214">
        <f>SUM(G447+G463+G488+G445)</f>
        <v>1144017</v>
      </c>
      <c r="H444" s="214">
        <f aca="true" t="shared" si="68" ref="H444:N444">SUM(H447+H463+H488+H445)</f>
        <v>86040</v>
      </c>
      <c r="I444" s="214">
        <f t="shared" si="68"/>
        <v>409767</v>
      </c>
      <c r="J444" s="214">
        <f t="shared" si="68"/>
        <v>7301</v>
      </c>
      <c r="K444" s="214">
        <f t="shared" si="68"/>
        <v>0</v>
      </c>
      <c r="L444" s="214">
        <f t="shared" si="68"/>
        <v>745017</v>
      </c>
      <c r="M444" s="214">
        <f t="shared" si="68"/>
        <v>300141</v>
      </c>
      <c r="N444" s="214">
        <f t="shared" si="68"/>
        <v>21570</v>
      </c>
    </row>
    <row r="445" spans="1:14" s="79" customFormat="1" ht="38.25">
      <c r="A445" s="122"/>
      <c r="B445" s="86">
        <v>85311</v>
      </c>
      <c r="C445" s="89"/>
      <c r="D445" s="93" t="s">
        <v>638</v>
      </c>
      <c r="E445" s="215">
        <f t="shared" si="63"/>
        <v>7301</v>
      </c>
      <c r="F445" s="215">
        <f t="shared" si="64"/>
        <v>7301</v>
      </c>
      <c r="G445" s="215">
        <f>SUM(G446:G446)</f>
        <v>0</v>
      </c>
      <c r="H445" s="215">
        <f aca="true" t="shared" si="69" ref="H445:N445">SUM(H446:H446)</f>
        <v>0</v>
      </c>
      <c r="I445" s="215">
        <f t="shared" si="69"/>
        <v>0</v>
      </c>
      <c r="J445" s="215">
        <f t="shared" si="69"/>
        <v>7301</v>
      </c>
      <c r="K445" s="215">
        <f t="shared" si="69"/>
        <v>0</v>
      </c>
      <c r="L445" s="215">
        <f t="shared" si="69"/>
        <v>0</v>
      </c>
      <c r="M445" s="215">
        <f t="shared" si="69"/>
        <v>0</v>
      </c>
      <c r="N445" s="215">
        <f t="shared" si="69"/>
        <v>0</v>
      </c>
    </row>
    <row r="446" spans="1:14" s="46" customFormat="1" ht="76.5">
      <c r="A446" s="111"/>
      <c r="B446" s="84"/>
      <c r="C446" s="85">
        <v>2320</v>
      </c>
      <c r="D446" s="88" t="s">
        <v>21</v>
      </c>
      <c r="E446" s="202">
        <f t="shared" si="63"/>
        <v>7301</v>
      </c>
      <c r="F446" s="202">
        <f t="shared" si="64"/>
        <v>7301</v>
      </c>
      <c r="G446" s="202"/>
      <c r="H446" s="202"/>
      <c r="I446" s="202"/>
      <c r="J446" s="202">
        <f>7301</f>
        <v>7301</v>
      </c>
      <c r="K446" s="202"/>
      <c r="L446" s="202"/>
      <c r="M446" s="202"/>
      <c r="N446" s="202"/>
    </row>
    <row r="447" spans="1:14" s="79" customFormat="1" ht="25.5">
      <c r="A447" s="86"/>
      <c r="B447" s="86">
        <v>85321</v>
      </c>
      <c r="C447" s="89"/>
      <c r="D447" s="93" t="s">
        <v>38</v>
      </c>
      <c r="E447" s="215">
        <f t="shared" si="63"/>
        <v>117551</v>
      </c>
      <c r="F447" s="215">
        <f t="shared" si="64"/>
        <v>113051</v>
      </c>
      <c r="G447" s="215">
        <f>SUM(G448:G462)</f>
        <v>20764</v>
      </c>
      <c r="H447" s="215">
        <f aca="true" t="shared" si="70" ref="H447:N447">SUM(H448:H462)</f>
        <v>1507</v>
      </c>
      <c r="I447" s="215">
        <f t="shared" si="70"/>
        <v>9135</v>
      </c>
      <c r="J447" s="215">
        <f t="shared" si="70"/>
        <v>0</v>
      </c>
      <c r="K447" s="215">
        <f t="shared" si="70"/>
        <v>0</v>
      </c>
      <c r="L447" s="215">
        <f t="shared" si="70"/>
        <v>0</v>
      </c>
      <c r="M447" s="215">
        <f t="shared" si="70"/>
        <v>81645</v>
      </c>
      <c r="N447" s="215">
        <f t="shared" si="70"/>
        <v>4500</v>
      </c>
    </row>
    <row r="448" spans="1:14" s="46" customFormat="1" ht="25.5">
      <c r="A448" s="84"/>
      <c r="B448" s="84"/>
      <c r="C448" s="85">
        <v>4010</v>
      </c>
      <c r="D448" s="88" t="s">
        <v>624</v>
      </c>
      <c r="E448" s="202">
        <f t="shared" si="63"/>
        <v>20764</v>
      </c>
      <c r="F448" s="202">
        <f t="shared" si="64"/>
        <v>20764</v>
      </c>
      <c r="G448" s="202">
        <f>19470+970+324</f>
        <v>20764</v>
      </c>
      <c r="H448" s="202"/>
      <c r="I448" s="202"/>
      <c r="J448" s="202"/>
      <c r="K448" s="202"/>
      <c r="L448" s="202"/>
      <c r="M448" s="202"/>
      <c r="N448" s="202"/>
    </row>
    <row r="449" spans="1:14" s="46" customFormat="1" ht="12.75">
      <c r="A449" s="84"/>
      <c r="B449" s="84"/>
      <c r="C449" s="85">
        <v>4040</v>
      </c>
      <c r="D449" s="88" t="s">
        <v>625</v>
      </c>
      <c r="E449" s="202">
        <f t="shared" si="63"/>
        <v>1507</v>
      </c>
      <c r="F449" s="202">
        <f t="shared" si="64"/>
        <v>1507</v>
      </c>
      <c r="G449" s="202"/>
      <c r="H449" s="202">
        <f>1530-23</f>
        <v>1507</v>
      </c>
      <c r="I449" s="202"/>
      <c r="J449" s="202"/>
      <c r="K449" s="202"/>
      <c r="L449" s="202"/>
      <c r="M449" s="202"/>
      <c r="N449" s="202"/>
    </row>
    <row r="450" spans="1:14" s="46" customFormat="1" ht="12.75">
      <c r="A450" s="84"/>
      <c r="B450" s="84"/>
      <c r="C450" s="85">
        <v>4110</v>
      </c>
      <c r="D450" s="88" t="s">
        <v>626</v>
      </c>
      <c r="E450" s="202">
        <f t="shared" si="63"/>
        <v>8037</v>
      </c>
      <c r="F450" s="202">
        <f t="shared" si="64"/>
        <v>8037</v>
      </c>
      <c r="G450" s="202"/>
      <c r="H450" s="202"/>
      <c r="I450" s="202">
        <f>8300+170+57-600+110</f>
        <v>8037</v>
      </c>
      <c r="J450" s="202"/>
      <c r="K450" s="202"/>
      <c r="L450" s="202"/>
      <c r="M450" s="202"/>
      <c r="N450" s="202"/>
    </row>
    <row r="451" spans="1:14" s="46" customFormat="1" ht="12.75">
      <c r="A451" s="84"/>
      <c r="B451" s="84"/>
      <c r="C451" s="85">
        <v>4120</v>
      </c>
      <c r="D451" s="88" t="s">
        <v>627</v>
      </c>
      <c r="E451" s="202">
        <f t="shared" si="63"/>
        <v>1098</v>
      </c>
      <c r="F451" s="202">
        <f t="shared" si="64"/>
        <v>1098</v>
      </c>
      <c r="G451" s="202"/>
      <c r="H451" s="202"/>
      <c r="I451" s="202">
        <f>1050+20+8+20</f>
        <v>1098</v>
      </c>
      <c r="J451" s="202"/>
      <c r="K451" s="202"/>
      <c r="L451" s="202"/>
      <c r="M451" s="202"/>
      <c r="N451" s="202"/>
    </row>
    <row r="452" spans="1:14" s="46" customFormat="1" ht="12.75">
      <c r="A452" s="84"/>
      <c r="B452" s="84"/>
      <c r="C452" s="85">
        <v>4170</v>
      </c>
      <c r="D452" s="88" t="s">
        <v>628</v>
      </c>
      <c r="E452" s="202">
        <f t="shared" si="63"/>
        <v>32433</v>
      </c>
      <c r="F452" s="202">
        <f t="shared" si="64"/>
        <v>32433</v>
      </c>
      <c r="G452" s="202"/>
      <c r="H452" s="202"/>
      <c r="I452" s="202"/>
      <c r="J452" s="202"/>
      <c r="K452" s="202"/>
      <c r="L452" s="202"/>
      <c r="M452" s="202">
        <f>67000-35167+600</f>
        <v>32433</v>
      </c>
      <c r="N452" s="202"/>
    </row>
    <row r="453" spans="1:14" s="46" customFormat="1" ht="12.75">
      <c r="A453" s="84"/>
      <c r="B453" s="84"/>
      <c r="C453" s="85">
        <v>4210</v>
      </c>
      <c r="D453" s="88" t="s">
        <v>629</v>
      </c>
      <c r="E453" s="202">
        <f t="shared" si="63"/>
        <v>4330</v>
      </c>
      <c r="F453" s="202">
        <f t="shared" si="64"/>
        <v>4330</v>
      </c>
      <c r="G453" s="202"/>
      <c r="H453" s="202"/>
      <c r="I453" s="202"/>
      <c r="J453" s="202"/>
      <c r="K453" s="202"/>
      <c r="L453" s="202"/>
      <c r="M453" s="202">
        <f>1500-40+2870</f>
        <v>4330</v>
      </c>
      <c r="N453" s="202"/>
    </row>
    <row r="454" spans="1:14" s="46" customFormat="1" ht="12.75">
      <c r="A454" s="84"/>
      <c r="B454" s="84"/>
      <c r="C454" s="85">
        <v>4270</v>
      </c>
      <c r="D454" s="88" t="s">
        <v>631</v>
      </c>
      <c r="E454" s="202">
        <f t="shared" si="63"/>
        <v>372</v>
      </c>
      <c r="F454" s="202">
        <f t="shared" si="64"/>
        <v>372</v>
      </c>
      <c r="G454" s="202"/>
      <c r="H454" s="202"/>
      <c r="I454" s="202"/>
      <c r="J454" s="202"/>
      <c r="K454" s="202"/>
      <c r="L454" s="202"/>
      <c r="M454" s="202">
        <f>500-128</f>
        <v>372</v>
      </c>
      <c r="N454" s="202"/>
    </row>
    <row r="455" spans="1:14" s="46" customFormat="1" ht="12.75">
      <c r="A455" s="84"/>
      <c r="B455" s="84"/>
      <c r="C455" s="85">
        <v>4300</v>
      </c>
      <c r="D455" s="88" t="s">
        <v>612</v>
      </c>
      <c r="E455" s="202">
        <f t="shared" si="63"/>
        <v>40717</v>
      </c>
      <c r="F455" s="202">
        <f t="shared" si="64"/>
        <v>40717</v>
      </c>
      <c r="G455" s="202"/>
      <c r="H455" s="202"/>
      <c r="I455" s="202"/>
      <c r="J455" s="202"/>
      <c r="K455" s="202"/>
      <c r="L455" s="202"/>
      <c r="M455" s="202">
        <f>5050+35667</f>
        <v>40717</v>
      </c>
      <c r="N455" s="202"/>
    </row>
    <row r="456" spans="1:14" s="46" customFormat="1" ht="38.25">
      <c r="A456" s="84"/>
      <c r="B456" s="84"/>
      <c r="C456" s="85">
        <v>4370</v>
      </c>
      <c r="D456" s="88" t="s">
        <v>691</v>
      </c>
      <c r="E456" s="202">
        <f t="shared" si="63"/>
        <v>1600</v>
      </c>
      <c r="F456" s="202">
        <f t="shared" si="64"/>
        <v>1600</v>
      </c>
      <c r="G456" s="202"/>
      <c r="H456" s="202"/>
      <c r="I456" s="202"/>
      <c r="J456" s="202"/>
      <c r="K456" s="202"/>
      <c r="L456" s="202"/>
      <c r="M456" s="202">
        <f>1500+100</f>
        <v>1600</v>
      </c>
      <c r="N456" s="202"/>
    </row>
    <row r="457" spans="1:14" s="46" customFormat="1" ht="12.75">
      <c r="A457" s="84"/>
      <c r="B457" s="84"/>
      <c r="C457" s="85">
        <v>4410</v>
      </c>
      <c r="D457" s="88" t="s">
        <v>39</v>
      </c>
      <c r="E457" s="202">
        <f t="shared" si="63"/>
        <v>232</v>
      </c>
      <c r="F457" s="202">
        <f t="shared" si="64"/>
        <v>232</v>
      </c>
      <c r="G457" s="202"/>
      <c r="H457" s="202"/>
      <c r="I457" s="202"/>
      <c r="J457" s="202"/>
      <c r="K457" s="202"/>
      <c r="L457" s="202"/>
      <c r="M457" s="202">
        <f>300-100-39+71</f>
        <v>232</v>
      </c>
      <c r="N457" s="202"/>
    </row>
    <row r="458" spans="1:14" s="46" customFormat="1" ht="25.5">
      <c r="A458" s="84"/>
      <c r="B458" s="84"/>
      <c r="C458" s="85">
        <v>4440</v>
      </c>
      <c r="D458" s="88" t="s">
        <v>641</v>
      </c>
      <c r="E458" s="202">
        <f t="shared" si="63"/>
        <v>402</v>
      </c>
      <c r="F458" s="202">
        <f t="shared" si="64"/>
        <v>402</v>
      </c>
      <c r="G458" s="202"/>
      <c r="H458" s="202"/>
      <c r="I458" s="202"/>
      <c r="J458" s="202"/>
      <c r="K458" s="202"/>
      <c r="L458" s="202"/>
      <c r="M458" s="202">
        <f>400+2</f>
        <v>402</v>
      </c>
      <c r="N458" s="202"/>
    </row>
    <row r="459" spans="1:14" s="46" customFormat="1" ht="38.25">
      <c r="A459" s="84"/>
      <c r="B459" s="84"/>
      <c r="C459" s="85">
        <v>4700</v>
      </c>
      <c r="D459" s="88" t="s">
        <v>226</v>
      </c>
      <c r="E459" s="202">
        <f t="shared" si="63"/>
        <v>700</v>
      </c>
      <c r="F459" s="202">
        <f t="shared" si="64"/>
        <v>700</v>
      </c>
      <c r="G459" s="202"/>
      <c r="H459" s="202"/>
      <c r="I459" s="202"/>
      <c r="J459" s="202"/>
      <c r="K459" s="202"/>
      <c r="L459" s="202"/>
      <c r="M459" s="202">
        <v>700</v>
      </c>
      <c r="N459" s="202"/>
    </row>
    <row r="460" spans="1:14" s="46" customFormat="1" ht="38.25">
      <c r="A460" s="84"/>
      <c r="B460" s="84"/>
      <c r="C460" s="85">
        <v>4740</v>
      </c>
      <c r="D460" s="88" t="s">
        <v>658</v>
      </c>
      <c r="E460" s="202">
        <f t="shared" si="63"/>
        <v>592</v>
      </c>
      <c r="F460" s="202">
        <f t="shared" si="64"/>
        <v>592</v>
      </c>
      <c r="G460" s="202"/>
      <c r="H460" s="202"/>
      <c r="I460" s="202"/>
      <c r="J460" s="202"/>
      <c r="K460" s="202"/>
      <c r="L460" s="202"/>
      <c r="M460" s="202">
        <f>600-8</f>
        <v>592</v>
      </c>
      <c r="N460" s="202"/>
    </row>
    <row r="461" spans="1:14" s="46" customFormat="1" ht="25.5">
      <c r="A461" s="84"/>
      <c r="B461" s="84"/>
      <c r="C461" s="85">
        <v>4750</v>
      </c>
      <c r="D461" s="88" t="s">
        <v>692</v>
      </c>
      <c r="E461" s="202">
        <f t="shared" si="63"/>
        <v>267</v>
      </c>
      <c r="F461" s="202">
        <f t="shared" si="64"/>
        <v>267</v>
      </c>
      <c r="G461" s="202"/>
      <c r="H461" s="202"/>
      <c r="I461" s="202"/>
      <c r="J461" s="202"/>
      <c r="K461" s="202"/>
      <c r="L461" s="202"/>
      <c r="M461" s="202">
        <f>100+167</f>
        <v>267</v>
      </c>
      <c r="N461" s="202"/>
    </row>
    <row r="462" spans="1:14" s="46" customFormat="1" ht="25.5">
      <c r="A462" s="84"/>
      <c r="B462" s="84"/>
      <c r="C462" s="85">
        <v>6060</v>
      </c>
      <c r="D462" s="88" t="s">
        <v>228</v>
      </c>
      <c r="E462" s="202">
        <f t="shared" si="63"/>
        <v>4500</v>
      </c>
      <c r="F462" s="202">
        <f t="shared" si="64"/>
        <v>0</v>
      </c>
      <c r="G462" s="202"/>
      <c r="H462" s="202"/>
      <c r="I462" s="202"/>
      <c r="J462" s="202"/>
      <c r="K462" s="202"/>
      <c r="L462" s="202"/>
      <c r="M462" s="202"/>
      <c r="N462" s="202">
        <v>4500</v>
      </c>
    </row>
    <row r="463" spans="1:14" s="79" customFormat="1" ht="12.75">
      <c r="A463" s="86"/>
      <c r="B463" s="86">
        <v>85333</v>
      </c>
      <c r="C463" s="89"/>
      <c r="D463" s="93" t="s">
        <v>40</v>
      </c>
      <c r="E463" s="215">
        <f t="shared" si="63"/>
        <v>1683534</v>
      </c>
      <c r="F463" s="215">
        <f t="shared" si="64"/>
        <v>1666464</v>
      </c>
      <c r="G463" s="215">
        <f>SUM(G464:G487)</f>
        <v>1123253</v>
      </c>
      <c r="H463" s="215">
        <f aca="true" t="shared" si="71" ref="H463:N463">SUM(H464:H487)</f>
        <v>84533</v>
      </c>
      <c r="I463" s="215">
        <f t="shared" si="71"/>
        <v>240182</v>
      </c>
      <c r="J463" s="215">
        <f t="shared" si="71"/>
        <v>0</v>
      </c>
      <c r="K463" s="215">
        <f t="shared" si="71"/>
        <v>0</v>
      </c>
      <c r="L463" s="215">
        <f t="shared" si="71"/>
        <v>0</v>
      </c>
      <c r="M463" s="215">
        <f t="shared" si="71"/>
        <v>218496</v>
      </c>
      <c r="N463" s="215">
        <f t="shared" si="71"/>
        <v>17070</v>
      </c>
    </row>
    <row r="464" spans="1:14" s="46" customFormat="1" ht="25.5">
      <c r="A464" s="84"/>
      <c r="B464" s="84"/>
      <c r="C464" s="85">
        <v>3020</v>
      </c>
      <c r="D464" s="88" t="s">
        <v>227</v>
      </c>
      <c r="E464" s="202">
        <f t="shared" si="63"/>
        <v>1000</v>
      </c>
      <c r="F464" s="202">
        <f t="shared" si="64"/>
        <v>1000</v>
      </c>
      <c r="G464" s="202"/>
      <c r="H464" s="202"/>
      <c r="I464" s="202"/>
      <c r="J464" s="202"/>
      <c r="K464" s="202"/>
      <c r="L464" s="202"/>
      <c r="M464" s="202">
        <f>780+220</f>
        <v>1000</v>
      </c>
      <c r="N464" s="202"/>
    </row>
    <row r="465" spans="1:14" s="46" customFormat="1" ht="25.5">
      <c r="A465" s="84"/>
      <c r="B465" s="84"/>
      <c r="C465" s="95">
        <v>4010</v>
      </c>
      <c r="D465" s="88" t="s">
        <v>624</v>
      </c>
      <c r="E465" s="202">
        <f t="shared" si="63"/>
        <v>1123253</v>
      </c>
      <c r="F465" s="202">
        <f t="shared" si="64"/>
        <v>1123253</v>
      </c>
      <c r="G465" s="202">
        <f>1021000+15529+93+51830+2467+32334</f>
        <v>1123253</v>
      </c>
      <c r="H465" s="202"/>
      <c r="I465" s="202"/>
      <c r="J465" s="202"/>
      <c r="K465" s="202"/>
      <c r="L465" s="202"/>
      <c r="M465" s="202"/>
      <c r="N465" s="202"/>
    </row>
    <row r="466" spans="1:14" s="46" customFormat="1" ht="12.75">
      <c r="A466" s="84"/>
      <c r="B466" s="84"/>
      <c r="C466" s="85">
        <v>4040</v>
      </c>
      <c r="D466" s="88" t="s">
        <v>625</v>
      </c>
      <c r="E466" s="202">
        <f t="shared" si="63"/>
        <v>84533</v>
      </c>
      <c r="F466" s="202">
        <f t="shared" si="64"/>
        <v>84533</v>
      </c>
      <c r="G466" s="202"/>
      <c r="H466" s="202">
        <f>87000-2467</f>
        <v>84533</v>
      </c>
      <c r="I466" s="202"/>
      <c r="J466" s="202"/>
      <c r="K466" s="202"/>
      <c r="L466" s="202"/>
      <c r="M466" s="202"/>
      <c r="N466" s="202"/>
    </row>
    <row r="467" spans="1:14" s="46" customFormat="1" ht="12.75">
      <c r="A467" s="84"/>
      <c r="B467" s="84"/>
      <c r="C467" s="85">
        <v>4110</v>
      </c>
      <c r="D467" s="88" t="s">
        <v>626</v>
      </c>
      <c r="E467" s="202">
        <f t="shared" si="63"/>
        <v>210051</v>
      </c>
      <c r="F467" s="202">
        <f t="shared" si="64"/>
        <v>210051</v>
      </c>
      <c r="G467" s="202"/>
      <c r="H467" s="202"/>
      <c r="I467" s="202">
        <f>195000+483+8910+5658</f>
        <v>210051</v>
      </c>
      <c r="J467" s="202"/>
      <c r="K467" s="202"/>
      <c r="L467" s="202"/>
      <c r="M467" s="202"/>
      <c r="N467" s="202"/>
    </row>
    <row r="468" spans="1:14" s="46" customFormat="1" ht="12.75">
      <c r="A468" s="84"/>
      <c r="B468" s="84"/>
      <c r="C468" s="85">
        <v>4120</v>
      </c>
      <c r="D468" s="88" t="s">
        <v>627</v>
      </c>
      <c r="E468" s="202">
        <f t="shared" si="63"/>
        <v>30131</v>
      </c>
      <c r="F468" s="202">
        <f t="shared" si="64"/>
        <v>30131</v>
      </c>
      <c r="G468" s="202"/>
      <c r="H468" s="202"/>
      <c r="I468" s="202">
        <f>28000+69+1270+792</f>
        <v>30131</v>
      </c>
      <c r="J468" s="202"/>
      <c r="K468" s="202"/>
      <c r="L468" s="202"/>
      <c r="M468" s="202"/>
      <c r="N468" s="202"/>
    </row>
    <row r="469" spans="1:14" s="46" customFormat="1" ht="12.75">
      <c r="A469" s="84"/>
      <c r="B469" s="84"/>
      <c r="C469" s="85">
        <v>4210</v>
      </c>
      <c r="D469" s="88" t="s">
        <v>629</v>
      </c>
      <c r="E469" s="202">
        <f t="shared" si="63"/>
        <v>37124</v>
      </c>
      <c r="F469" s="202">
        <f t="shared" si="64"/>
        <v>37124</v>
      </c>
      <c r="G469" s="202"/>
      <c r="H469" s="202"/>
      <c r="I469" s="202"/>
      <c r="J469" s="202"/>
      <c r="K469" s="202"/>
      <c r="L469" s="202"/>
      <c r="M469" s="202">
        <f>34100+3024</f>
        <v>37124</v>
      </c>
      <c r="N469" s="202"/>
    </row>
    <row r="470" spans="1:14" s="46" customFormat="1" ht="12.75">
      <c r="A470" s="84"/>
      <c r="B470" s="84"/>
      <c r="C470" s="85">
        <v>4260</v>
      </c>
      <c r="D470" s="88" t="s">
        <v>630</v>
      </c>
      <c r="E470" s="202">
        <f t="shared" si="63"/>
        <v>43500</v>
      </c>
      <c r="F470" s="202">
        <f t="shared" si="64"/>
        <v>43500</v>
      </c>
      <c r="G470" s="202"/>
      <c r="H470" s="202"/>
      <c r="I470" s="202"/>
      <c r="J470" s="202"/>
      <c r="K470" s="202"/>
      <c r="L470" s="202"/>
      <c r="M470" s="202">
        <v>43500</v>
      </c>
      <c r="N470" s="202"/>
    </row>
    <row r="471" spans="1:14" s="46" customFormat="1" ht="12.75">
      <c r="A471" s="84"/>
      <c r="B471" s="84"/>
      <c r="C471" s="85">
        <v>4270</v>
      </c>
      <c r="D471" s="88" t="s">
        <v>631</v>
      </c>
      <c r="E471" s="202">
        <f t="shared" si="63"/>
        <v>12500</v>
      </c>
      <c r="F471" s="202">
        <f t="shared" si="64"/>
        <v>12500</v>
      </c>
      <c r="G471" s="202"/>
      <c r="H471" s="202"/>
      <c r="I471" s="202"/>
      <c r="J471" s="202"/>
      <c r="K471" s="202"/>
      <c r="L471" s="202"/>
      <c r="M471" s="202">
        <f>2500+10000</f>
        <v>12500</v>
      </c>
      <c r="N471" s="202"/>
    </row>
    <row r="472" spans="1:14" s="46" customFormat="1" ht="12.75">
      <c r="A472" s="84"/>
      <c r="B472" s="84"/>
      <c r="C472" s="85">
        <v>4280</v>
      </c>
      <c r="D472" s="88" t="s">
        <v>41</v>
      </c>
      <c r="E472" s="202">
        <f t="shared" si="63"/>
        <v>1400</v>
      </c>
      <c r="F472" s="202">
        <f t="shared" si="64"/>
        <v>1400</v>
      </c>
      <c r="G472" s="202"/>
      <c r="H472" s="202"/>
      <c r="I472" s="202"/>
      <c r="J472" s="202"/>
      <c r="K472" s="202"/>
      <c r="L472" s="202"/>
      <c r="M472" s="202">
        <v>1400</v>
      </c>
      <c r="N472" s="202"/>
    </row>
    <row r="473" spans="1:14" s="46" customFormat="1" ht="12.75">
      <c r="A473" s="84"/>
      <c r="B473" s="84"/>
      <c r="C473" s="85">
        <v>4300</v>
      </c>
      <c r="D473" s="88" t="s">
        <v>42</v>
      </c>
      <c r="E473" s="202">
        <f t="shared" si="63"/>
        <v>11000</v>
      </c>
      <c r="F473" s="202">
        <f t="shared" si="64"/>
        <v>11000</v>
      </c>
      <c r="G473" s="202"/>
      <c r="H473" s="202"/>
      <c r="I473" s="202"/>
      <c r="J473" s="202"/>
      <c r="K473" s="202"/>
      <c r="L473" s="202"/>
      <c r="M473" s="202">
        <f>15000-215-2360-1425</f>
        <v>11000</v>
      </c>
      <c r="N473" s="202"/>
    </row>
    <row r="474" spans="1:14" s="46" customFormat="1" ht="25.5">
      <c r="A474" s="84"/>
      <c r="B474" s="84"/>
      <c r="C474" s="85">
        <v>4350</v>
      </c>
      <c r="D474" s="88" t="s">
        <v>633</v>
      </c>
      <c r="E474" s="202">
        <f t="shared" si="63"/>
        <v>0</v>
      </c>
      <c r="F474" s="202">
        <f t="shared" si="64"/>
        <v>0</v>
      </c>
      <c r="G474" s="202"/>
      <c r="H474" s="202"/>
      <c r="I474" s="202"/>
      <c r="J474" s="202"/>
      <c r="K474" s="202"/>
      <c r="L474" s="202"/>
      <c r="M474" s="202">
        <f>1000-1000</f>
        <v>0</v>
      </c>
      <c r="N474" s="202"/>
    </row>
    <row r="475" spans="1:14" s="46" customFormat="1" ht="38.25">
      <c r="A475" s="84"/>
      <c r="B475" s="84"/>
      <c r="C475" s="85">
        <v>4360</v>
      </c>
      <c r="D475" s="88" t="s">
        <v>1</v>
      </c>
      <c r="E475" s="202">
        <f aca="true" t="shared" si="72" ref="E475:E536">F475+N475</f>
        <v>1400</v>
      </c>
      <c r="F475" s="202">
        <f aca="true" t="shared" si="73" ref="F475:F536">SUM(G475:M475)</f>
        <v>1400</v>
      </c>
      <c r="G475" s="202"/>
      <c r="H475" s="202"/>
      <c r="I475" s="202"/>
      <c r="J475" s="202"/>
      <c r="K475" s="202"/>
      <c r="L475" s="202"/>
      <c r="M475" s="202">
        <v>1400</v>
      </c>
      <c r="N475" s="202"/>
    </row>
    <row r="476" spans="1:14" s="46" customFormat="1" ht="38.25">
      <c r="A476" s="84"/>
      <c r="B476" s="84"/>
      <c r="C476" s="85">
        <v>4370</v>
      </c>
      <c r="D476" s="88" t="s">
        <v>691</v>
      </c>
      <c r="E476" s="202">
        <f t="shared" si="72"/>
        <v>7017</v>
      </c>
      <c r="F476" s="202">
        <f t="shared" si="73"/>
        <v>7017</v>
      </c>
      <c r="G476" s="202"/>
      <c r="H476" s="202"/>
      <c r="I476" s="202"/>
      <c r="J476" s="202"/>
      <c r="K476" s="202"/>
      <c r="L476" s="202"/>
      <c r="M476" s="202">
        <f>4000+1017+2000</f>
        <v>7017</v>
      </c>
      <c r="N476" s="202"/>
    </row>
    <row r="477" spans="1:14" s="46" customFormat="1" ht="38.25">
      <c r="A477" s="84"/>
      <c r="B477" s="84"/>
      <c r="C477" s="85">
        <v>4400</v>
      </c>
      <c r="D477" s="88" t="s">
        <v>377</v>
      </c>
      <c r="E477" s="202">
        <f t="shared" si="72"/>
        <v>43086</v>
      </c>
      <c r="F477" s="202">
        <f t="shared" si="73"/>
        <v>43086</v>
      </c>
      <c r="G477" s="202"/>
      <c r="H477" s="202"/>
      <c r="I477" s="202"/>
      <c r="J477" s="202"/>
      <c r="K477" s="202"/>
      <c r="L477" s="202"/>
      <c r="M477" s="202">
        <f>45000-1914</f>
        <v>43086</v>
      </c>
      <c r="N477" s="202"/>
    </row>
    <row r="478" spans="1:14" s="46" customFormat="1" ht="12.75">
      <c r="A478" s="84"/>
      <c r="B478" s="84"/>
      <c r="C478" s="85">
        <v>4410</v>
      </c>
      <c r="D478" s="88" t="s">
        <v>639</v>
      </c>
      <c r="E478" s="202">
        <f t="shared" si="72"/>
        <v>754</v>
      </c>
      <c r="F478" s="202">
        <f t="shared" si="73"/>
        <v>754</v>
      </c>
      <c r="G478" s="202"/>
      <c r="H478" s="202"/>
      <c r="I478" s="202"/>
      <c r="J478" s="202"/>
      <c r="K478" s="202"/>
      <c r="L478" s="202"/>
      <c r="M478" s="202">
        <f>2800-2046</f>
        <v>754</v>
      </c>
      <c r="N478" s="202"/>
    </row>
    <row r="479" spans="1:14" s="46" customFormat="1" ht="12.75">
      <c r="A479" s="84"/>
      <c r="B479" s="84"/>
      <c r="C479" s="85">
        <v>4430</v>
      </c>
      <c r="D479" s="88" t="s">
        <v>640</v>
      </c>
      <c r="E479" s="202">
        <f t="shared" si="72"/>
        <v>4659</v>
      </c>
      <c r="F479" s="202">
        <f t="shared" si="73"/>
        <v>4659</v>
      </c>
      <c r="G479" s="202"/>
      <c r="H479" s="202"/>
      <c r="I479" s="202"/>
      <c r="J479" s="202"/>
      <c r="K479" s="202"/>
      <c r="L479" s="202"/>
      <c r="M479" s="202">
        <f>6300-387-1254</f>
        <v>4659</v>
      </c>
      <c r="N479" s="202"/>
    </row>
    <row r="480" spans="1:14" s="46" customFormat="1" ht="25.5">
      <c r="A480" s="84"/>
      <c r="B480" s="84"/>
      <c r="C480" s="85">
        <v>4440</v>
      </c>
      <c r="D480" s="88" t="s">
        <v>641</v>
      </c>
      <c r="E480" s="202">
        <f t="shared" si="72"/>
        <v>47536</v>
      </c>
      <c r="F480" s="202">
        <f t="shared" si="73"/>
        <v>47536</v>
      </c>
      <c r="G480" s="202"/>
      <c r="H480" s="202"/>
      <c r="I480" s="202"/>
      <c r="J480" s="202"/>
      <c r="K480" s="202"/>
      <c r="L480" s="202"/>
      <c r="M480" s="202">
        <f>43000+46+4490</f>
        <v>47536</v>
      </c>
      <c r="N480" s="202"/>
    </row>
    <row r="481" spans="1:14" s="46" customFormat="1" ht="12.75">
      <c r="A481" s="84"/>
      <c r="B481" s="84"/>
      <c r="C481" s="85">
        <v>4480</v>
      </c>
      <c r="D481" s="88" t="s">
        <v>642</v>
      </c>
      <c r="E481" s="202">
        <f t="shared" si="72"/>
        <v>3930</v>
      </c>
      <c r="F481" s="202">
        <f t="shared" si="73"/>
        <v>3930</v>
      </c>
      <c r="G481" s="202"/>
      <c r="H481" s="202"/>
      <c r="I481" s="202"/>
      <c r="J481" s="202"/>
      <c r="K481" s="202"/>
      <c r="L481" s="202"/>
      <c r="M481" s="202">
        <f>4100-170</f>
        <v>3930</v>
      </c>
      <c r="N481" s="202"/>
    </row>
    <row r="482" spans="1:14" s="46" customFormat="1" ht="12.75">
      <c r="A482" s="84"/>
      <c r="B482" s="84"/>
      <c r="C482" s="85">
        <v>4510</v>
      </c>
      <c r="D482" s="88" t="s">
        <v>301</v>
      </c>
      <c r="E482" s="202">
        <f t="shared" si="72"/>
        <v>2450</v>
      </c>
      <c r="F482" s="202">
        <f>SUM(G482:M482)</f>
        <v>2450</v>
      </c>
      <c r="G482" s="202"/>
      <c r="H482" s="202"/>
      <c r="I482" s="202"/>
      <c r="J482" s="202"/>
      <c r="K482" s="202"/>
      <c r="L482" s="202"/>
      <c r="M482" s="202">
        <v>2450</v>
      </c>
      <c r="N482" s="202"/>
    </row>
    <row r="483" spans="1:14" s="46" customFormat="1" ht="12.75">
      <c r="A483" s="84"/>
      <c r="B483" s="84"/>
      <c r="C483" s="85">
        <v>4520</v>
      </c>
      <c r="D483" s="88" t="s">
        <v>67</v>
      </c>
      <c r="E483" s="202">
        <f t="shared" si="72"/>
        <v>33</v>
      </c>
      <c r="F483" s="202">
        <f t="shared" si="73"/>
        <v>33</v>
      </c>
      <c r="G483" s="202"/>
      <c r="H483" s="202"/>
      <c r="I483" s="202"/>
      <c r="J483" s="202"/>
      <c r="K483" s="202"/>
      <c r="L483" s="202"/>
      <c r="M483" s="202">
        <f>50-17</f>
        <v>33</v>
      </c>
      <c r="N483" s="202"/>
    </row>
    <row r="484" spans="1:14" s="46" customFormat="1" ht="38.25">
      <c r="A484" s="84"/>
      <c r="B484" s="84"/>
      <c r="C484" s="85">
        <v>4700</v>
      </c>
      <c r="D484" s="88" t="s">
        <v>226</v>
      </c>
      <c r="E484" s="202">
        <f t="shared" si="72"/>
        <v>745</v>
      </c>
      <c r="F484" s="202">
        <f t="shared" si="73"/>
        <v>745</v>
      </c>
      <c r="G484" s="202"/>
      <c r="H484" s="202"/>
      <c r="I484" s="202"/>
      <c r="J484" s="202"/>
      <c r="K484" s="202"/>
      <c r="L484" s="202"/>
      <c r="M484" s="202">
        <f>385+360</f>
        <v>745</v>
      </c>
      <c r="N484" s="202"/>
    </row>
    <row r="485" spans="1:14" s="46" customFormat="1" ht="38.25">
      <c r="A485" s="84"/>
      <c r="B485" s="84"/>
      <c r="C485" s="85">
        <v>4740</v>
      </c>
      <c r="D485" s="88" t="s">
        <v>658</v>
      </c>
      <c r="E485" s="202">
        <f t="shared" si="72"/>
        <v>362</v>
      </c>
      <c r="F485" s="202">
        <f t="shared" si="73"/>
        <v>362</v>
      </c>
      <c r="G485" s="202"/>
      <c r="H485" s="202"/>
      <c r="I485" s="202"/>
      <c r="J485" s="202"/>
      <c r="K485" s="202"/>
      <c r="L485" s="202"/>
      <c r="M485" s="202">
        <f>1000-638</f>
        <v>362</v>
      </c>
      <c r="N485" s="202"/>
    </row>
    <row r="486" spans="1:14" s="46" customFormat="1" ht="25.5">
      <c r="A486" s="84"/>
      <c r="B486" s="84"/>
      <c r="C486" s="85">
        <v>6050</v>
      </c>
      <c r="D486" s="96" t="s">
        <v>671</v>
      </c>
      <c r="E486" s="202">
        <f t="shared" si="72"/>
        <v>0</v>
      </c>
      <c r="F486" s="202">
        <f t="shared" si="73"/>
        <v>0</v>
      </c>
      <c r="G486" s="202"/>
      <c r="H486" s="202"/>
      <c r="I486" s="202"/>
      <c r="J486" s="202"/>
      <c r="K486" s="202"/>
      <c r="L486" s="202"/>
      <c r="M486" s="202"/>
      <c r="N486" s="202">
        <v>0</v>
      </c>
    </row>
    <row r="487" spans="1:14" s="46" customFormat="1" ht="25.5">
      <c r="A487" s="84"/>
      <c r="B487" s="84"/>
      <c r="C487" s="85">
        <v>6060</v>
      </c>
      <c r="D487" s="96" t="s">
        <v>228</v>
      </c>
      <c r="E487" s="202">
        <f t="shared" si="72"/>
        <v>17070</v>
      </c>
      <c r="F487" s="202">
        <f t="shared" si="73"/>
        <v>0</v>
      </c>
      <c r="G487" s="202"/>
      <c r="H487" s="202"/>
      <c r="I487" s="202"/>
      <c r="J487" s="202"/>
      <c r="K487" s="202"/>
      <c r="L487" s="202"/>
      <c r="M487" s="202"/>
      <c r="N487" s="202">
        <f>15100+1970</f>
        <v>17070</v>
      </c>
    </row>
    <row r="488" spans="1:14" s="79" customFormat="1" ht="12.75">
      <c r="A488" s="104"/>
      <c r="B488" s="104">
        <v>85395</v>
      </c>
      <c r="C488" s="106"/>
      <c r="D488" s="93" t="s">
        <v>36</v>
      </c>
      <c r="E488" s="215">
        <f t="shared" si="72"/>
        <v>905467</v>
      </c>
      <c r="F488" s="215">
        <f t="shared" si="73"/>
        <v>905467</v>
      </c>
      <c r="G488" s="215">
        <f aca="true" t="shared" si="74" ref="G488:N488">SUM(G489:G491)</f>
        <v>0</v>
      </c>
      <c r="H488" s="215">
        <f t="shared" si="74"/>
        <v>0</v>
      </c>
      <c r="I488" s="215">
        <f t="shared" si="74"/>
        <v>160450</v>
      </c>
      <c r="J488" s="215">
        <f t="shared" si="74"/>
        <v>0</v>
      </c>
      <c r="K488" s="215">
        <f t="shared" si="74"/>
        <v>0</v>
      </c>
      <c r="L488" s="215">
        <f t="shared" si="74"/>
        <v>745017</v>
      </c>
      <c r="M488" s="215">
        <f t="shared" si="74"/>
        <v>0</v>
      </c>
      <c r="N488" s="215">
        <f t="shared" si="74"/>
        <v>0</v>
      </c>
    </row>
    <row r="489" spans="1:14" s="46" customFormat="1" ht="12.75">
      <c r="A489" s="103"/>
      <c r="B489" s="103"/>
      <c r="C489" s="105">
        <v>3118</v>
      </c>
      <c r="D489" s="88" t="s">
        <v>43</v>
      </c>
      <c r="E489" s="202">
        <f t="shared" si="72"/>
        <v>674401</v>
      </c>
      <c r="F489" s="202">
        <f t="shared" si="73"/>
        <v>674401</v>
      </c>
      <c r="G489" s="202"/>
      <c r="H489" s="202"/>
      <c r="I489" s="202"/>
      <c r="J489" s="202"/>
      <c r="K489" s="202"/>
      <c r="L489" s="333">
        <f>697279-12912-9966</f>
        <v>674401</v>
      </c>
      <c r="M489" s="333"/>
      <c r="N489" s="202"/>
    </row>
    <row r="490" spans="1:14" s="46" customFormat="1" ht="12.75">
      <c r="A490" s="103"/>
      <c r="B490" s="103"/>
      <c r="C490" s="105">
        <v>4118</v>
      </c>
      <c r="D490" s="102" t="s">
        <v>626</v>
      </c>
      <c r="E490" s="202">
        <f t="shared" si="72"/>
        <v>160450</v>
      </c>
      <c r="F490" s="202">
        <f>SUM(G490:K490)</f>
        <v>160450</v>
      </c>
      <c r="G490" s="202"/>
      <c r="H490" s="202"/>
      <c r="I490" s="333">
        <f>148508+13392-1450</f>
        <v>160450</v>
      </c>
      <c r="J490" s="202"/>
      <c r="K490" s="202"/>
      <c r="L490" s="216"/>
      <c r="M490" s="216"/>
      <c r="N490" s="202"/>
    </row>
    <row r="491" spans="1:14" s="46" customFormat="1" ht="12.75">
      <c r="A491" s="103"/>
      <c r="B491" s="103"/>
      <c r="C491" s="105">
        <v>4308</v>
      </c>
      <c r="D491" s="88" t="s">
        <v>44</v>
      </c>
      <c r="E491" s="202">
        <f t="shared" si="72"/>
        <v>70616</v>
      </c>
      <c r="F491" s="202">
        <f t="shared" si="73"/>
        <v>70616</v>
      </c>
      <c r="G491" s="202"/>
      <c r="H491" s="202"/>
      <c r="I491" s="202"/>
      <c r="J491" s="202"/>
      <c r="K491" s="202"/>
      <c r="L491" s="333">
        <f>59680-480+11416</f>
        <v>70616</v>
      </c>
      <c r="M491" s="333"/>
      <c r="N491" s="202"/>
    </row>
    <row r="492" spans="1:14" s="120" customFormat="1" ht="25.5">
      <c r="A492" s="81">
        <v>854</v>
      </c>
      <c r="B492" s="81"/>
      <c r="C492" s="82"/>
      <c r="D492" s="94" t="s">
        <v>45</v>
      </c>
      <c r="E492" s="214">
        <f>F492+N492</f>
        <v>8184816</v>
      </c>
      <c r="F492" s="214">
        <f t="shared" si="73"/>
        <v>8154766</v>
      </c>
      <c r="G492" s="214">
        <f aca="true" t="shared" si="75" ref="G492:N492">SUM(G493+G500+G523+G545+G579+G582+G540)</f>
        <v>1012045</v>
      </c>
      <c r="H492" s="214">
        <f t="shared" si="75"/>
        <v>70892</v>
      </c>
      <c r="I492" s="214">
        <f t="shared" si="75"/>
        <v>228887</v>
      </c>
      <c r="J492" s="214">
        <f t="shared" si="75"/>
        <v>5703230</v>
      </c>
      <c r="K492" s="214">
        <f t="shared" si="75"/>
        <v>0</v>
      </c>
      <c r="L492" s="214">
        <f t="shared" si="75"/>
        <v>311251</v>
      </c>
      <c r="M492" s="214">
        <f t="shared" si="75"/>
        <v>828461</v>
      </c>
      <c r="N492" s="214">
        <f t="shared" si="75"/>
        <v>30050</v>
      </c>
    </row>
    <row r="493" spans="1:14" s="79" customFormat="1" ht="12.75">
      <c r="A493" s="86"/>
      <c r="B493" s="86">
        <v>85401</v>
      </c>
      <c r="C493" s="89"/>
      <c r="D493" s="93" t="s">
        <v>46</v>
      </c>
      <c r="E493" s="215">
        <f t="shared" si="72"/>
        <v>196193</v>
      </c>
      <c r="F493" s="215">
        <f t="shared" si="73"/>
        <v>196193</v>
      </c>
      <c r="G493" s="215">
        <f aca="true" t="shared" si="76" ref="G493:N493">SUM(G494:G499)</f>
        <v>148304</v>
      </c>
      <c r="H493" s="215">
        <f t="shared" si="76"/>
        <v>10298</v>
      </c>
      <c r="I493" s="215">
        <f t="shared" si="76"/>
        <v>30185</v>
      </c>
      <c r="J493" s="215">
        <f t="shared" si="76"/>
        <v>0</v>
      </c>
      <c r="K493" s="215">
        <f t="shared" si="76"/>
        <v>0</v>
      </c>
      <c r="L493" s="215">
        <f t="shared" si="76"/>
        <v>0</v>
      </c>
      <c r="M493" s="215">
        <f t="shared" si="76"/>
        <v>7406</v>
      </c>
      <c r="N493" s="215">
        <f t="shared" si="76"/>
        <v>0</v>
      </c>
    </row>
    <row r="494" spans="1:14" s="46" customFormat="1" ht="25.5">
      <c r="A494" s="84"/>
      <c r="B494" s="84"/>
      <c r="C494" s="85">
        <v>3020</v>
      </c>
      <c r="D494" s="88" t="s">
        <v>227</v>
      </c>
      <c r="E494" s="202">
        <f t="shared" si="72"/>
        <v>190</v>
      </c>
      <c r="F494" s="202">
        <f t="shared" si="73"/>
        <v>190</v>
      </c>
      <c r="G494" s="202"/>
      <c r="H494" s="202"/>
      <c r="I494" s="202"/>
      <c r="J494" s="202"/>
      <c r="K494" s="202"/>
      <c r="L494" s="202"/>
      <c r="M494" s="202">
        <v>190</v>
      </c>
      <c r="N494" s="202"/>
    </row>
    <row r="495" spans="1:14" s="46" customFormat="1" ht="25.5">
      <c r="A495" s="84"/>
      <c r="B495" s="84"/>
      <c r="C495" s="85">
        <v>4010</v>
      </c>
      <c r="D495" s="88" t="s">
        <v>624</v>
      </c>
      <c r="E495" s="202">
        <f t="shared" si="72"/>
        <v>148304</v>
      </c>
      <c r="F495" s="202">
        <f t="shared" si="73"/>
        <v>148304</v>
      </c>
      <c r="G495" s="202">
        <f>129640+2250+16414</f>
        <v>148304</v>
      </c>
      <c r="H495" s="202"/>
      <c r="I495" s="202"/>
      <c r="J495" s="202"/>
      <c r="K495" s="202"/>
      <c r="L495" s="202"/>
      <c r="M495" s="202"/>
      <c r="N495" s="202"/>
    </row>
    <row r="496" spans="1:14" s="46" customFormat="1" ht="12.75">
      <c r="A496" s="84"/>
      <c r="B496" s="84"/>
      <c r="C496" s="85">
        <v>4040</v>
      </c>
      <c r="D496" s="88" t="s">
        <v>625</v>
      </c>
      <c r="E496" s="202">
        <f t="shared" si="72"/>
        <v>10298</v>
      </c>
      <c r="F496" s="202">
        <f t="shared" si="73"/>
        <v>10298</v>
      </c>
      <c r="G496" s="202"/>
      <c r="H496" s="202">
        <f>10820-522</f>
        <v>10298</v>
      </c>
      <c r="I496" s="202"/>
      <c r="J496" s="202"/>
      <c r="K496" s="202"/>
      <c r="L496" s="202"/>
      <c r="M496" s="202"/>
      <c r="N496" s="202"/>
    </row>
    <row r="497" spans="1:14" s="46" customFormat="1" ht="12.75">
      <c r="A497" s="84"/>
      <c r="B497" s="84"/>
      <c r="C497" s="85">
        <v>4110</v>
      </c>
      <c r="D497" s="88" t="s">
        <v>687</v>
      </c>
      <c r="E497" s="202">
        <f t="shared" si="72"/>
        <v>26590</v>
      </c>
      <c r="F497" s="202">
        <f t="shared" si="73"/>
        <v>26590</v>
      </c>
      <c r="G497" s="202"/>
      <c r="H497" s="202"/>
      <c r="I497" s="202">
        <f>23710+394+2486</f>
        <v>26590</v>
      </c>
      <c r="J497" s="202"/>
      <c r="K497" s="202"/>
      <c r="L497" s="202"/>
      <c r="M497" s="202"/>
      <c r="N497" s="202"/>
    </row>
    <row r="498" spans="1:14" s="46" customFormat="1" ht="12.75">
      <c r="A498" s="84"/>
      <c r="B498" s="84"/>
      <c r="C498" s="85">
        <v>4120</v>
      </c>
      <c r="D498" s="88" t="s">
        <v>627</v>
      </c>
      <c r="E498" s="202">
        <f t="shared" si="72"/>
        <v>3595</v>
      </c>
      <c r="F498" s="202">
        <f t="shared" si="73"/>
        <v>3595</v>
      </c>
      <c r="G498" s="202"/>
      <c r="H498" s="202"/>
      <c r="I498" s="202">
        <f>3440+55+100</f>
        <v>3595</v>
      </c>
      <c r="J498" s="202"/>
      <c r="K498" s="202"/>
      <c r="L498" s="202"/>
      <c r="M498" s="202"/>
      <c r="N498" s="202"/>
    </row>
    <row r="499" spans="1:14" s="46" customFormat="1" ht="25.5">
      <c r="A499" s="84"/>
      <c r="B499" s="84"/>
      <c r="C499" s="85">
        <v>4440</v>
      </c>
      <c r="D499" s="88" t="s">
        <v>641</v>
      </c>
      <c r="E499" s="202">
        <f t="shared" si="72"/>
        <v>7216</v>
      </c>
      <c r="F499" s="202">
        <f t="shared" si="73"/>
        <v>7216</v>
      </c>
      <c r="G499" s="202"/>
      <c r="H499" s="202"/>
      <c r="I499" s="202"/>
      <c r="J499" s="202"/>
      <c r="K499" s="202"/>
      <c r="L499" s="202"/>
      <c r="M499" s="202">
        <f>6930+286</f>
        <v>7216</v>
      </c>
      <c r="N499" s="202"/>
    </row>
    <row r="500" spans="1:14" s="79" customFormat="1" ht="38.25">
      <c r="A500" s="86"/>
      <c r="B500" s="86">
        <v>85406</v>
      </c>
      <c r="C500" s="89"/>
      <c r="D500" s="93" t="s">
        <v>47</v>
      </c>
      <c r="E500" s="215">
        <f t="shared" si="72"/>
        <v>835328</v>
      </c>
      <c r="F500" s="215">
        <f t="shared" si="73"/>
        <v>835328</v>
      </c>
      <c r="G500" s="215">
        <f aca="true" t="shared" si="77" ref="G500:N500">SUM(G501:G522)</f>
        <v>379838</v>
      </c>
      <c r="H500" s="215">
        <f t="shared" si="77"/>
        <v>27930</v>
      </c>
      <c r="I500" s="215">
        <f t="shared" si="77"/>
        <v>81146</v>
      </c>
      <c r="J500" s="215">
        <f>SUM(J501:J522)</f>
        <v>267557</v>
      </c>
      <c r="K500" s="215">
        <f t="shared" si="77"/>
        <v>0</v>
      </c>
      <c r="L500" s="215">
        <f t="shared" si="77"/>
        <v>0</v>
      </c>
      <c r="M500" s="215">
        <f t="shared" si="77"/>
        <v>78857</v>
      </c>
      <c r="N500" s="215">
        <f t="shared" si="77"/>
        <v>0</v>
      </c>
    </row>
    <row r="501" spans="1:14" s="46" customFormat="1" ht="63.75">
      <c r="A501" s="84"/>
      <c r="B501" s="84"/>
      <c r="C501" s="85">
        <v>2310</v>
      </c>
      <c r="D501" s="88" t="s">
        <v>48</v>
      </c>
      <c r="E501" s="202">
        <f t="shared" si="72"/>
        <v>267557</v>
      </c>
      <c r="F501" s="202">
        <f>SUM(G501:K501)</f>
        <v>267557</v>
      </c>
      <c r="G501" s="202"/>
      <c r="H501" s="202"/>
      <c r="I501" s="202"/>
      <c r="J501" s="202">
        <f>263000+4557</f>
        <v>267557</v>
      </c>
      <c r="K501" s="202"/>
      <c r="L501" s="202"/>
      <c r="M501" s="216"/>
      <c r="N501" s="202"/>
    </row>
    <row r="502" spans="1:14" s="46" customFormat="1" ht="25.5">
      <c r="A502" s="84"/>
      <c r="B502" s="84"/>
      <c r="C502" s="85">
        <v>3020</v>
      </c>
      <c r="D502" s="88" t="s">
        <v>227</v>
      </c>
      <c r="E502" s="202">
        <f t="shared" si="72"/>
        <v>8200</v>
      </c>
      <c r="F502" s="202">
        <f t="shared" si="73"/>
        <v>8200</v>
      </c>
      <c r="G502" s="202"/>
      <c r="H502" s="202"/>
      <c r="I502" s="202"/>
      <c r="J502" s="202"/>
      <c r="K502" s="202"/>
      <c r="L502" s="202"/>
      <c r="M502" s="202">
        <f>8700-500</f>
        <v>8200</v>
      </c>
      <c r="N502" s="202"/>
    </row>
    <row r="503" spans="1:14" s="46" customFormat="1" ht="25.5">
      <c r="A503" s="84"/>
      <c r="B503" s="84"/>
      <c r="C503" s="85">
        <v>4010</v>
      </c>
      <c r="D503" s="88" t="s">
        <v>624</v>
      </c>
      <c r="E503" s="202">
        <f t="shared" si="72"/>
        <v>379838</v>
      </c>
      <c r="F503" s="202">
        <f t="shared" si="73"/>
        <v>379838</v>
      </c>
      <c r="G503" s="202">
        <f>372260+5400+2178</f>
        <v>379838</v>
      </c>
      <c r="H503" s="202"/>
      <c r="I503" s="202"/>
      <c r="J503" s="202"/>
      <c r="K503" s="202"/>
      <c r="L503" s="202"/>
      <c r="M503" s="202"/>
      <c r="N503" s="202"/>
    </row>
    <row r="504" spans="1:14" s="46" customFormat="1" ht="12.75">
      <c r="A504" s="84"/>
      <c r="B504" s="84"/>
      <c r="C504" s="85">
        <v>4040</v>
      </c>
      <c r="D504" s="88" t="s">
        <v>625</v>
      </c>
      <c r="E504" s="202">
        <f t="shared" si="72"/>
        <v>27930</v>
      </c>
      <c r="F504" s="202">
        <f t="shared" si="73"/>
        <v>27930</v>
      </c>
      <c r="G504" s="202"/>
      <c r="H504" s="202">
        <f>28910-980</f>
        <v>27930</v>
      </c>
      <c r="I504" s="202"/>
      <c r="J504" s="202"/>
      <c r="K504" s="202"/>
      <c r="L504" s="202"/>
      <c r="M504" s="202"/>
      <c r="N504" s="202"/>
    </row>
    <row r="505" spans="1:14" s="46" customFormat="1" ht="12.75">
      <c r="A505" s="84"/>
      <c r="B505" s="84"/>
      <c r="C505" s="85">
        <v>4110</v>
      </c>
      <c r="D505" s="88" t="s">
        <v>687</v>
      </c>
      <c r="E505" s="202">
        <f t="shared" si="72"/>
        <v>71168</v>
      </c>
      <c r="F505" s="202">
        <f t="shared" si="73"/>
        <v>71168</v>
      </c>
      <c r="G505" s="202"/>
      <c r="H505" s="202"/>
      <c r="I505" s="202">
        <f>67720+381+675+2392</f>
        <v>71168</v>
      </c>
      <c r="J505" s="202"/>
      <c r="K505" s="202"/>
      <c r="L505" s="202"/>
      <c r="M505" s="202"/>
      <c r="N505" s="202"/>
    </row>
    <row r="506" spans="1:14" s="46" customFormat="1" ht="12.75">
      <c r="A506" s="84"/>
      <c r="B506" s="84"/>
      <c r="C506" s="85">
        <v>4120</v>
      </c>
      <c r="D506" s="88" t="s">
        <v>627</v>
      </c>
      <c r="E506" s="202">
        <f t="shared" si="72"/>
        <v>9978</v>
      </c>
      <c r="F506" s="202">
        <f t="shared" si="73"/>
        <v>9978</v>
      </c>
      <c r="G506" s="202"/>
      <c r="H506" s="202"/>
      <c r="I506" s="202">
        <f>9830+53+95</f>
        <v>9978</v>
      </c>
      <c r="J506" s="202"/>
      <c r="K506" s="202"/>
      <c r="L506" s="202"/>
      <c r="M506" s="202"/>
      <c r="N506" s="202"/>
    </row>
    <row r="507" spans="1:14" s="46" customFormat="1" ht="12.75">
      <c r="A507" s="84"/>
      <c r="B507" s="84"/>
      <c r="C507" s="85">
        <v>4170</v>
      </c>
      <c r="D507" s="88" t="s">
        <v>28</v>
      </c>
      <c r="E507" s="202">
        <f t="shared" si="72"/>
        <v>6820</v>
      </c>
      <c r="F507" s="202">
        <f t="shared" si="73"/>
        <v>6820</v>
      </c>
      <c r="G507" s="202"/>
      <c r="H507" s="202"/>
      <c r="I507" s="202"/>
      <c r="J507" s="202"/>
      <c r="K507" s="202"/>
      <c r="L507" s="202"/>
      <c r="M507" s="202">
        <f>1540+2000-590+3870</f>
        <v>6820</v>
      </c>
      <c r="N507" s="202"/>
    </row>
    <row r="508" spans="1:14" s="46" customFormat="1" ht="12.75">
      <c r="A508" s="84"/>
      <c r="B508" s="84"/>
      <c r="C508" s="85">
        <v>4210</v>
      </c>
      <c r="D508" s="88" t="s">
        <v>629</v>
      </c>
      <c r="E508" s="202">
        <f t="shared" si="72"/>
        <v>10095</v>
      </c>
      <c r="F508" s="202">
        <f t="shared" si="73"/>
        <v>10095</v>
      </c>
      <c r="G508" s="202"/>
      <c r="H508" s="202"/>
      <c r="I508" s="202"/>
      <c r="J508" s="202"/>
      <c r="K508" s="202"/>
      <c r="L508" s="202"/>
      <c r="M508" s="202">
        <f>3810+1000+1804+3481</f>
        <v>10095</v>
      </c>
      <c r="N508" s="202"/>
    </row>
    <row r="509" spans="1:14" s="46" customFormat="1" ht="25.5">
      <c r="A509" s="84"/>
      <c r="B509" s="84"/>
      <c r="C509" s="85">
        <v>4240</v>
      </c>
      <c r="D509" s="88" t="s">
        <v>0</v>
      </c>
      <c r="E509" s="202">
        <f t="shared" si="72"/>
        <v>2020</v>
      </c>
      <c r="F509" s="202">
        <f t="shared" si="73"/>
        <v>2020</v>
      </c>
      <c r="G509" s="202"/>
      <c r="H509" s="202"/>
      <c r="I509" s="202"/>
      <c r="J509" s="202"/>
      <c r="K509" s="202"/>
      <c r="L509" s="202"/>
      <c r="M509" s="202">
        <f>1020+1000</f>
        <v>2020</v>
      </c>
      <c r="N509" s="202"/>
    </row>
    <row r="510" spans="1:14" s="46" customFormat="1" ht="12.75">
      <c r="A510" s="84"/>
      <c r="B510" s="84"/>
      <c r="C510" s="85">
        <v>4260</v>
      </c>
      <c r="D510" s="88" t="s">
        <v>630</v>
      </c>
      <c r="E510" s="202">
        <f t="shared" si="72"/>
        <v>11920</v>
      </c>
      <c r="F510" s="202">
        <f t="shared" si="73"/>
        <v>11920</v>
      </c>
      <c r="G510" s="202"/>
      <c r="H510" s="202"/>
      <c r="I510" s="202"/>
      <c r="J510" s="202"/>
      <c r="K510" s="202"/>
      <c r="L510" s="202"/>
      <c r="M510" s="202">
        <v>11920</v>
      </c>
      <c r="N510" s="202"/>
    </row>
    <row r="511" spans="1:14" s="46" customFormat="1" ht="12.75">
      <c r="A511" s="84"/>
      <c r="B511" s="84"/>
      <c r="C511" s="85">
        <v>4270</v>
      </c>
      <c r="D511" s="88" t="s">
        <v>631</v>
      </c>
      <c r="E511" s="202">
        <f t="shared" si="72"/>
        <v>960</v>
      </c>
      <c r="F511" s="202">
        <f t="shared" si="73"/>
        <v>960</v>
      </c>
      <c r="G511" s="202"/>
      <c r="H511" s="202"/>
      <c r="I511" s="202"/>
      <c r="J511" s="202"/>
      <c r="K511" s="202"/>
      <c r="L511" s="202"/>
      <c r="M511" s="202">
        <f>1760-800</f>
        <v>960</v>
      </c>
      <c r="N511" s="202"/>
    </row>
    <row r="512" spans="1:14" s="46" customFormat="1" ht="12.75">
      <c r="A512" s="84"/>
      <c r="B512" s="84"/>
      <c r="C512" s="85">
        <v>4280</v>
      </c>
      <c r="D512" s="88" t="s">
        <v>632</v>
      </c>
      <c r="E512" s="202">
        <f t="shared" si="72"/>
        <v>150</v>
      </c>
      <c r="F512" s="202">
        <f t="shared" si="73"/>
        <v>150</v>
      </c>
      <c r="G512" s="202"/>
      <c r="H512" s="202"/>
      <c r="I512" s="202"/>
      <c r="J512" s="202"/>
      <c r="K512" s="202"/>
      <c r="L512" s="202"/>
      <c r="M512" s="202">
        <v>150</v>
      </c>
      <c r="N512" s="202"/>
    </row>
    <row r="513" spans="1:14" s="46" customFormat="1" ht="12.75">
      <c r="A513" s="84"/>
      <c r="B513" s="84"/>
      <c r="C513" s="85">
        <v>4300</v>
      </c>
      <c r="D513" s="88" t="s">
        <v>666</v>
      </c>
      <c r="E513" s="202">
        <f t="shared" si="72"/>
        <v>2950</v>
      </c>
      <c r="F513" s="202">
        <f t="shared" si="73"/>
        <v>2950</v>
      </c>
      <c r="G513" s="202"/>
      <c r="H513" s="202"/>
      <c r="I513" s="202"/>
      <c r="J513" s="202"/>
      <c r="K513" s="202"/>
      <c r="L513" s="202"/>
      <c r="M513" s="202">
        <f>750+1900+300</f>
        <v>2950</v>
      </c>
      <c r="N513" s="202"/>
    </row>
    <row r="514" spans="1:14" s="46" customFormat="1" ht="25.5">
      <c r="A514" s="84"/>
      <c r="B514" s="84"/>
      <c r="C514" s="85">
        <v>4350</v>
      </c>
      <c r="D514" s="88" t="s">
        <v>633</v>
      </c>
      <c r="E514" s="202">
        <f t="shared" si="72"/>
        <v>960</v>
      </c>
      <c r="F514" s="202">
        <f t="shared" si="73"/>
        <v>960</v>
      </c>
      <c r="G514" s="202"/>
      <c r="H514" s="202"/>
      <c r="I514" s="202"/>
      <c r="J514" s="202"/>
      <c r="K514" s="202"/>
      <c r="L514" s="202"/>
      <c r="M514" s="202">
        <f>1440-480</f>
        <v>960</v>
      </c>
      <c r="N514" s="202"/>
    </row>
    <row r="515" spans="1:14" s="46" customFormat="1" ht="38.25">
      <c r="A515" s="84"/>
      <c r="B515" s="84"/>
      <c r="C515" s="85">
        <v>4370</v>
      </c>
      <c r="D515" s="88" t="s">
        <v>691</v>
      </c>
      <c r="E515" s="202">
        <f t="shared" si="72"/>
        <v>5000</v>
      </c>
      <c r="F515" s="202">
        <f t="shared" si="73"/>
        <v>5000</v>
      </c>
      <c r="G515" s="202"/>
      <c r="H515" s="202"/>
      <c r="I515" s="202"/>
      <c r="J515" s="202"/>
      <c r="K515" s="202"/>
      <c r="L515" s="202"/>
      <c r="M515" s="202">
        <f>5500-500</f>
        <v>5000</v>
      </c>
      <c r="N515" s="202"/>
    </row>
    <row r="516" spans="1:14" s="46" customFormat="1" ht="12.75">
      <c r="A516" s="84"/>
      <c r="B516" s="84"/>
      <c r="C516" s="85">
        <v>4410</v>
      </c>
      <c r="D516" s="88" t="s">
        <v>639</v>
      </c>
      <c r="E516" s="202">
        <f t="shared" si="72"/>
        <v>2700</v>
      </c>
      <c r="F516" s="202">
        <f t="shared" si="73"/>
        <v>2700</v>
      </c>
      <c r="G516" s="202"/>
      <c r="H516" s="202"/>
      <c r="I516" s="202"/>
      <c r="J516" s="202"/>
      <c r="K516" s="202"/>
      <c r="L516" s="202"/>
      <c r="M516" s="202">
        <f>3450-750</f>
        <v>2700</v>
      </c>
      <c r="N516" s="202"/>
    </row>
    <row r="517" spans="1:14" s="46" customFormat="1" ht="12.75">
      <c r="A517" s="84"/>
      <c r="B517" s="84"/>
      <c r="C517" s="85">
        <v>4430</v>
      </c>
      <c r="D517" s="88" t="s">
        <v>640</v>
      </c>
      <c r="E517" s="202">
        <f t="shared" si="72"/>
        <v>309</v>
      </c>
      <c r="F517" s="202">
        <f t="shared" si="73"/>
        <v>309</v>
      </c>
      <c r="G517" s="202"/>
      <c r="H517" s="202"/>
      <c r="I517" s="202"/>
      <c r="J517" s="202"/>
      <c r="K517" s="202"/>
      <c r="L517" s="202"/>
      <c r="M517" s="202">
        <f>600-200-91</f>
        <v>309</v>
      </c>
      <c r="N517" s="202"/>
    </row>
    <row r="518" spans="1:14" s="46" customFormat="1" ht="25.5">
      <c r="A518" s="84"/>
      <c r="B518" s="84"/>
      <c r="C518" s="85">
        <v>4440</v>
      </c>
      <c r="D518" s="88" t="s">
        <v>641</v>
      </c>
      <c r="E518" s="202">
        <f t="shared" si="72"/>
        <v>23052</v>
      </c>
      <c r="F518" s="202">
        <f t="shared" si="73"/>
        <v>23052</v>
      </c>
      <c r="G518" s="202"/>
      <c r="H518" s="202"/>
      <c r="I518" s="202"/>
      <c r="J518" s="202"/>
      <c r="K518" s="202"/>
      <c r="L518" s="202"/>
      <c r="M518" s="202">
        <f>22440+612</f>
        <v>23052</v>
      </c>
      <c r="N518" s="202"/>
    </row>
    <row r="519" spans="1:14" s="46" customFormat="1" ht="12.75">
      <c r="A519" s="84"/>
      <c r="B519" s="84"/>
      <c r="C519" s="85">
        <v>4510</v>
      </c>
      <c r="D519" s="88" t="s">
        <v>301</v>
      </c>
      <c r="E519" s="202">
        <f t="shared" si="72"/>
        <v>200</v>
      </c>
      <c r="F519" s="202">
        <f t="shared" si="73"/>
        <v>200</v>
      </c>
      <c r="G519" s="202"/>
      <c r="H519" s="202"/>
      <c r="I519" s="202"/>
      <c r="J519" s="202"/>
      <c r="K519" s="202"/>
      <c r="L519" s="202"/>
      <c r="M519" s="202">
        <v>200</v>
      </c>
      <c r="N519" s="202"/>
    </row>
    <row r="520" spans="1:14" s="46" customFormat="1" ht="38.25">
      <c r="A520" s="84"/>
      <c r="B520" s="84"/>
      <c r="C520" s="85">
        <v>4700</v>
      </c>
      <c r="D520" s="88" t="s">
        <v>226</v>
      </c>
      <c r="E520" s="202">
        <f t="shared" si="72"/>
        <v>220</v>
      </c>
      <c r="F520" s="202">
        <f t="shared" si="73"/>
        <v>220</v>
      </c>
      <c r="G520" s="202"/>
      <c r="H520" s="202"/>
      <c r="I520" s="202"/>
      <c r="J520" s="202"/>
      <c r="K520" s="202"/>
      <c r="L520" s="202"/>
      <c r="M520" s="202">
        <f>820-600</f>
        <v>220</v>
      </c>
      <c r="N520" s="202"/>
    </row>
    <row r="521" spans="1:14" s="46" customFormat="1" ht="38.25">
      <c r="A521" s="84"/>
      <c r="B521" s="84"/>
      <c r="C521" s="85">
        <v>4740</v>
      </c>
      <c r="D521" s="88" t="s">
        <v>658</v>
      </c>
      <c r="E521" s="202">
        <f t="shared" si="72"/>
        <v>1090</v>
      </c>
      <c r="F521" s="202">
        <f t="shared" si="73"/>
        <v>1090</v>
      </c>
      <c r="G521" s="202"/>
      <c r="H521" s="202"/>
      <c r="I521" s="202"/>
      <c r="J521" s="202"/>
      <c r="K521" s="202"/>
      <c r="L521" s="202"/>
      <c r="M521" s="202">
        <f>1530-500+60</f>
        <v>1090</v>
      </c>
      <c r="N521" s="202"/>
    </row>
    <row r="522" spans="1:14" s="46" customFormat="1" ht="25.5">
      <c r="A522" s="84"/>
      <c r="B522" s="84"/>
      <c r="C522" s="85">
        <v>4750</v>
      </c>
      <c r="D522" s="88" t="s">
        <v>692</v>
      </c>
      <c r="E522" s="202">
        <f t="shared" si="72"/>
        <v>2211</v>
      </c>
      <c r="F522" s="202">
        <f t="shared" si="73"/>
        <v>2211</v>
      </c>
      <c r="G522" s="202"/>
      <c r="H522" s="202"/>
      <c r="I522" s="202"/>
      <c r="J522" s="202"/>
      <c r="K522" s="202"/>
      <c r="L522" s="202"/>
      <c r="M522" s="202">
        <f>820+500+590+301</f>
        <v>2211</v>
      </c>
      <c r="N522" s="202"/>
    </row>
    <row r="523" spans="1:14" s="79" customFormat="1" ht="12.75">
      <c r="A523" s="122"/>
      <c r="B523" s="86">
        <v>85410</v>
      </c>
      <c r="C523" s="89"/>
      <c r="D523" s="93" t="s">
        <v>49</v>
      </c>
      <c r="E523" s="215">
        <f t="shared" si="72"/>
        <v>1135535</v>
      </c>
      <c r="F523" s="215">
        <f t="shared" si="73"/>
        <v>1105485</v>
      </c>
      <c r="G523" s="215">
        <f>SUM(G524:G539)</f>
        <v>463360</v>
      </c>
      <c r="H523" s="215">
        <f aca="true" t="shared" si="78" ref="H523:N523">SUM(H524:H539)</f>
        <v>32664</v>
      </c>
      <c r="I523" s="215">
        <f t="shared" si="78"/>
        <v>99177</v>
      </c>
      <c r="J523" s="215">
        <f t="shared" si="78"/>
        <v>0</v>
      </c>
      <c r="K523" s="215">
        <f t="shared" si="78"/>
        <v>0</v>
      </c>
      <c r="L523" s="215">
        <f t="shared" si="78"/>
        <v>0</v>
      </c>
      <c r="M523" s="215">
        <f t="shared" si="78"/>
        <v>510284</v>
      </c>
      <c r="N523" s="215">
        <f t="shared" si="78"/>
        <v>30050</v>
      </c>
    </row>
    <row r="524" spans="1:14" s="46" customFormat="1" ht="25.5">
      <c r="A524" s="111"/>
      <c r="B524" s="84"/>
      <c r="C524" s="85">
        <v>3020</v>
      </c>
      <c r="D524" s="88" t="s">
        <v>227</v>
      </c>
      <c r="E524" s="202">
        <f t="shared" si="72"/>
        <v>26200</v>
      </c>
      <c r="F524" s="202">
        <f t="shared" si="73"/>
        <v>26200</v>
      </c>
      <c r="G524" s="202"/>
      <c r="H524" s="202"/>
      <c r="I524" s="202"/>
      <c r="J524" s="202"/>
      <c r="K524" s="202"/>
      <c r="L524" s="202"/>
      <c r="M524" s="202">
        <f>22620+3580</f>
        <v>26200</v>
      </c>
      <c r="N524" s="202"/>
    </row>
    <row r="525" spans="1:14" s="46" customFormat="1" ht="25.5">
      <c r="A525" s="111"/>
      <c r="B525" s="84"/>
      <c r="C525" s="85">
        <v>4010</v>
      </c>
      <c r="D525" s="88" t="s">
        <v>624</v>
      </c>
      <c r="E525" s="202">
        <f t="shared" si="72"/>
        <v>463360</v>
      </c>
      <c r="F525" s="202">
        <f t="shared" si="73"/>
        <v>463360</v>
      </c>
      <c r="G525" s="202">
        <f>439860+6000+17500</f>
        <v>463360</v>
      </c>
      <c r="H525" s="202"/>
      <c r="I525" s="202"/>
      <c r="J525" s="202"/>
      <c r="K525" s="202"/>
      <c r="L525" s="202"/>
      <c r="M525" s="202"/>
      <c r="N525" s="202"/>
    </row>
    <row r="526" spans="1:14" s="46" customFormat="1" ht="12.75">
      <c r="A526" s="111"/>
      <c r="B526" s="84"/>
      <c r="C526" s="85">
        <v>4040</v>
      </c>
      <c r="D526" s="88" t="s">
        <v>625</v>
      </c>
      <c r="E526" s="202">
        <f t="shared" si="72"/>
        <v>32664</v>
      </c>
      <c r="F526" s="202">
        <f t="shared" si="73"/>
        <v>32664</v>
      </c>
      <c r="G526" s="202"/>
      <c r="H526" s="202">
        <f>34740-2076</f>
        <v>32664</v>
      </c>
      <c r="I526" s="202"/>
      <c r="J526" s="202"/>
      <c r="K526" s="202"/>
      <c r="L526" s="202"/>
      <c r="M526" s="202"/>
      <c r="N526" s="202"/>
    </row>
    <row r="527" spans="1:14" s="46" customFormat="1" ht="12.75">
      <c r="A527" s="111"/>
      <c r="B527" s="84"/>
      <c r="C527" s="85">
        <v>4110</v>
      </c>
      <c r="D527" s="88" t="s">
        <v>687</v>
      </c>
      <c r="E527" s="202">
        <f t="shared" si="72"/>
        <v>86910</v>
      </c>
      <c r="F527" s="202">
        <f t="shared" si="73"/>
        <v>86910</v>
      </c>
      <c r="G527" s="202"/>
      <c r="H527" s="202"/>
      <c r="I527" s="202">
        <f>80110+3126+3674</f>
        <v>86910</v>
      </c>
      <c r="J527" s="202"/>
      <c r="K527" s="202"/>
      <c r="L527" s="202"/>
      <c r="M527" s="202"/>
      <c r="N527" s="202"/>
    </row>
    <row r="528" spans="1:14" s="46" customFormat="1" ht="12.75">
      <c r="A528" s="111"/>
      <c r="B528" s="84"/>
      <c r="C528" s="85">
        <v>4120</v>
      </c>
      <c r="D528" s="88" t="s">
        <v>627</v>
      </c>
      <c r="E528" s="202">
        <f t="shared" si="72"/>
        <v>12267</v>
      </c>
      <c r="F528" s="202">
        <f t="shared" si="73"/>
        <v>12267</v>
      </c>
      <c r="G528" s="202"/>
      <c r="H528" s="202"/>
      <c r="I528" s="202">
        <f>11630+147+490</f>
        <v>12267</v>
      </c>
      <c r="J528" s="202"/>
      <c r="K528" s="202"/>
      <c r="L528" s="202"/>
      <c r="M528" s="202"/>
      <c r="N528" s="202"/>
    </row>
    <row r="529" spans="1:14" s="46" customFormat="1" ht="12.75">
      <c r="A529" s="111"/>
      <c r="B529" s="84"/>
      <c r="C529" s="85">
        <v>4210</v>
      </c>
      <c r="D529" s="88" t="s">
        <v>629</v>
      </c>
      <c r="E529" s="202">
        <f t="shared" si="72"/>
        <v>330700</v>
      </c>
      <c r="F529" s="202">
        <f t="shared" si="73"/>
        <v>330700</v>
      </c>
      <c r="G529" s="202"/>
      <c r="H529" s="202"/>
      <c r="I529" s="202"/>
      <c r="J529" s="202"/>
      <c r="K529" s="202"/>
      <c r="L529" s="202"/>
      <c r="M529" s="202">
        <f>300000+20000+43900+8000-43200+2000</f>
        <v>330700</v>
      </c>
      <c r="N529" s="202"/>
    </row>
    <row r="530" spans="1:14" s="46" customFormat="1" ht="12.75">
      <c r="A530" s="111"/>
      <c r="B530" s="84"/>
      <c r="C530" s="85">
        <v>4260</v>
      </c>
      <c r="D530" s="88" t="s">
        <v>630</v>
      </c>
      <c r="E530" s="202">
        <f t="shared" si="72"/>
        <v>42700</v>
      </c>
      <c r="F530" s="202">
        <f t="shared" si="73"/>
        <v>42700</v>
      </c>
      <c r="G530" s="202"/>
      <c r="H530" s="202"/>
      <c r="I530" s="202"/>
      <c r="J530" s="202"/>
      <c r="K530" s="202"/>
      <c r="L530" s="202"/>
      <c r="M530" s="202">
        <v>42700</v>
      </c>
      <c r="N530" s="202"/>
    </row>
    <row r="531" spans="1:14" s="46" customFormat="1" ht="12.75">
      <c r="A531" s="111"/>
      <c r="B531" s="84"/>
      <c r="C531" s="85">
        <v>4270</v>
      </c>
      <c r="D531" s="88" t="s">
        <v>631</v>
      </c>
      <c r="E531" s="202">
        <f t="shared" si="72"/>
        <v>66540</v>
      </c>
      <c r="F531" s="202">
        <f t="shared" si="73"/>
        <v>66540</v>
      </c>
      <c r="G531" s="202"/>
      <c r="H531" s="202"/>
      <c r="I531" s="202"/>
      <c r="J531" s="202"/>
      <c r="K531" s="202"/>
      <c r="L531" s="202"/>
      <c r="M531" s="202">
        <f>1040+24000+40000+1500</f>
        <v>66540</v>
      </c>
      <c r="N531" s="202"/>
    </row>
    <row r="532" spans="1:14" s="46" customFormat="1" ht="12.75">
      <c r="A532" s="111"/>
      <c r="B532" s="84"/>
      <c r="C532" s="85">
        <v>4280</v>
      </c>
      <c r="D532" s="88" t="s">
        <v>632</v>
      </c>
      <c r="E532" s="202">
        <f t="shared" si="72"/>
        <v>510</v>
      </c>
      <c r="F532" s="202">
        <f t="shared" si="73"/>
        <v>510</v>
      </c>
      <c r="G532" s="202"/>
      <c r="H532" s="202"/>
      <c r="I532" s="202"/>
      <c r="J532" s="202"/>
      <c r="K532" s="202"/>
      <c r="L532" s="202"/>
      <c r="M532" s="202">
        <v>510</v>
      </c>
      <c r="N532" s="202"/>
    </row>
    <row r="533" spans="1:14" s="46" customFormat="1" ht="12.75">
      <c r="A533" s="111"/>
      <c r="B533" s="84"/>
      <c r="C533" s="85">
        <v>4300</v>
      </c>
      <c r="D533" s="88" t="s">
        <v>666</v>
      </c>
      <c r="E533" s="202">
        <f t="shared" si="72"/>
        <v>14060</v>
      </c>
      <c r="F533" s="202">
        <f t="shared" si="73"/>
        <v>14060</v>
      </c>
      <c r="G533" s="202"/>
      <c r="H533" s="202"/>
      <c r="I533" s="202"/>
      <c r="J533" s="202"/>
      <c r="K533" s="202"/>
      <c r="L533" s="202"/>
      <c r="M533" s="202">
        <f>12060+2000</f>
        <v>14060</v>
      </c>
      <c r="N533" s="202"/>
    </row>
    <row r="534" spans="1:14" s="46" customFormat="1" ht="38.25">
      <c r="A534" s="111"/>
      <c r="B534" s="84"/>
      <c r="C534" s="85">
        <v>4370</v>
      </c>
      <c r="D534" s="88" t="s">
        <v>691</v>
      </c>
      <c r="E534" s="202">
        <f t="shared" si="72"/>
        <v>1000</v>
      </c>
      <c r="F534" s="202">
        <f t="shared" si="73"/>
        <v>1000</v>
      </c>
      <c r="G534" s="202"/>
      <c r="H534" s="202"/>
      <c r="I534" s="202"/>
      <c r="J534" s="202"/>
      <c r="K534" s="202"/>
      <c r="L534" s="202"/>
      <c r="M534" s="202">
        <f>3060-2060</f>
        <v>1000</v>
      </c>
      <c r="N534" s="202"/>
    </row>
    <row r="535" spans="1:14" s="46" customFormat="1" ht="12.75">
      <c r="A535" s="111"/>
      <c r="B535" s="84"/>
      <c r="C535" s="85">
        <v>4410</v>
      </c>
      <c r="D535" s="88" t="s">
        <v>639</v>
      </c>
      <c r="E535" s="202">
        <f t="shared" si="72"/>
        <v>390</v>
      </c>
      <c r="F535" s="202">
        <f t="shared" si="73"/>
        <v>390</v>
      </c>
      <c r="G535" s="202"/>
      <c r="H535" s="202"/>
      <c r="I535" s="202"/>
      <c r="J535" s="202"/>
      <c r="K535" s="202"/>
      <c r="L535" s="202"/>
      <c r="M535" s="202">
        <v>390</v>
      </c>
      <c r="N535" s="202"/>
    </row>
    <row r="536" spans="1:14" s="46" customFormat="1" ht="12.75">
      <c r="A536" s="111"/>
      <c r="B536" s="84"/>
      <c r="C536" s="85">
        <v>4430</v>
      </c>
      <c r="D536" s="88" t="s">
        <v>640</v>
      </c>
      <c r="E536" s="202">
        <f t="shared" si="72"/>
        <v>530</v>
      </c>
      <c r="F536" s="202">
        <f t="shared" si="73"/>
        <v>530</v>
      </c>
      <c r="G536" s="202"/>
      <c r="H536" s="202"/>
      <c r="I536" s="202"/>
      <c r="J536" s="202"/>
      <c r="K536" s="202"/>
      <c r="L536" s="202"/>
      <c r="M536" s="202">
        <v>530</v>
      </c>
      <c r="N536" s="202"/>
    </row>
    <row r="537" spans="1:14" s="46" customFormat="1" ht="25.5">
      <c r="A537" s="111"/>
      <c r="B537" s="84"/>
      <c r="C537" s="85">
        <v>4440</v>
      </c>
      <c r="D537" s="88" t="s">
        <v>641</v>
      </c>
      <c r="E537" s="202">
        <f aca="true" t="shared" si="79" ref="E537:E586">F537+N537</f>
        <v>27654</v>
      </c>
      <c r="F537" s="202">
        <f aca="true" t="shared" si="80" ref="F537:F583">SUM(G537:M537)</f>
        <v>27654</v>
      </c>
      <c r="G537" s="202"/>
      <c r="H537" s="202"/>
      <c r="I537" s="202"/>
      <c r="J537" s="202"/>
      <c r="K537" s="202"/>
      <c r="L537" s="202"/>
      <c r="M537" s="202">
        <f>25740+1914</f>
        <v>27654</v>
      </c>
      <c r="N537" s="202"/>
    </row>
    <row r="538" spans="1:14" s="46" customFormat="1" ht="25.5">
      <c r="A538" s="111"/>
      <c r="B538" s="84"/>
      <c r="C538" s="95">
        <v>6050</v>
      </c>
      <c r="D538" s="96" t="s">
        <v>645</v>
      </c>
      <c r="E538" s="202">
        <f t="shared" si="79"/>
        <v>15570</v>
      </c>
      <c r="F538" s="202">
        <f t="shared" si="80"/>
        <v>0</v>
      </c>
      <c r="G538" s="202"/>
      <c r="H538" s="202"/>
      <c r="I538" s="202"/>
      <c r="J538" s="202"/>
      <c r="K538" s="202"/>
      <c r="L538" s="202"/>
      <c r="M538" s="202"/>
      <c r="N538" s="202">
        <f>30000-14480+50</f>
        <v>15570</v>
      </c>
    </row>
    <row r="539" spans="1:14" s="46" customFormat="1" ht="25.5">
      <c r="A539" s="111"/>
      <c r="B539" s="84"/>
      <c r="C539" s="95">
        <v>6060</v>
      </c>
      <c r="D539" s="96" t="s">
        <v>228</v>
      </c>
      <c r="E539" s="202">
        <f t="shared" si="79"/>
        <v>14480</v>
      </c>
      <c r="F539" s="202">
        <f t="shared" si="80"/>
        <v>0</v>
      </c>
      <c r="G539" s="202"/>
      <c r="H539" s="202"/>
      <c r="I539" s="202"/>
      <c r="J539" s="202"/>
      <c r="K539" s="202"/>
      <c r="L539" s="202"/>
      <c r="M539" s="202"/>
      <c r="N539" s="202">
        <f>14530-50</f>
        <v>14480</v>
      </c>
    </row>
    <row r="540" spans="1:14" s="79" customFormat="1" ht="26.25">
      <c r="A540" s="122"/>
      <c r="B540" s="343">
        <v>85413</v>
      </c>
      <c r="C540" s="344"/>
      <c r="D540" s="340" t="s">
        <v>357</v>
      </c>
      <c r="E540" s="215">
        <f>F540+N540</f>
        <v>151200</v>
      </c>
      <c r="F540" s="215">
        <f>SUM(G540:M540)</f>
        <v>151200</v>
      </c>
      <c r="G540" s="215">
        <f aca="true" t="shared" si="81" ref="G540:N540">SUM(G541:G544)</f>
        <v>0</v>
      </c>
      <c r="H540" s="215">
        <f t="shared" si="81"/>
        <v>0</v>
      </c>
      <c r="I540" s="215">
        <f t="shared" si="81"/>
        <v>0</v>
      </c>
      <c r="J540" s="215">
        <f t="shared" si="81"/>
        <v>0</v>
      </c>
      <c r="K540" s="215">
        <f t="shared" si="81"/>
        <v>0</v>
      </c>
      <c r="L540" s="215">
        <f t="shared" si="81"/>
        <v>0</v>
      </c>
      <c r="M540" s="215">
        <f t="shared" si="81"/>
        <v>151200</v>
      </c>
      <c r="N540" s="215">
        <f t="shared" si="81"/>
        <v>0</v>
      </c>
    </row>
    <row r="541" spans="1:14" s="46" customFormat="1" ht="12.75">
      <c r="A541" s="111"/>
      <c r="B541" s="84"/>
      <c r="C541" s="85">
        <v>4170</v>
      </c>
      <c r="D541" s="88" t="s">
        <v>670</v>
      </c>
      <c r="E541" s="202">
        <f>F541+N541</f>
        <v>25946</v>
      </c>
      <c r="F541" s="202">
        <f>SUM(G541:M541)</f>
        <v>25946</v>
      </c>
      <c r="G541" s="202"/>
      <c r="H541" s="202"/>
      <c r="I541" s="202"/>
      <c r="J541" s="202"/>
      <c r="K541" s="202"/>
      <c r="L541" s="202"/>
      <c r="M541" s="345">
        <v>25946</v>
      </c>
      <c r="N541" s="202"/>
    </row>
    <row r="542" spans="1:14" s="46" customFormat="1" ht="12.75">
      <c r="A542" s="111"/>
      <c r="B542" s="84"/>
      <c r="C542" s="85">
        <v>4210</v>
      </c>
      <c r="D542" s="88" t="s">
        <v>629</v>
      </c>
      <c r="E542" s="202">
        <f>F542+N542</f>
        <v>25598</v>
      </c>
      <c r="F542" s="202">
        <f>SUM(G542:M542)</f>
        <v>25598</v>
      </c>
      <c r="G542" s="202"/>
      <c r="H542" s="202"/>
      <c r="I542" s="202"/>
      <c r="J542" s="202"/>
      <c r="K542" s="202"/>
      <c r="L542" s="202"/>
      <c r="M542" s="345">
        <v>25598</v>
      </c>
      <c r="N542" s="202"/>
    </row>
    <row r="543" spans="1:14" s="46" customFormat="1" ht="12.75">
      <c r="A543" s="111"/>
      <c r="B543" s="84"/>
      <c r="C543" s="85">
        <v>4300</v>
      </c>
      <c r="D543" s="88" t="s">
        <v>666</v>
      </c>
      <c r="E543" s="202">
        <f>F543+N543</f>
        <v>99551</v>
      </c>
      <c r="F543" s="202">
        <f>SUM(G543:M543)</f>
        <v>99551</v>
      </c>
      <c r="G543" s="202"/>
      <c r="H543" s="202"/>
      <c r="I543" s="202"/>
      <c r="J543" s="202"/>
      <c r="K543" s="202"/>
      <c r="L543" s="202"/>
      <c r="M543" s="345">
        <f>87360+12290+99-198</f>
        <v>99551</v>
      </c>
      <c r="N543" s="202"/>
    </row>
    <row r="544" spans="1:14" s="46" customFormat="1" ht="12.75">
      <c r="A544" s="111"/>
      <c r="B544" s="84"/>
      <c r="C544" s="85">
        <v>4430</v>
      </c>
      <c r="D544" s="88" t="s">
        <v>640</v>
      </c>
      <c r="E544" s="202">
        <f>F544+N544</f>
        <v>105</v>
      </c>
      <c r="F544" s="202">
        <f>SUM(G544:M544)</f>
        <v>105</v>
      </c>
      <c r="G544" s="202"/>
      <c r="H544" s="202"/>
      <c r="I544" s="202"/>
      <c r="J544" s="202"/>
      <c r="K544" s="202"/>
      <c r="L544" s="202"/>
      <c r="M544" s="345">
        <f>144+39-78</f>
        <v>105</v>
      </c>
      <c r="N544" s="202"/>
    </row>
    <row r="545" spans="1:14" s="79" customFormat="1" ht="12.75">
      <c r="A545" s="122"/>
      <c r="B545" s="86">
        <v>85415</v>
      </c>
      <c r="C545" s="89"/>
      <c r="D545" s="93" t="s">
        <v>50</v>
      </c>
      <c r="E545" s="215">
        <f t="shared" si="79"/>
        <v>5854666</v>
      </c>
      <c r="F545" s="215">
        <f t="shared" si="80"/>
        <v>5854666</v>
      </c>
      <c r="G545" s="215">
        <f>SUM(G546:G578)</f>
        <v>17727</v>
      </c>
      <c r="H545" s="215">
        <f aca="true" t="shared" si="82" ref="H545:N545">SUM(H546:H578)</f>
        <v>0</v>
      </c>
      <c r="I545" s="215">
        <f t="shared" si="82"/>
        <v>17806</v>
      </c>
      <c r="J545" s="215">
        <f>SUM(J546:J578)</f>
        <v>5435673</v>
      </c>
      <c r="K545" s="215">
        <f t="shared" si="82"/>
        <v>0</v>
      </c>
      <c r="L545" s="215">
        <f t="shared" si="82"/>
        <v>311251</v>
      </c>
      <c r="M545" s="215">
        <f t="shared" si="82"/>
        <v>72209</v>
      </c>
      <c r="N545" s="215">
        <f t="shared" si="82"/>
        <v>0</v>
      </c>
    </row>
    <row r="546" spans="1:14" s="46" customFormat="1" ht="51">
      <c r="A546" s="111"/>
      <c r="B546" s="84"/>
      <c r="C546" s="85">
        <v>2318</v>
      </c>
      <c r="D546" s="88" t="s">
        <v>51</v>
      </c>
      <c r="E546" s="202">
        <f t="shared" si="79"/>
        <v>66840</v>
      </c>
      <c r="F546" s="202">
        <f>SUM(G546:K546)</f>
        <v>66840</v>
      </c>
      <c r="G546" s="202"/>
      <c r="H546" s="202"/>
      <c r="I546" s="202"/>
      <c r="J546" s="202">
        <v>66840</v>
      </c>
      <c r="K546" s="202"/>
      <c r="L546" s="202"/>
      <c r="M546" s="216"/>
      <c r="N546" s="202"/>
    </row>
    <row r="547" spans="1:14" s="46" customFormat="1" ht="51">
      <c r="A547" s="111"/>
      <c r="B547" s="84"/>
      <c r="C547" s="85">
        <v>2319</v>
      </c>
      <c r="D547" s="88" t="s">
        <v>51</v>
      </c>
      <c r="E547" s="202">
        <f t="shared" si="79"/>
        <v>31382</v>
      </c>
      <c r="F547" s="202">
        <f>SUM(G547:K547)</f>
        <v>31382</v>
      </c>
      <c r="G547" s="202"/>
      <c r="H547" s="202"/>
      <c r="I547" s="202"/>
      <c r="J547" s="202">
        <f>31381+1</f>
        <v>31382</v>
      </c>
      <c r="K547" s="202"/>
      <c r="L547" s="202"/>
      <c r="M547" s="216"/>
      <c r="N547" s="202"/>
    </row>
    <row r="548" spans="1:14" s="46" customFormat="1" ht="51">
      <c r="A548" s="111"/>
      <c r="B548" s="86"/>
      <c r="C548" s="85">
        <v>2328</v>
      </c>
      <c r="D548" s="88" t="s">
        <v>52</v>
      </c>
      <c r="E548" s="202">
        <f t="shared" si="79"/>
        <v>3632135</v>
      </c>
      <c r="F548" s="202">
        <f>SUM(G548:K548)</f>
        <v>3632135</v>
      </c>
      <c r="G548" s="202"/>
      <c r="H548" s="202"/>
      <c r="I548" s="202"/>
      <c r="J548" s="202">
        <v>3632135</v>
      </c>
      <c r="K548" s="202"/>
      <c r="L548" s="202"/>
      <c r="M548" s="216"/>
      <c r="N548" s="202"/>
    </row>
    <row r="549" spans="1:14" s="46" customFormat="1" ht="51">
      <c r="A549" s="111"/>
      <c r="B549" s="86"/>
      <c r="C549" s="85">
        <v>2329</v>
      </c>
      <c r="D549" s="88" t="s">
        <v>52</v>
      </c>
      <c r="E549" s="202">
        <f t="shared" si="79"/>
        <v>1705316</v>
      </c>
      <c r="F549" s="202">
        <f>SUM(G549:K549)</f>
        <v>1705316</v>
      </c>
      <c r="G549" s="202"/>
      <c r="H549" s="202"/>
      <c r="I549" s="202"/>
      <c r="J549" s="202">
        <v>1705316</v>
      </c>
      <c r="K549" s="202"/>
      <c r="L549" s="202"/>
      <c r="M549" s="216"/>
      <c r="N549" s="202"/>
    </row>
    <row r="550" spans="1:14" s="46" customFormat="1" ht="25.5">
      <c r="A550" s="111"/>
      <c r="B550" s="84"/>
      <c r="C550" s="85">
        <v>3248</v>
      </c>
      <c r="D550" s="88" t="s">
        <v>53</v>
      </c>
      <c r="E550" s="202">
        <f t="shared" si="79"/>
        <v>65751</v>
      </c>
      <c r="F550" s="202">
        <f t="shared" si="80"/>
        <v>65751</v>
      </c>
      <c r="G550" s="202"/>
      <c r="H550" s="202"/>
      <c r="I550" s="202"/>
      <c r="J550" s="202"/>
      <c r="K550" s="202"/>
      <c r="L550" s="202">
        <v>65751</v>
      </c>
      <c r="M550" s="202"/>
      <c r="N550" s="202"/>
    </row>
    <row r="551" spans="1:14" s="46" customFormat="1" ht="25.5">
      <c r="A551" s="111"/>
      <c r="B551" s="84"/>
      <c r="C551" s="85">
        <v>3249</v>
      </c>
      <c r="D551" s="88" t="s">
        <v>53</v>
      </c>
      <c r="E551" s="202">
        <f t="shared" si="79"/>
        <v>30870</v>
      </c>
      <c r="F551" s="202">
        <f t="shared" si="80"/>
        <v>30870</v>
      </c>
      <c r="G551" s="202"/>
      <c r="H551" s="202"/>
      <c r="I551" s="202"/>
      <c r="J551" s="202"/>
      <c r="K551" s="202"/>
      <c r="L551" s="202">
        <v>30870</v>
      </c>
      <c r="M551" s="202"/>
      <c r="N551" s="202"/>
    </row>
    <row r="552" spans="1:14" s="46" customFormat="1" ht="12.75">
      <c r="A552" s="111"/>
      <c r="B552" s="84"/>
      <c r="C552" s="85">
        <v>4018</v>
      </c>
      <c r="D552" s="88" t="s">
        <v>54</v>
      </c>
      <c r="E552" s="202">
        <f t="shared" si="79"/>
        <v>12063</v>
      </c>
      <c r="F552" s="202">
        <f t="shared" si="80"/>
        <v>12063</v>
      </c>
      <c r="G552" s="202">
        <f>10616+1447</f>
        <v>12063</v>
      </c>
      <c r="H552" s="202"/>
      <c r="I552" s="202"/>
      <c r="J552" s="202"/>
      <c r="K552" s="202"/>
      <c r="L552" s="202"/>
      <c r="M552" s="202"/>
      <c r="N552" s="202"/>
    </row>
    <row r="553" spans="1:14" s="46" customFormat="1" ht="12.75">
      <c r="A553" s="111"/>
      <c r="B553" s="84"/>
      <c r="C553" s="85">
        <v>4019</v>
      </c>
      <c r="D553" s="88" t="s">
        <v>54</v>
      </c>
      <c r="E553" s="202">
        <f t="shared" si="79"/>
        <v>5664</v>
      </c>
      <c r="F553" s="202">
        <f t="shared" si="80"/>
        <v>5664</v>
      </c>
      <c r="G553" s="202">
        <f>4984+680</f>
        <v>5664</v>
      </c>
      <c r="H553" s="202"/>
      <c r="I553" s="202"/>
      <c r="J553" s="202"/>
      <c r="K553" s="202"/>
      <c r="L553" s="202"/>
      <c r="M553" s="202"/>
      <c r="N553" s="202"/>
    </row>
    <row r="554" spans="1:14" s="46" customFormat="1" ht="12.75">
      <c r="A554" s="111"/>
      <c r="B554" s="84"/>
      <c r="C554" s="85">
        <v>4118</v>
      </c>
      <c r="D554" s="88" t="s">
        <v>687</v>
      </c>
      <c r="E554" s="202">
        <f t="shared" si="79"/>
        <v>10602</v>
      </c>
      <c r="F554" s="202">
        <f t="shared" si="80"/>
        <v>10602</v>
      </c>
      <c r="G554" s="202"/>
      <c r="H554" s="202"/>
      <c r="I554" s="202">
        <f>10058+544</f>
        <v>10602</v>
      </c>
      <c r="J554" s="202"/>
      <c r="K554" s="202"/>
      <c r="L554" s="202"/>
      <c r="M554" s="202"/>
      <c r="N554" s="202"/>
    </row>
    <row r="555" spans="1:14" s="46" customFormat="1" ht="12.75">
      <c r="A555" s="111"/>
      <c r="B555" s="84"/>
      <c r="C555" s="85">
        <v>4119</v>
      </c>
      <c r="D555" s="88" t="s">
        <v>687</v>
      </c>
      <c r="E555" s="202">
        <f t="shared" si="79"/>
        <v>4978</v>
      </c>
      <c r="F555" s="202">
        <f t="shared" si="80"/>
        <v>4978</v>
      </c>
      <c r="G555" s="202"/>
      <c r="H555" s="202"/>
      <c r="I555" s="202">
        <f>4722+256</f>
        <v>4978</v>
      </c>
      <c r="J555" s="202"/>
      <c r="K555" s="202"/>
      <c r="L555" s="202"/>
      <c r="M555" s="202"/>
      <c r="N555" s="202"/>
    </row>
    <row r="556" spans="1:14" s="46" customFormat="1" ht="12.75">
      <c r="A556" s="111"/>
      <c r="B556" s="84"/>
      <c r="C556" s="85">
        <v>4128</v>
      </c>
      <c r="D556" s="88" t="s">
        <v>627</v>
      </c>
      <c r="E556" s="202">
        <f t="shared" si="79"/>
        <v>1515</v>
      </c>
      <c r="F556" s="202">
        <f t="shared" si="80"/>
        <v>1515</v>
      </c>
      <c r="G556" s="202"/>
      <c r="H556" s="202"/>
      <c r="I556" s="202">
        <f>1441+73+1</f>
        <v>1515</v>
      </c>
      <c r="J556" s="202"/>
      <c r="K556" s="202"/>
      <c r="L556" s="202"/>
      <c r="M556" s="202"/>
      <c r="N556" s="202"/>
    </row>
    <row r="557" spans="1:14" s="46" customFormat="1" ht="12.75">
      <c r="A557" s="111"/>
      <c r="B557" s="84"/>
      <c r="C557" s="85">
        <v>4129</v>
      </c>
      <c r="D557" s="88" t="s">
        <v>627</v>
      </c>
      <c r="E557" s="202">
        <f t="shared" si="79"/>
        <v>711</v>
      </c>
      <c r="F557" s="202">
        <f t="shared" si="80"/>
        <v>711</v>
      </c>
      <c r="G557" s="202"/>
      <c r="H557" s="202"/>
      <c r="I557" s="202">
        <f>677+34</f>
        <v>711</v>
      </c>
      <c r="J557" s="202"/>
      <c r="K557" s="202"/>
      <c r="L557" s="202"/>
      <c r="M557" s="202"/>
      <c r="N557" s="202"/>
    </row>
    <row r="558" spans="1:14" s="46" customFormat="1" ht="12.75">
      <c r="A558" s="111"/>
      <c r="B558" s="84"/>
      <c r="C558" s="85">
        <v>4178</v>
      </c>
      <c r="D558" s="88" t="s">
        <v>670</v>
      </c>
      <c r="E558" s="202">
        <f t="shared" si="79"/>
        <v>55655</v>
      </c>
      <c r="F558" s="202">
        <f t="shared" si="80"/>
        <v>55655</v>
      </c>
      <c r="G558" s="202"/>
      <c r="H558" s="202"/>
      <c r="I558" s="202"/>
      <c r="J558" s="202"/>
      <c r="K558" s="202"/>
      <c r="L558" s="202">
        <f>48205+7450</f>
        <v>55655</v>
      </c>
      <c r="M558" s="202"/>
      <c r="N558" s="202"/>
    </row>
    <row r="559" spans="1:14" s="46" customFormat="1" ht="12.75">
      <c r="A559" s="111"/>
      <c r="B559" s="84"/>
      <c r="C559" s="85">
        <v>4179</v>
      </c>
      <c r="D559" s="88" t="s">
        <v>670</v>
      </c>
      <c r="E559" s="202">
        <f t="shared" si="79"/>
        <v>26130</v>
      </c>
      <c r="F559" s="202">
        <f t="shared" si="80"/>
        <v>26130</v>
      </c>
      <c r="G559" s="202"/>
      <c r="H559" s="202"/>
      <c r="I559" s="202"/>
      <c r="J559" s="202"/>
      <c r="K559" s="202"/>
      <c r="L559" s="202">
        <f>22632+3498</f>
        <v>26130</v>
      </c>
      <c r="M559" s="202"/>
      <c r="N559" s="202"/>
    </row>
    <row r="560" spans="1:14" s="46" customFormat="1" ht="12.75">
      <c r="A560" s="111"/>
      <c r="B560" s="84"/>
      <c r="C560" s="85">
        <v>4218</v>
      </c>
      <c r="D560" s="88" t="s">
        <v>629</v>
      </c>
      <c r="E560" s="202">
        <f t="shared" si="79"/>
        <v>42442</v>
      </c>
      <c r="F560" s="202">
        <f t="shared" si="80"/>
        <v>42442</v>
      </c>
      <c r="G560" s="202"/>
      <c r="H560" s="202"/>
      <c r="I560" s="202"/>
      <c r="J560" s="202"/>
      <c r="K560" s="202"/>
      <c r="L560" s="202">
        <f>31778+12324+4893-6553</f>
        <v>42442</v>
      </c>
      <c r="M560" s="202"/>
      <c r="N560" s="202"/>
    </row>
    <row r="561" spans="1:14" s="46" customFormat="1" ht="12.75">
      <c r="A561" s="111"/>
      <c r="B561" s="84"/>
      <c r="C561" s="85">
        <v>4219</v>
      </c>
      <c r="D561" s="88" t="s">
        <v>629</v>
      </c>
      <c r="E561" s="202">
        <f t="shared" si="79"/>
        <v>19927</v>
      </c>
      <c r="F561" s="202">
        <f t="shared" si="80"/>
        <v>19927</v>
      </c>
      <c r="G561" s="202"/>
      <c r="H561" s="202"/>
      <c r="I561" s="202"/>
      <c r="J561" s="202"/>
      <c r="K561" s="202"/>
      <c r="L561" s="202">
        <f>14920+5786+2295-3074</f>
        <v>19927</v>
      </c>
      <c r="M561" s="202"/>
      <c r="N561" s="202"/>
    </row>
    <row r="562" spans="1:14" s="46" customFormat="1" ht="12.75">
      <c r="A562" s="111"/>
      <c r="B562" s="84"/>
      <c r="C562" s="85">
        <v>4210</v>
      </c>
      <c r="D562" s="88" t="s">
        <v>629</v>
      </c>
      <c r="E562" s="202">
        <f t="shared" si="79"/>
        <v>150</v>
      </c>
      <c r="F562" s="202">
        <f>SUM(G562:M562)</f>
        <v>150</v>
      </c>
      <c r="G562" s="202"/>
      <c r="H562" s="202"/>
      <c r="I562" s="202"/>
      <c r="J562" s="202"/>
      <c r="K562" s="202"/>
      <c r="L562" s="202"/>
      <c r="M562" s="202">
        <v>150</v>
      </c>
      <c r="N562" s="202"/>
    </row>
    <row r="563" spans="1:14" s="46" customFormat="1" ht="12.75">
      <c r="A563" s="111"/>
      <c r="B563" s="84"/>
      <c r="C563" s="85">
        <v>4278</v>
      </c>
      <c r="D563" s="88" t="s">
        <v>648</v>
      </c>
      <c r="E563" s="202">
        <f t="shared" si="79"/>
        <v>0</v>
      </c>
      <c r="F563" s="202">
        <f t="shared" si="80"/>
        <v>0</v>
      </c>
      <c r="G563" s="202"/>
      <c r="H563" s="202"/>
      <c r="I563" s="202"/>
      <c r="J563" s="202"/>
      <c r="K563" s="202"/>
      <c r="L563" s="202">
        <f>2042+44-2086</f>
        <v>0</v>
      </c>
      <c r="M563" s="202"/>
      <c r="N563" s="202"/>
    </row>
    <row r="564" spans="1:14" s="46" customFormat="1" ht="12.75">
      <c r="A564" s="111"/>
      <c r="B564" s="84"/>
      <c r="C564" s="85">
        <v>4279</v>
      </c>
      <c r="D564" s="88" t="s">
        <v>648</v>
      </c>
      <c r="E564" s="202">
        <f t="shared" si="79"/>
        <v>0</v>
      </c>
      <c r="F564" s="202">
        <f t="shared" si="80"/>
        <v>0</v>
      </c>
      <c r="G564" s="202"/>
      <c r="H564" s="202"/>
      <c r="I564" s="202"/>
      <c r="J564" s="202"/>
      <c r="K564" s="202"/>
      <c r="L564" s="202">
        <f>959+20-979</f>
        <v>0</v>
      </c>
      <c r="M564" s="202"/>
      <c r="N564" s="202"/>
    </row>
    <row r="565" spans="1:14" s="46" customFormat="1" ht="12.75">
      <c r="A565" s="111"/>
      <c r="B565" s="84"/>
      <c r="C565" s="85">
        <v>4308</v>
      </c>
      <c r="D565" s="88" t="s">
        <v>666</v>
      </c>
      <c r="E565" s="202">
        <f t="shared" si="79"/>
        <v>16768</v>
      </c>
      <c r="F565" s="202">
        <f t="shared" si="80"/>
        <v>16768</v>
      </c>
      <c r="G565" s="202"/>
      <c r="H565" s="202"/>
      <c r="I565" s="202"/>
      <c r="J565" s="202"/>
      <c r="K565" s="202"/>
      <c r="L565" s="202">
        <f>21638-44-4828+2</f>
        <v>16768</v>
      </c>
      <c r="M565" s="202"/>
      <c r="N565" s="202"/>
    </row>
    <row r="566" spans="1:14" s="46" customFormat="1" ht="12.75">
      <c r="A566" s="111"/>
      <c r="B566" s="84"/>
      <c r="C566" s="85">
        <v>4309</v>
      </c>
      <c r="D566" s="88" t="s">
        <v>666</v>
      </c>
      <c r="E566" s="202">
        <f t="shared" si="79"/>
        <v>7873</v>
      </c>
      <c r="F566" s="202">
        <f t="shared" si="80"/>
        <v>7873</v>
      </c>
      <c r="G566" s="202"/>
      <c r="H566" s="202"/>
      <c r="I566" s="202"/>
      <c r="J566" s="202"/>
      <c r="K566" s="202"/>
      <c r="L566" s="202">
        <f>10160-20-2265-2</f>
        <v>7873</v>
      </c>
      <c r="M566" s="202"/>
      <c r="N566" s="202"/>
    </row>
    <row r="567" spans="1:14" s="46" customFormat="1" ht="38.25">
      <c r="A567" s="111"/>
      <c r="B567" s="84"/>
      <c r="C567" s="85">
        <v>4378</v>
      </c>
      <c r="D567" s="88" t="s">
        <v>691</v>
      </c>
      <c r="E567" s="202">
        <f t="shared" si="79"/>
        <v>686</v>
      </c>
      <c r="F567" s="202">
        <f t="shared" si="80"/>
        <v>686</v>
      </c>
      <c r="G567" s="202"/>
      <c r="H567" s="202"/>
      <c r="I567" s="202"/>
      <c r="J567" s="202"/>
      <c r="K567" s="202"/>
      <c r="L567" s="202">
        <f>1021-335</f>
        <v>686</v>
      </c>
      <c r="M567" s="202"/>
      <c r="N567" s="202"/>
    </row>
    <row r="568" spans="1:14" s="46" customFormat="1" ht="38.25">
      <c r="A568" s="111"/>
      <c r="B568" s="84"/>
      <c r="C568" s="85">
        <v>4379</v>
      </c>
      <c r="D568" s="88" t="s">
        <v>691</v>
      </c>
      <c r="E568" s="202">
        <f t="shared" si="79"/>
        <v>322</v>
      </c>
      <c r="F568" s="202">
        <f t="shared" si="80"/>
        <v>322</v>
      </c>
      <c r="G568" s="202"/>
      <c r="H568" s="202"/>
      <c r="I568" s="202"/>
      <c r="J568" s="202"/>
      <c r="K568" s="202"/>
      <c r="L568" s="202">
        <f>479-157</f>
        <v>322</v>
      </c>
      <c r="M568" s="202"/>
      <c r="N568" s="202"/>
    </row>
    <row r="569" spans="1:14" s="46" customFormat="1" ht="25.5">
      <c r="A569" s="111"/>
      <c r="B569" s="84"/>
      <c r="C569" s="85">
        <v>4398</v>
      </c>
      <c r="D569" s="88" t="s">
        <v>223</v>
      </c>
      <c r="E569" s="202">
        <f t="shared" si="79"/>
        <v>10145</v>
      </c>
      <c r="F569" s="202">
        <f t="shared" si="80"/>
        <v>10145</v>
      </c>
      <c r="G569" s="202"/>
      <c r="H569" s="202"/>
      <c r="I569" s="202"/>
      <c r="J569" s="202"/>
      <c r="K569" s="202"/>
      <c r="L569" s="202">
        <f>34025-23880</f>
        <v>10145</v>
      </c>
      <c r="M569" s="202"/>
      <c r="N569" s="202"/>
    </row>
    <row r="570" spans="1:14" s="46" customFormat="1" ht="25.5">
      <c r="A570" s="111"/>
      <c r="B570" s="84"/>
      <c r="C570" s="85">
        <v>4399</v>
      </c>
      <c r="D570" s="88" t="s">
        <v>223</v>
      </c>
      <c r="E570" s="202">
        <f t="shared" si="79"/>
        <v>4763</v>
      </c>
      <c r="F570" s="202">
        <f t="shared" si="80"/>
        <v>4763</v>
      </c>
      <c r="G570" s="202"/>
      <c r="H570" s="202"/>
      <c r="I570" s="202"/>
      <c r="J570" s="202"/>
      <c r="K570" s="202"/>
      <c r="L570" s="202">
        <f>15975-11212</f>
        <v>4763</v>
      </c>
      <c r="M570" s="202"/>
      <c r="N570" s="202"/>
    </row>
    <row r="571" spans="1:14" s="46" customFormat="1" ht="38.25">
      <c r="A571" s="111"/>
      <c r="B571" s="84"/>
      <c r="C571" s="85">
        <v>4408</v>
      </c>
      <c r="D571" s="88" t="s">
        <v>377</v>
      </c>
      <c r="E571" s="202">
        <f t="shared" si="79"/>
        <v>340</v>
      </c>
      <c r="F571" s="202">
        <f t="shared" si="80"/>
        <v>340</v>
      </c>
      <c r="G571" s="202"/>
      <c r="H571" s="202"/>
      <c r="I571" s="202"/>
      <c r="J571" s="202"/>
      <c r="K571" s="202"/>
      <c r="L571" s="202">
        <v>340</v>
      </c>
      <c r="M571" s="202"/>
      <c r="N571" s="202"/>
    </row>
    <row r="572" spans="1:14" s="46" customFormat="1" ht="38.25">
      <c r="A572" s="111"/>
      <c r="B572" s="84"/>
      <c r="C572" s="85">
        <v>4409</v>
      </c>
      <c r="D572" s="88" t="s">
        <v>377</v>
      </c>
      <c r="E572" s="202">
        <f t="shared" si="79"/>
        <v>160</v>
      </c>
      <c r="F572" s="202">
        <f t="shared" si="80"/>
        <v>160</v>
      </c>
      <c r="G572" s="202"/>
      <c r="H572" s="202"/>
      <c r="I572" s="202"/>
      <c r="J572" s="202"/>
      <c r="K572" s="202"/>
      <c r="L572" s="202">
        <v>160</v>
      </c>
      <c r="M572" s="202"/>
      <c r="N572" s="202"/>
    </row>
    <row r="573" spans="1:14" s="46" customFormat="1" ht="25.5">
      <c r="A573" s="111"/>
      <c r="B573" s="84"/>
      <c r="C573" s="85">
        <v>4440</v>
      </c>
      <c r="D573" s="88" t="s">
        <v>641</v>
      </c>
      <c r="E573" s="202">
        <f t="shared" si="79"/>
        <v>1459</v>
      </c>
      <c r="F573" s="202">
        <f t="shared" si="80"/>
        <v>1459</v>
      </c>
      <c r="G573" s="202"/>
      <c r="H573" s="202"/>
      <c r="I573" s="202"/>
      <c r="J573" s="202"/>
      <c r="K573" s="202"/>
      <c r="L573" s="202"/>
      <c r="M573" s="202">
        <f>1609-150</f>
        <v>1459</v>
      </c>
      <c r="N573" s="202"/>
    </row>
    <row r="574" spans="1:14" s="46" customFormat="1" ht="38.25">
      <c r="A574" s="111"/>
      <c r="B574" s="84"/>
      <c r="C574" s="85">
        <v>4748</v>
      </c>
      <c r="D574" s="88" t="s">
        <v>658</v>
      </c>
      <c r="E574" s="202">
        <f t="shared" si="79"/>
        <v>7705</v>
      </c>
      <c r="F574" s="202">
        <f t="shared" si="80"/>
        <v>7705</v>
      </c>
      <c r="G574" s="202"/>
      <c r="H574" s="202"/>
      <c r="I574" s="202"/>
      <c r="J574" s="202"/>
      <c r="K574" s="202"/>
      <c r="L574" s="202">
        <f>5670+2041-7+1</f>
        <v>7705</v>
      </c>
      <c r="M574" s="202"/>
      <c r="N574" s="202"/>
    </row>
    <row r="575" spans="1:14" s="46" customFormat="1" ht="38.25">
      <c r="A575" s="111"/>
      <c r="B575" s="84"/>
      <c r="C575" s="85">
        <v>4749</v>
      </c>
      <c r="D575" s="88" t="s">
        <v>658</v>
      </c>
      <c r="E575" s="202">
        <f t="shared" si="79"/>
        <v>3617</v>
      </c>
      <c r="F575" s="202">
        <f t="shared" si="80"/>
        <v>3617</v>
      </c>
      <c r="G575" s="202"/>
      <c r="H575" s="202"/>
      <c r="I575" s="202"/>
      <c r="J575" s="202"/>
      <c r="K575" s="202"/>
      <c r="L575" s="202">
        <f>2662+959-3-1</f>
        <v>3617</v>
      </c>
      <c r="M575" s="202"/>
      <c r="N575" s="202"/>
    </row>
    <row r="576" spans="1:14" s="46" customFormat="1" ht="25.5">
      <c r="A576" s="111"/>
      <c r="B576" s="86"/>
      <c r="C576" s="85">
        <v>4758</v>
      </c>
      <c r="D576" s="88" t="s">
        <v>692</v>
      </c>
      <c r="E576" s="202">
        <f t="shared" si="79"/>
        <v>12315</v>
      </c>
      <c r="F576" s="202">
        <f t="shared" si="80"/>
        <v>12315</v>
      </c>
      <c r="G576" s="202"/>
      <c r="H576" s="202"/>
      <c r="I576" s="202"/>
      <c r="J576" s="202"/>
      <c r="K576" s="202"/>
      <c r="L576" s="202">
        <f>3743-63+8635</f>
        <v>12315</v>
      </c>
      <c r="M576" s="202"/>
      <c r="N576" s="202"/>
    </row>
    <row r="577" spans="1:14" s="46" customFormat="1" ht="25.5">
      <c r="A577" s="111"/>
      <c r="B577" s="86"/>
      <c r="C577" s="85">
        <v>4759</v>
      </c>
      <c r="D577" s="88" t="s">
        <v>692</v>
      </c>
      <c r="E577" s="202">
        <f t="shared" si="79"/>
        <v>5782</v>
      </c>
      <c r="F577" s="202">
        <f t="shared" si="80"/>
        <v>5782</v>
      </c>
      <c r="G577" s="202"/>
      <c r="H577" s="202"/>
      <c r="I577" s="202"/>
      <c r="J577" s="202"/>
      <c r="K577" s="202"/>
      <c r="L577" s="202">
        <f>1757-30+4055</f>
        <v>5782</v>
      </c>
      <c r="M577" s="202"/>
      <c r="N577" s="202"/>
    </row>
    <row r="578" spans="1:14" s="46" customFormat="1" ht="25.5">
      <c r="A578" s="111"/>
      <c r="B578" s="84"/>
      <c r="C578" s="85">
        <v>3240</v>
      </c>
      <c r="D578" s="88" t="s">
        <v>53</v>
      </c>
      <c r="E578" s="202">
        <f t="shared" si="79"/>
        <v>70600</v>
      </c>
      <c r="F578" s="202">
        <f t="shared" si="80"/>
        <v>70600</v>
      </c>
      <c r="G578" s="202"/>
      <c r="H578" s="202"/>
      <c r="I578" s="202"/>
      <c r="J578" s="202"/>
      <c r="K578" s="202"/>
      <c r="L578" s="202"/>
      <c r="M578" s="202">
        <f>49000+16800+4800</f>
        <v>70600</v>
      </c>
      <c r="N578" s="202"/>
    </row>
    <row r="579" spans="1:14" s="79" customFormat="1" ht="25.5">
      <c r="A579" s="122"/>
      <c r="B579" s="86">
        <v>85446</v>
      </c>
      <c r="C579" s="89"/>
      <c r="D579" s="93" t="s">
        <v>7</v>
      </c>
      <c r="E579" s="215">
        <f t="shared" si="79"/>
        <v>2590</v>
      </c>
      <c r="F579" s="215">
        <f t="shared" si="80"/>
        <v>2590</v>
      </c>
      <c r="G579" s="215">
        <f>SUM(G580:G581)</f>
        <v>0</v>
      </c>
      <c r="H579" s="215">
        <f aca="true" t="shared" si="83" ref="H579:N579">SUM(H580:H581)</f>
        <v>0</v>
      </c>
      <c r="I579" s="215">
        <f t="shared" si="83"/>
        <v>0</v>
      </c>
      <c r="J579" s="215">
        <f t="shared" si="83"/>
        <v>0</v>
      </c>
      <c r="K579" s="215">
        <f t="shared" si="83"/>
        <v>0</v>
      </c>
      <c r="L579" s="215">
        <f t="shared" si="83"/>
        <v>0</v>
      </c>
      <c r="M579" s="215">
        <f t="shared" si="83"/>
        <v>2590</v>
      </c>
      <c r="N579" s="215">
        <f t="shared" si="83"/>
        <v>0</v>
      </c>
    </row>
    <row r="580" spans="1:14" s="46" customFormat="1" ht="12.75">
      <c r="A580" s="111"/>
      <c r="B580" s="84"/>
      <c r="C580" s="85">
        <v>4300</v>
      </c>
      <c r="D580" s="88" t="s">
        <v>666</v>
      </c>
      <c r="E580" s="202">
        <f t="shared" si="79"/>
        <v>2590</v>
      </c>
      <c r="F580" s="202">
        <f t="shared" si="80"/>
        <v>2590</v>
      </c>
      <c r="G580" s="202"/>
      <c r="H580" s="202"/>
      <c r="I580" s="202"/>
      <c r="J580" s="202"/>
      <c r="K580" s="202"/>
      <c r="L580" s="202"/>
      <c r="M580" s="202">
        <f>5650-1790-1270</f>
        <v>2590</v>
      </c>
      <c r="N580" s="202"/>
    </row>
    <row r="581" spans="1:14" s="46" customFormat="1" ht="12.75">
      <c r="A581" s="111"/>
      <c r="B581" s="84"/>
      <c r="C581" s="85">
        <v>4410</v>
      </c>
      <c r="D581" s="88" t="s">
        <v>639</v>
      </c>
      <c r="E581" s="202">
        <f t="shared" si="79"/>
        <v>0</v>
      </c>
      <c r="F581" s="202">
        <f t="shared" si="80"/>
        <v>0</v>
      </c>
      <c r="G581" s="202"/>
      <c r="H581" s="202"/>
      <c r="I581" s="202"/>
      <c r="J581" s="202"/>
      <c r="K581" s="202"/>
      <c r="L581" s="202"/>
      <c r="M581" s="202">
        <f>1280-900-380</f>
        <v>0</v>
      </c>
      <c r="N581" s="202"/>
    </row>
    <row r="582" spans="1:14" s="79" customFormat="1" ht="12.75">
      <c r="A582" s="122"/>
      <c r="B582" s="86">
        <v>85495</v>
      </c>
      <c r="C582" s="89"/>
      <c r="D582" s="93" t="s">
        <v>676</v>
      </c>
      <c r="E582" s="215">
        <f t="shared" si="79"/>
        <v>9304</v>
      </c>
      <c r="F582" s="215">
        <f t="shared" si="80"/>
        <v>9304</v>
      </c>
      <c r="G582" s="215">
        <f aca="true" t="shared" si="84" ref="G582:N582">SUM(G583:G586)</f>
        <v>2816</v>
      </c>
      <c r="H582" s="215">
        <f t="shared" si="84"/>
        <v>0</v>
      </c>
      <c r="I582" s="215">
        <f t="shared" si="84"/>
        <v>573</v>
      </c>
      <c r="J582" s="215">
        <f t="shared" si="84"/>
        <v>0</v>
      </c>
      <c r="K582" s="215">
        <f t="shared" si="84"/>
        <v>0</v>
      </c>
      <c r="L582" s="215">
        <f t="shared" si="84"/>
        <v>0</v>
      </c>
      <c r="M582" s="215">
        <f t="shared" si="84"/>
        <v>5915</v>
      </c>
      <c r="N582" s="215">
        <f t="shared" si="84"/>
        <v>0</v>
      </c>
    </row>
    <row r="583" spans="1:14" s="46" customFormat="1" ht="25.5">
      <c r="A583" s="111"/>
      <c r="B583" s="84"/>
      <c r="C583" s="85">
        <v>4440</v>
      </c>
      <c r="D583" s="88" t="s">
        <v>641</v>
      </c>
      <c r="E583" s="202">
        <f t="shared" si="79"/>
        <v>5915</v>
      </c>
      <c r="F583" s="202">
        <f t="shared" si="80"/>
        <v>5915</v>
      </c>
      <c r="G583" s="202"/>
      <c r="H583" s="202"/>
      <c r="I583" s="202"/>
      <c r="J583" s="202"/>
      <c r="K583" s="202"/>
      <c r="L583" s="202"/>
      <c r="M583" s="202">
        <f>8860-2945</f>
        <v>5915</v>
      </c>
      <c r="N583" s="202"/>
    </row>
    <row r="584" spans="1:14" s="46" customFormat="1" ht="25.5">
      <c r="A584" s="111"/>
      <c r="B584" s="84"/>
      <c r="C584" s="85">
        <v>4010</v>
      </c>
      <c r="D584" s="88" t="s">
        <v>183</v>
      </c>
      <c r="E584" s="202">
        <f t="shared" si="79"/>
        <v>2816</v>
      </c>
      <c r="F584" s="202">
        <f>SUM(G584:M584)</f>
        <v>2816</v>
      </c>
      <c r="G584" s="202">
        <v>2816</v>
      </c>
      <c r="H584" s="202"/>
      <c r="I584" s="202"/>
      <c r="J584" s="202"/>
      <c r="K584" s="202"/>
      <c r="L584" s="202"/>
      <c r="M584" s="202"/>
      <c r="N584" s="202"/>
    </row>
    <row r="585" spans="1:14" s="46" customFormat="1" ht="12.75">
      <c r="A585" s="111"/>
      <c r="B585" s="84"/>
      <c r="C585" s="85">
        <v>4110</v>
      </c>
      <c r="D585" s="88" t="s">
        <v>687</v>
      </c>
      <c r="E585" s="202">
        <f t="shared" si="79"/>
        <v>504</v>
      </c>
      <c r="F585" s="202">
        <f>SUM(G585:M585)</f>
        <v>504</v>
      </c>
      <c r="G585" s="202"/>
      <c r="H585" s="202"/>
      <c r="I585" s="202">
        <v>504</v>
      </c>
      <c r="J585" s="202"/>
      <c r="K585" s="202"/>
      <c r="L585" s="202"/>
      <c r="M585" s="202"/>
      <c r="N585" s="202"/>
    </row>
    <row r="586" spans="1:14" s="46" customFormat="1" ht="12.75">
      <c r="A586" s="111"/>
      <c r="B586" s="84"/>
      <c r="C586" s="85">
        <v>4120</v>
      </c>
      <c r="D586" s="88" t="s">
        <v>627</v>
      </c>
      <c r="E586" s="202">
        <f t="shared" si="79"/>
        <v>69</v>
      </c>
      <c r="F586" s="202">
        <f>SUM(G586:M586)</f>
        <v>69</v>
      </c>
      <c r="G586" s="202"/>
      <c r="H586" s="202"/>
      <c r="I586" s="202">
        <v>69</v>
      </c>
      <c r="J586" s="202"/>
      <c r="K586" s="202"/>
      <c r="L586" s="202"/>
      <c r="M586" s="202"/>
      <c r="N586" s="202"/>
    </row>
    <row r="587" spans="1:14" s="120" customFormat="1" ht="25.5">
      <c r="A587" s="121">
        <v>921</v>
      </c>
      <c r="B587" s="81"/>
      <c r="C587" s="82"/>
      <c r="D587" s="94" t="s">
        <v>60</v>
      </c>
      <c r="E587" s="214">
        <f aca="true" t="shared" si="85" ref="E587:E610">F587+N587</f>
        <v>110554</v>
      </c>
      <c r="F587" s="214">
        <f aca="true" t="shared" si="86" ref="F587:F610">SUM(G587:M587)</f>
        <v>110554</v>
      </c>
      <c r="G587" s="214">
        <f>SUM(G590+G592+G588)</f>
        <v>0</v>
      </c>
      <c r="H587" s="214">
        <f aca="true" t="shared" si="87" ref="H587:N587">SUM(H590+H592+H588)</f>
        <v>0</v>
      </c>
      <c r="I587" s="214">
        <f t="shared" si="87"/>
        <v>0</v>
      </c>
      <c r="J587" s="214">
        <f t="shared" si="87"/>
        <v>76269</v>
      </c>
      <c r="K587" s="214">
        <f t="shared" si="87"/>
        <v>0</v>
      </c>
      <c r="L587" s="214">
        <f t="shared" si="87"/>
        <v>0</v>
      </c>
      <c r="M587" s="214">
        <f t="shared" si="87"/>
        <v>34285</v>
      </c>
      <c r="N587" s="214">
        <f t="shared" si="87"/>
        <v>0</v>
      </c>
    </row>
    <row r="588" spans="1:14" s="120" customFormat="1" ht="12.75">
      <c r="A588" s="121"/>
      <c r="B588" s="86">
        <v>92108</v>
      </c>
      <c r="C588" s="82"/>
      <c r="D588" s="336" t="s">
        <v>320</v>
      </c>
      <c r="E588" s="215">
        <f t="shared" si="85"/>
        <v>5000</v>
      </c>
      <c r="F588" s="215">
        <f>SUM(G588:M588)</f>
        <v>5000</v>
      </c>
      <c r="G588" s="215">
        <f>SUM(G589)</f>
        <v>0</v>
      </c>
      <c r="H588" s="215">
        <f aca="true" t="shared" si="88" ref="H588:N588">SUM(H589)</f>
        <v>0</v>
      </c>
      <c r="I588" s="215">
        <f t="shared" si="88"/>
        <v>0</v>
      </c>
      <c r="J588" s="215">
        <f t="shared" si="88"/>
        <v>5000</v>
      </c>
      <c r="K588" s="215">
        <f t="shared" si="88"/>
        <v>0</v>
      </c>
      <c r="L588" s="215">
        <f t="shared" si="88"/>
        <v>0</v>
      </c>
      <c r="M588" s="215">
        <f t="shared" si="88"/>
        <v>0</v>
      </c>
      <c r="N588" s="215">
        <f t="shared" si="88"/>
        <v>0</v>
      </c>
    </row>
    <row r="589" spans="1:14" s="120" customFormat="1" ht="33.75">
      <c r="A589" s="121"/>
      <c r="B589" s="81"/>
      <c r="C589" s="85">
        <v>2820</v>
      </c>
      <c r="D589" s="102" t="s">
        <v>317</v>
      </c>
      <c r="E589" s="202">
        <f t="shared" si="85"/>
        <v>5000</v>
      </c>
      <c r="F589" s="215">
        <f t="shared" si="86"/>
        <v>5000</v>
      </c>
      <c r="G589" s="214"/>
      <c r="H589" s="214"/>
      <c r="I589" s="214"/>
      <c r="J589" s="202">
        <v>5000</v>
      </c>
      <c r="K589" s="214"/>
      <c r="L589" s="214"/>
      <c r="M589" s="214"/>
      <c r="N589" s="214"/>
    </row>
    <row r="590" spans="1:14" s="79" customFormat="1" ht="12.75">
      <c r="A590" s="86"/>
      <c r="B590" s="86">
        <v>92116</v>
      </c>
      <c r="C590" s="89"/>
      <c r="D590" s="93" t="s">
        <v>61</v>
      </c>
      <c r="E590" s="215">
        <f t="shared" si="85"/>
        <v>48269</v>
      </c>
      <c r="F590" s="215">
        <f t="shared" si="86"/>
        <v>48269</v>
      </c>
      <c r="G590" s="215">
        <f aca="true" t="shared" si="89" ref="G590:N590">SUM(G591:G591)</f>
        <v>0</v>
      </c>
      <c r="H590" s="215">
        <f t="shared" si="89"/>
        <v>0</v>
      </c>
      <c r="I590" s="215">
        <f t="shared" si="89"/>
        <v>0</v>
      </c>
      <c r="J590" s="215">
        <f t="shared" si="89"/>
        <v>48269</v>
      </c>
      <c r="K590" s="215">
        <f t="shared" si="89"/>
        <v>0</v>
      </c>
      <c r="L590" s="215">
        <f t="shared" si="89"/>
        <v>0</v>
      </c>
      <c r="M590" s="215">
        <f t="shared" si="89"/>
        <v>0</v>
      </c>
      <c r="N590" s="215">
        <f t="shared" si="89"/>
        <v>0</v>
      </c>
    </row>
    <row r="591" spans="1:14" s="46" customFormat="1" ht="63.75">
      <c r="A591" s="84"/>
      <c r="B591" s="84"/>
      <c r="C591" s="85">
        <v>2310</v>
      </c>
      <c r="D591" s="88" t="s">
        <v>62</v>
      </c>
      <c r="E591" s="202">
        <f t="shared" si="85"/>
        <v>48269</v>
      </c>
      <c r="F591" s="202">
        <f t="shared" si="86"/>
        <v>48269</v>
      </c>
      <c r="G591" s="202"/>
      <c r="H591" s="202"/>
      <c r="I591" s="202"/>
      <c r="J591" s="202">
        <v>48269</v>
      </c>
      <c r="K591" s="202"/>
      <c r="L591" s="202"/>
      <c r="M591" s="202"/>
      <c r="N591" s="202"/>
    </row>
    <row r="592" spans="1:14" s="79" customFormat="1" ht="12.75">
      <c r="A592" s="86"/>
      <c r="B592" s="86">
        <v>92195</v>
      </c>
      <c r="C592" s="89"/>
      <c r="D592" s="93" t="s">
        <v>676</v>
      </c>
      <c r="E592" s="215">
        <f t="shared" si="85"/>
        <v>57285</v>
      </c>
      <c r="F592" s="215">
        <f t="shared" si="86"/>
        <v>57285</v>
      </c>
      <c r="G592" s="215">
        <f aca="true" t="shared" si="90" ref="G592:M592">SUM(G593:G602)</f>
        <v>0</v>
      </c>
      <c r="H592" s="215">
        <f t="shared" si="90"/>
        <v>0</v>
      </c>
      <c r="I592" s="215">
        <f t="shared" si="90"/>
        <v>0</v>
      </c>
      <c r="J592" s="215">
        <f t="shared" si="90"/>
        <v>23000</v>
      </c>
      <c r="K592" s="215">
        <f t="shared" si="90"/>
        <v>0</v>
      </c>
      <c r="L592" s="215">
        <f t="shared" si="90"/>
        <v>0</v>
      </c>
      <c r="M592" s="215">
        <f t="shared" si="90"/>
        <v>34285</v>
      </c>
      <c r="N592" s="215">
        <f>SUM(N593:N602)</f>
        <v>0</v>
      </c>
    </row>
    <row r="593" spans="1:14" s="79" customFormat="1" ht="33.75">
      <c r="A593" s="86"/>
      <c r="B593" s="86"/>
      <c r="C593" s="85">
        <v>2810</v>
      </c>
      <c r="D593" s="102" t="s">
        <v>321</v>
      </c>
      <c r="E593" s="202">
        <f t="shared" si="85"/>
        <v>8000</v>
      </c>
      <c r="F593" s="202">
        <f t="shared" si="86"/>
        <v>8000</v>
      </c>
      <c r="G593" s="215"/>
      <c r="H593" s="215"/>
      <c r="I593" s="215"/>
      <c r="J593" s="202">
        <v>8000</v>
      </c>
      <c r="K593" s="215"/>
      <c r="L593" s="215"/>
      <c r="M593" s="215"/>
      <c r="N593" s="215"/>
    </row>
    <row r="594" spans="1:14" s="79" customFormat="1" ht="33.75">
      <c r="A594" s="86"/>
      <c r="B594" s="86"/>
      <c r="C594" s="85">
        <v>2820</v>
      </c>
      <c r="D594" s="102" t="s">
        <v>317</v>
      </c>
      <c r="E594" s="202">
        <f t="shared" si="85"/>
        <v>15000</v>
      </c>
      <c r="F594" s="202">
        <f t="shared" si="86"/>
        <v>15000</v>
      </c>
      <c r="G594" s="215"/>
      <c r="H594" s="215"/>
      <c r="I594" s="215"/>
      <c r="J594" s="202">
        <v>15000</v>
      </c>
      <c r="K594" s="215"/>
      <c r="L594" s="215"/>
      <c r="M594" s="215"/>
      <c r="N594" s="215"/>
    </row>
    <row r="595" spans="1:14" s="46" customFormat="1" ht="12.75">
      <c r="A595" s="84"/>
      <c r="B595" s="84"/>
      <c r="C595" s="85">
        <v>4210</v>
      </c>
      <c r="D595" s="88" t="s">
        <v>629</v>
      </c>
      <c r="E595" s="202">
        <f t="shared" si="85"/>
        <v>15847</v>
      </c>
      <c r="F595" s="202">
        <f t="shared" si="86"/>
        <v>15847</v>
      </c>
      <c r="G595" s="202"/>
      <c r="H595" s="202"/>
      <c r="I595" s="202"/>
      <c r="J595" s="202"/>
      <c r="K595" s="202"/>
      <c r="L595" s="202"/>
      <c r="M595" s="202">
        <f>17800+500-500+547-2000-500</f>
        <v>15847</v>
      </c>
      <c r="N595" s="202"/>
    </row>
    <row r="596" spans="1:14" s="46" customFormat="1" ht="12.75">
      <c r="A596" s="84"/>
      <c r="B596" s="84"/>
      <c r="C596" s="85">
        <v>4170</v>
      </c>
      <c r="D596" s="88" t="s">
        <v>655</v>
      </c>
      <c r="E596" s="202">
        <f t="shared" si="85"/>
        <v>0</v>
      </c>
      <c r="F596" s="202">
        <f t="shared" si="86"/>
        <v>0</v>
      </c>
      <c r="G596" s="202"/>
      <c r="H596" s="202"/>
      <c r="I596" s="202"/>
      <c r="J596" s="202"/>
      <c r="K596" s="202"/>
      <c r="L596" s="202"/>
      <c r="M596" s="202">
        <f>1400+1400-2800</f>
        <v>0</v>
      </c>
      <c r="N596" s="202"/>
    </row>
    <row r="597" spans="1:14" s="46" customFormat="1" ht="12.75">
      <c r="A597" s="84"/>
      <c r="B597" s="84"/>
      <c r="C597" s="85">
        <v>4300</v>
      </c>
      <c r="D597" s="88" t="s">
        <v>666</v>
      </c>
      <c r="E597" s="202">
        <f t="shared" si="85"/>
        <v>18200</v>
      </c>
      <c r="F597" s="202">
        <f t="shared" si="86"/>
        <v>18200</v>
      </c>
      <c r="G597" s="202"/>
      <c r="H597" s="202"/>
      <c r="I597" s="202"/>
      <c r="J597" s="202"/>
      <c r="K597" s="202"/>
      <c r="L597" s="202"/>
      <c r="M597" s="202">
        <f>9700+10000-1500</f>
        <v>18200</v>
      </c>
      <c r="N597" s="202"/>
    </row>
    <row r="598" spans="1:14" s="46" customFormat="1" ht="12.75">
      <c r="A598" s="84"/>
      <c r="B598" s="84"/>
      <c r="C598" s="85">
        <v>4410</v>
      </c>
      <c r="D598" s="88" t="s">
        <v>639</v>
      </c>
      <c r="E598" s="202">
        <f t="shared" si="85"/>
        <v>23</v>
      </c>
      <c r="F598" s="202">
        <f t="shared" si="86"/>
        <v>23</v>
      </c>
      <c r="G598" s="202"/>
      <c r="H598" s="202"/>
      <c r="I598" s="202"/>
      <c r="J598" s="202"/>
      <c r="K598" s="202"/>
      <c r="L598" s="202"/>
      <c r="M598" s="202">
        <v>23</v>
      </c>
      <c r="N598" s="202"/>
    </row>
    <row r="599" spans="1:14" s="46" customFormat="1" ht="12.75">
      <c r="A599" s="84"/>
      <c r="B599" s="84"/>
      <c r="C599" s="85">
        <v>4420</v>
      </c>
      <c r="D599" s="88" t="s">
        <v>349</v>
      </c>
      <c r="E599" s="202">
        <f t="shared" si="85"/>
        <v>127</v>
      </c>
      <c r="F599" s="202">
        <f t="shared" si="86"/>
        <v>127</v>
      </c>
      <c r="G599" s="202"/>
      <c r="H599" s="202"/>
      <c r="I599" s="202"/>
      <c r="J599" s="202"/>
      <c r="K599" s="202"/>
      <c r="L599" s="202"/>
      <c r="M599" s="202">
        <v>127</v>
      </c>
      <c r="N599" s="202"/>
    </row>
    <row r="600" spans="1:14" s="46" customFormat="1" ht="12.75">
      <c r="A600" s="84"/>
      <c r="B600" s="84"/>
      <c r="C600" s="85">
        <v>4430</v>
      </c>
      <c r="D600" s="88" t="s">
        <v>350</v>
      </c>
      <c r="E600" s="202">
        <f t="shared" si="85"/>
        <v>88</v>
      </c>
      <c r="F600" s="202">
        <f t="shared" si="86"/>
        <v>88</v>
      </c>
      <c r="G600" s="202"/>
      <c r="H600" s="202"/>
      <c r="I600" s="202"/>
      <c r="J600" s="202"/>
      <c r="K600" s="202"/>
      <c r="L600" s="202"/>
      <c r="M600" s="202">
        <v>88</v>
      </c>
      <c r="N600" s="202"/>
    </row>
    <row r="601" spans="1:14" s="46" customFormat="1" ht="38.25">
      <c r="A601" s="84"/>
      <c r="B601" s="84"/>
      <c r="C601" s="85">
        <v>4740</v>
      </c>
      <c r="D601" s="88" t="s">
        <v>658</v>
      </c>
      <c r="E601" s="202">
        <f t="shared" si="85"/>
        <v>0</v>
      </c>
      <c r="F601" s="202">
        <f t="shared" si="86"/>
        <v>0</v>
      </c>
      <c r="G601" s="202"/>
      <c r="H601" s="202"/>
      <c r="I601" s="202"/>
      <c r="J601" s="202"/>
      <c r="K601" s="202"/>
      <c r="L601" s="202"/>
      <c r="M601" s="202">
        <f>150-150</f>
        <v>0</v>
      </c>
      <c r="N601" s="202"/>
    </row>
    <row r="602" spans="1:14" s="46" customFormat="1" ht="25.5">
      <c r="A602" s="84"/>
      <c r="B602" s="84"/>
      <c r="C602" s="85">
        <v>4750</v>
      </c>
      <c r="D602" s="88" t="s">
        <v>659</v>
      </c>
      <c r="E602" s="202">
        <f t="shared" si="85"/>
        <v>0</v>
      </c>
      <c r="F602" s="202">
        <f t="shared" si="86"/>
        <v>0</v>
      </c>
      <c r="G602" s="202"/>
      <c r="H602" s="202"/>
      <c r="I602" s="202"/>
      <c r="J602" s="202"/>
      <c r="K602" s="202"/>
      <c r="L602" s="202"/>
      <c r="M602" s="202">
        <f>500-500</f>
        <v>0</v>
      </c>
      <c r="N602" s="202"/>
    </row>
    <row r="603" spans="1:14" s="79" customFormat="1" ht="12.75">
      <c r="A603" s="86">
        <v>926</v>
      </c>
      <c r="B603" s="86"/>
      <c r="C603" s="89"/>
      <c r="D603" s="93" t="s">
        <v>63</v>
      </c>
      <c r="E603" s="215">
        <f t="shared" si="85"/>
        <v>101910</v>
      </c>
      <c r="F603" s="215">
        <f t="shared" si="86"/>
        <v>101910</v>
      </c>
      <c r="G603" s="215">
        <f aca="true" t="shared" si="91" ref="G603:N603">SUM(G604)</f>
        <v>0</v>
      </c>
      <c r="H603" s="215">
        <f t="shared" si="91"/>
        <v>0</v>
      </c>
      <c r="I603" s="215">
        <f t="shared" si="91"/>
        <v>70</v>
      </c>
      <c r="J603" s="215">
        <f t="shared" si="91"/>
        <v>60000</v>
      </c>
      <c r="K603" s="215">
        <f t="shared" si="91"/>
        <v>0</v>
      </c>
      <c r="L603" s="215">
        <f t="shared" si="91"/>
        <v>0</v>
      </c>
      <c r="M603" s="215">
        <f t="shared" si="91"/>
        <v>41840</v>
      </c>
      <c r="N603" s="215">
        <f t="shared" si="91"/>
        <v>0</v>
      </c>
    </row>
    <row r="604" spans="1:14" s="79" customFormat="1" ht="25.5">
      <c r="A604" s="86"/>
      <c r="B604" s="86">
        <v>92605</v>
      </c>
      <c r="C604" s="89"/>
      <c r="D604" s="93" t="s">
        <v>64</v>
      </c>
      <c r="E604" s="215">
        <f t="shared" si="85"/>
        <v>101910</v>
      </c>
      <c r="F604" s="215">
        <f t="shared" si="86"/>
        <v>101910</v>
      </c>
      <c r="G604" s="217">
        <f>SUM(G605:G610)</f>
        <v>0</v>
      </c>
      <c r="H604" s="217">
        <f aca="true" t="shared" si="92" ref="H604:N604">SUM(H605:H610)</f>
        <v>0</v>
      </c>
      <c r="I604" s="217">
        <f t="shared" si="92"/>
        <v>70</v>
      </c>
      <c r="J604" s="217">
        <f t="shared" si="92"/>
        <v>60000</v>
      </c>
      <c r="K604" s="217">
        <f t="shared" si="92"/>
        <v>0</v>
      </c>
      <c r="L604" s="217">
        <f t="shared" si="92"/>
        <v>0</v>
      </c>
      <c r="M604" s="217">
        <f t="shared" si="92"/>
        <v>41840</v>
      </c>
      <c r="N604" s="217">
        <f t="shared" si="92"/>
        <v>0</v>
      </c>
    </row>
    <row r="605" spans="1:14" s="79" customFormat="1" ht="33.75">
      <c r="A605" s="86"/>
      <c r="B605" s="86"/>
      <c r="C605" s="85">
        <v>2820</v>
      </c>
      <c r="D605" s="102" t="s">
        <v>317</v>
      </c>
      <c r="E605" s="202">
        <f t="shared" si="85"/>
        <v>60000</v>
      </c>
      <c r="F605" s="202">
        <f t="shared" si="86"/>
        <v>60000</v>
      </c>
      <c r="G605" s="217"/>
      <c r="H605" s="217"/>
      <c r="I605" s="217"/>
      <c r="J605" s="337">
        <f>55000+5000</f>
        <v>60000</v>
      </c>
      <c r="K605" s="217"/>
      <c r="L605" s="217"/>
      <c r="M605" s="217"/>
      <c r="N605" s="217"/>
    </row>
    <row r="606" spans="1:14" s="46" customFormat="1" ht="12.75">
      <c r="A606" s="84"/>
      <c r="B606" s="84"/>
      <c r="C606" s="85">
        <v>4210</v>
      </c>
      <c r="D606" s="88" t="s">
        <v>629</v>
      </c>
      <c r="E606" s="202">
        <f t="shared" si="85"/>
        <v>30260</v>
      </c>
      <c r="F606" s="202">
        <f t="shared" si="86"/>
        <v>30260</v>
      </c>
      <c r="G606" s="202"/>
      <c r="H606" s="202"/>
      <c r="I606" s="202"/>
      <c r="J606" s="202"/>
      <c r="K606" s="202"/>
      <c r="L606" s="202"/>
      <c r="M606" s="202">
        <f>20300-30+5350+3680+1000-40</f>
        <v>30260</v>
      </c>
      <c r="N606" s="202"/>
    </row>
    <row r="607" spans="1:14" s="46" customFormat="1" ht="12.75">
      <c r="A607" s="84"/>
      <c r="B607" s="84"/>
      <c r="C607" s="85">
        <v>4170</v>
      </c>
      <c r="D607" s="88" t="s">
        <v>655</v>
      </c>
      <c r="E607" s="202">
        <f t="shared" si="85"/>
        <v>4120</v>
      </c>
      <c r="F607" s="202">
        <f t="shared" si="86"/>
        <v>4120</v>
      </c>
      <c r="G607" s="202"/>
      <c r="H607" s="202"/>
      <c r="I607" s="202"/>
      <c r="J607" s="202"/>
      <c r="K607" s="202"/>
      <c r="L607" s="202"/>
      <c r="M607" s="202">
        <f>1520+2600</f>
        <v>4120</v>
      </c>
      <c r="N607" s="202"/>
    </row>
    <row r="608" spans="1:14" s="46" customFormat="1" ht="12.75">
      <c r="A608" s="111"/>
      <c r="B608" s="84"/>
      <c r="C608" s="85">
        <v>4110</v>
      </c>
      <c r="D608" s="88" t="s">
        <v>687</v>
      </c>
      <c r="E608" s="202">
        <f t="shared" si="85"/>
        <v>70</v>
      </c>
      <c r="F608" s="202">
        <f t="shared" si="86"/>
        <v>70</v>
      </c>
      <c r="G608" s="202"/>
      <c r="H608" s="202"/>
      <c r="I608" s="202">
        <f>30+40</f>
        <v>70</v>
      </c>
      <c r="J608" s="202"/>
      <c r="K608" s="202"/>
      <c r="L608" s="202"/>
      <c r="M608" s="202"/>
      <c r="N608" s="202"/>
    </row>
    <row r="609" spans="1:14" s="46" customFormat="1" ht="12.75">
      <c r="A609" s="84"/>
      <c r="B609" s="84"/>
      <c r="C609" s="85">
        <v>4300</v>
      </c>
      <c r="D609" s="88" t="s">
        <v>666</v>
      </c>
      <c r="E609" s="202">
        <f t="shared" si="85"/>
        <v>6440</v>
      </c>
      <c r="F609" s="202">
        <f t="shared" si="86"/>
        <v>6440</v>
      </c>
      <c r="G609" s="202"/>
      <c r="H609" s="202"/>
      <c r="I609" s="202"/>
      <c r="J609" s="202"/>
      <c r="K609" s="202"/>
      <c r="L609" s="202"/>
      <c r="M609" s="202">
        <f>3570+2650+220</f>
        <v>6440</v>
      </c>
      <c r="N609" s="202"/>
    </row>
    <row r="610" spans="1:14" s="46" customFormat="1" ht="12.75">
      <c r="A610" s="84"/>
      <c r="B610" s="84"/>
      <c r="C610" s="85">
        <v>4410</v>
      </c>
      <c r="D610" s="88" t="s">
        <v>639</v>
      </c>
      <c r="E610" s="202">
        <f t="shared" si="85"/>
        <v>1020</v>
      </c>
      <c r="F610" s="202">
        <f t="shared" si="86"/>
        <v>1020</v>
      </c>
      <c r="G610" s="202"/>
      <c r="H610" s="202"/>
      <c r="I610" s="202"/>
      <c r="J610" s="202"/>
      <c r="K610" s="202"/>
      <c r="L610" s="202"/>
      <c r="M610" s="202">
        <v>1020</v>
      </c>
      <c r="N610" s="202"/>
    </row>
    <row r="611" spans="1:14" s="48" customFormat="1" ht="24.75" customHeight="1">
      <c r="A611" s="393" t="s">
        <v>498</v>
      </c>
      <c r="B611" s="394"/>
      <c r="C611" s="394"/>
      <c r="D611" s="395"/>
      <c r="E611" s="119">
        <f aca="true" t="shared" si="93" ref="E611:N611">E8+E11+E85+E55+E44+E17+E153+E159+E163+E167+E295+E305+E313+E444+E492+E587+E603</f>
        <v>50997995</v>
      </c>
      <c r="F611" s="119">
        <f t="shared" si="93"/>
        <v>46561477</v>
      </c>
      <c r="G611" s="119">
        <f t="shared" si="93"/>
        <v>18215768</v>
      </c>
      <c r="H611" s="119">
        <f t="shared" si="93"/>
        <v>1292837</v>
      </c>
      <c r="I611" s="119">
        <f t="shared" si="93"/>
        <v>3962977</v>
      </c>
      <c r="J611" s="119">
        <f t="shared" si="93"/>
        <v>6308525</v>
      </c>
      <c r="K611" s="119">
        <f t="shared" si="93"/>
        <v>263100</v>
      </c>
      <c r="L611" s="119">
        <f t="shared" si="93"/>
        <v>1101171</v>
      </c>
      <c r="M611" s="119">
        <f t="shared" si="93"/>
        <v>15417099</v>
      </c>
      <c r="N611" s="119">
        <f t="shared" si="93"/>
        <v>4436518</v>
      </c>
    </row>
    <row r="613" spans="3:14" ht="12.75">
      <c r="C613" s="19"/>
      <c r="D613" s="19" t="s">
        <v>584</v>
      </c>
      <c r="E613" s="136">
        <f>F613+N613</f>
        <v>7267479</v>
      </c>
      <c r="F613" s="136">
        <f>SUM(G613:M613)</f>
        <v>6733121</v>
      </c>
      <c r="G613" s="136">
        <v>17727</v>
      </c>
      <c r="H613" s="136"/>
      <c r="I613" s="136">
        <v>178550</v>
      </c>
      <c r="J613" s="136">
        <v>5435673</v>
      </c>
      <c r="K613" s="136"/>
      <c r="L613" s="136">
        <v>1101171</v>
      </c>
      <c r="M613" s="136"/>
      <c r="N613" s="136">
        <v>534358</v>
      </c>
    </row>
  </sheetData>
  <mergeCells count="11">
    <mergeCell ref="A611:D611"/>
    <mergeCell ref="A1:N1"/>
    <mergeCell ref="E4:E6"/>
    <mergeCell ref="A4:A6"/>
    <mergeCell ref="D4:D6"/>
    <mergeCell ref="B4:B6"/>
    <mergeCell ref="F4:N4"/>
    <mergeCell ref="G5:M5"/>
    <mergeCell ref="F5:F6"/>
    <mergeCell ref="N5:N6"/>
    <mergeCell ref="C4:C6"/>
  </mergeCells>
  <printOptions horizontalCentered="1"/>
  <pageMargins left="0.3937007874015748" right="0.3937007874015748" top="1.4960629921259843" bottom="0.7874015748031497" header="0.5118110236220472" footer="0.5118110236220472"/>
  <pageSetup horizontalDpi="600" verticalDpi="600" orientation="landscape" paperSize="9" scale="90" r:id="rId1"/>
  <headerFooter alignWithMargins="0">
    <oddHeader>&amp;RZałącznik nr 2
do uchwały Rady Powiatu 
nr X/60/07
z dnia 5.12.2007 r.</oddHeader>
  </headerFooter>
</worksheet>
</file>

<file path=xl/worksheets/sheet3.xml><?xml version="1.0" encoding="utf-8"?>
<worksheet xmlns="http://schemas.openxmlformats.org/spreadsheetml/2006/main" xmlns:r="http://schemas.openxmlformats.org/officeDocument/2006/relationships">
  <dimension ref="A1:N70"/>
  <sheetViews>
    <sheetView workbookViewId="0" topLeftCell="A34">
      <selection activeCell="C44" sqref="C44"/>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96" t="s">
        <v>469</v>
      </c>
      <c r="B1" s="396"/>
      <c r="C1" s="396"/>
      <c r="D1" s="396"/>
      <c r="E1" s="396"/>
      <c r="F1" s="396"/>
      <c r="G1" s="396"/>
      <c r="H1" s="396"/>
      <c r="I1" s="396"/>
      <c r="J1" s="396"/>
      <c r="K1" s="396"/>
      <c r="L1" s="396"/>
      <c r="M1" s="396"/>
      <c r="N1" s="396"/>
    </row>
    <row r="2" spans="1:14" ht="10.5" customHeight="1">
      <c r="A2" s="14"/>
      <c r="B2" s="14"/>
      <c r="C2" s="14"/>
      <c r="D2" s="14"/>
      <c r="E2" s="14"/>
      <c r="F2" s="14"/>
      <c r="G2" s="14"/>
      <c r="H2" s="14"/>
      <c r="I2" s="14"/>
      <c r="J2" s="14"/>
      <c r="K2" s="14"/>
      <c r="L2" s="14"/>
      <c r="M2" s="14"/>
      <c r="N2" s="9" t="s">
        <v>425</v>
      </c>
    </row>
    <row r="3" spans="1:14" s="41" customFormat="1" ht="19.5" customHeight="1">
      <c r="A3" s="397" t="s">
        <v>447</v>
      </c>
      <c r="B3" s="397" t="s">
        <v>386</v>
      </c>
      <c r="C3" s="397" t="s">
        <v>424</v>
      </c>
      <c r="D3" s="397" t="s">
        <v>538</v>
      </c>
      <c r="E3" s="398" t="s">
        <v>521</v>
      </c>
      <c r="F3" s="398" t="s">
        <v>534</v>
      </c>
      <c r="G3" s="398" t="s">
        <v>468</v>
      </c>
      <c r="H3" s="398"/>
      <c r="I3" s="398"/>
      <c r="J3" s="398"/>
      <c r="K3" s="398"/>
      <c r="L3" s="398"/>
      <c r="M3" s="398"/>
      <c r="N3" s="398" t="s">
        <v>539</v>
      </c>
    </row>
    <row r="4" spans="1:14" s="41" customFormat="1" ht="19.5" customHeight="1">
      <c r="A4" s="397"/>
      <c r="B4" s="397"/>
      <c r="C4" s="397"/>
      <c r="D4" s="397"/>
      <c r="E4" s="398"/>
      <c r="F4" s="398"/>
      <c r="G4" s="398" t="s">
        <v>593</v>
      </c>
      <c r="H4" s="398" t="s">
        <v>595</v>
      </c>
      <c r="I4" s="398"/>
      <c r="J4" s="398"/>
      <c r="K4" s="398"/>
      <c r="L4" s="398" t="s">
        <v>442</v>
      </c>
      <c r="M4" s="398" t="s">
        <v>445</v>
      </c>
      <c r="N4" s="398"/>
    </row>
    <row r="5" spans="1:14" s="41" customFormat="1" ht="29.25" customHeight="1">
      <c r="A5" s="397"/>
      <c r="B5" s="397"/>
      <c r="C5" s="397"/>
      <c r="D5" s="397"/>
      <c r="E5" s="398"/>
      <c r="F5" s="398"/>
      <c r="G5" s="398"/>
      <c r="H5" s="398" t="s">
        <v>540</v>
      </c>
      <c r="I5" s="398" t="s">
        <v>517</v>
      </c>
      <c r="J5" s="398" t="s">
        <v>365</v>
      </c>
      <c r="K5" s="398" t="s">
        <v>518</v>
      </c>
      <c r="L5" s="398"/>
      <c r="M5" s="398"/>
      <c r="N5" s="398"/>
    </row>
    <row r="6" spans="1:14" s="41" customFormat="1" ht="19.5" customHeight="1">
      <c r="A6" s="397"/>
      <c r="B6" s="397"/>
      <c r="C6" s="397"/>
      <c r="D6" s="397"/>
      <c r="E6" s="398"/>
      <c r="F6" s="398"/>
      <c r="G6" s="398"/>
      <c r="H6" s="398"/>
      <c r="I6" s="398"/>
      <c r="J6" s="398"/>
      <c r="K6" s="398"/>
      <c r="L6" s="398"/>
      <c r="M6" s="398"/>
      <c r="N6" s="398"/>
    </row>
    <row r="7" spans="1:14" s="41" customFormat="1" ht="19.5" customHeight="1">
      <c r="A7" s="397"/>
      <c r="B7" s="397"/>
      <c r="C7" s="397"/>
      <c r="D7" s="397"/>
      <c r="E7" s="398"/>
      <c r="F7" s="398"/>
      <c r="G7" s="398"/>
      <c r="H7" s="398"/>
      <c r="I7" s="398"/>
      <c r="J7" s="398"/>
      <c r="K7" s="398"/>
      <c r="L7" s="398"/>
      <c r="M7" s="398"/>
      <c r="N7" s="398"/>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1" customFormat="1" ht="102">
      <c r="A9" s="25">
        <v>1</v>
      </c>
      <c r="B9" s="19">
        <v>600</v>
      </c>
      <c r="C9" s="19">
        <v>60014</v>
      </c>
      <c r="D9" s="25"/>
      <c r="E9" s="80" t="s">
        <v>214</v>
      </c>
      <c r="F9" s="269">
        <f>G9+L9+M9</f>
        <v>2034358</v>
      </c>
      <c r="G9" s="269">
        <f aca="true" t="shared" si="0" ref="G9:M9">SUM(G11:G12)</f>
        <v>534358</v>
      </c>
      <c r="H9" s="269">
        <f t="shared" si="0"/>
        <v>0</v>
      </c>
      <c r="I9" s="269">
        <f t="shared" si="0"/>
        <v>0</v>
      </c>
      <c r="J9" s="269">
        <f t="shared" si="0"/>
        <v>0</v>
      </c>
      <c r="K9" s="269">
        <f t="shared" si="0"/>
        <v>534358</v>
      </c>
      <c r="L9" s="269">
        <f t="shared" si="0"/>
        <v>750000</v>
      </c>
      <c r="M9" s="269">
        <f t="shared" si="0"/>
        <v>750000</v>
      </c>
      <c r="N9" s="270" t="s">
        <v>160</v>
      </c>
    </row>
    <row r="10" spans="1:14" s="271" customFormat="1" ht="12.75">
      <c r="A10" s="25"/>
      <c r="B10" s="19"/>
      <c r="C10" s="19"/>
      <c r="D10" s="25"/>
      <c r="E10" s="80" t="s">
        <v>296</v>
      </c>
      <c r="F10" s="269"/>
      <c r="G10" s="269"/>
      <c r="H10" s="269"/>
      <c r="I10" s="269"/>
      <c r="J10" s="269"/>
      <c r="K10" s="269"/>
      <c r="L10" s="269"/>
      <c r="M10" s="269"/>
      <c r="N10" s="270"/>
    </row>
    <row r="11" spans="1:14" ht="70.5" customHeight="1">
      <c r="A11" s="175"/>
      <c r="B11" s="19"/>
      <c r="C11" s="19"/>
      <c r="D11" s="19">
        <v>6058</v>
      </c>
      <c r="E11" s="180" t="s">
        <v>162</v>
      </c>
      <c r="F11" s="269">
        <f>G11+L11+M11</f>
        <v>1164097</v>
      </c>
      <c r="G11" s="136">
        <f>SUM(H11:K11)</f>
        <v>264097</v>
      </c>
      <c r="H11" s="136"/>
      <c r="I11" s="136"/>
      <c r="J11" s="178"/>
      <c r="K11" s="136">
        <v>264097</v>
      </c>
      <c r="L11" s="136">
        <f>750000*60%</f>
        <v>450000</v>
      </c>
      <c r="M11" s="136">
        <f>750000*60%</f>
        <v>450000</v>
      </c>
      <c r="N11" s="19"/>
    </row>
    <row r="12" spans="1:14" ht="70.5" customHeight="1">
      <c r="A12" s="175"/>
      <c r="B12" s="19"/>
      <c r="C12" s="19"/>
      <c r="D12" s="19">
        <v>6059</v>
      </c>
      <c r="E12" s="180" t="s">
        <v>162</v>
      </c>
      <c r="F12" s="269">
        <f>G12+L12+M12</f>
        <v>870261</v>
      </c>
      <c r="G12" s="136">
        <f>SUM(H12:K12)</f>
        <v>270261</v>
      </c>
      <c r="H12" s="136"/>
      <c r="I12" s="136"/>
      <c r="J12" s="136"/>
      <c r="K12" s="136">
        <f>176065+94196</f>
        <v>270261</v>
      </c>
      <c r="L12" s="136">
        <f>750000*40%</f>
        <v>300000</v>
      </c>
      <c r="M12" s="136">
        <f>750000*40%</f>
        <v>300000</v>
      </c>
      <c r="N12" s="19"/>
    </row>
    <row r="13" spans="1:14" ht="70.5" customHeight="1">
      <c r="A13" s="175">
        <v>2</v>
      </c>
      <c r="B13" s="19"/>
      <c r="C13" s="19"/>
      <c r="D13" s="19">
        <v>6050</v>
      </c>
      <c r="E13" s="180" t="s">
        <v>215</v>
      </c>
      <c r="F13" s="269">
        <f>G13+L13+M13</f>
        <v>1000000</v>
      </c>
      <c r="G13" s="136">
        <f aca="true" t="shared" si="1" ref="G13:G19">SUM(H13:K13)</f>
        <v>300000</v>
      </c>
      <c r="H13" s="136">
        <v>300000</v>
      </c>
      <c r="I13" s="136"/>
      <c r="J13" s="136"/>
      <c r="K13" s="136"/>
      <c r="L13" s="136">
        <v>350000</v>
      </c>
      <c r="M13" s="136">
        <v>350000</v>
      </c>
      <c r="N13" s="19" t="s">
        <v>160</v>
      </c>
    </row>
    <row r="14" spans="1:14" ht="60">
      <c r="A14" s="175">
        <v>3</v>
      </c>
      <c r="B14" s="19"/>
      <c r="C14" s="19"/>
      <c r="D14" s="19">
        <v>6050</v>
      </c>
      <c r="E14" s="180" t="s">
        <v>361</v>
      </c>
      <c r="F14" s="269">
        <f>G14+L14+M14</f>
        <v>900000</v>
      </c>
      <c r="G14" s="136">
        <f t="shared" si="1"/>
        <v>900000</v>
      </c>
      <c r="H14" s="136">
        <v>875327</v>
      </c>
      <c r="I14" s="136"/>
      <c r="J14" s="136">
        <f>1!E18</f>
        <v>24673</v>
      </c>
      <c r="K14" s="136">
        <v>0</v>
      </c>
      <c r="L14" s="136">
        <v>0</v>
      </c>
      <c r="M14" s="136">
        <v>0</v>
      </c>
      <c r="N14" s="19" t="s">
        <v>160</v>
      </c>
    </row>
    <row r="15" spans="1:14" ht="70.5" customHeight="1">
      <c r="A15" s="175"/>
      <c r="B15" s="19"/>
      <c r="C15" s="19"/>
      <c r="D15" s="19"/>
      <c r="E15" s="176" t="s">
        <v>216</v>
      </c>
      <c r="F15" s="269">
        <f>G15+L15+M15</f>
        <v>820000</v>
      </c>
      <c r="G15" s="136">
        <f t="shared" si="1"/>
        <v>0</v>
      </c>
      <c r="H15" s="269">
        <f aca="true" t="shared" si="2" ref="H15:M15">SUM(H17:H18)</f>
        <v>0</v>
      </c>
      <c r="I15" s="269">
        <f t="shared" si="2"/>
        <v>0</v>
      </c>
      <c r="J15" s="269">
        <f t="shared" si="2"/>
        <v>0</v>
      </c>
      <c r="K15" s="269">
        <f t="shared" si="2"/>
        <v>0</v>
      </c>
      <c r="L15" s="269">
        <f t="shared" si="2"/>
        <v>410000</v>
      </c>
      <c r="M15" s="269">
        <f t="shared" si="2"/>
        <v>410000</v>
      </c>
      <c r="N15" s="19" t="s">
        <v>160</v>
      </c>
    </row>
    <row r="16" spans="1:14" ht="12" customHeight="1">
      <c r="A16" s="175"/>
      <c r="B16" s="19"/>
      <c r="C16" s="19"/>
      <c r="D16" s="19"/>
      <c r="E16" s="176" t="s">
        <v>296</v>
      </c>
      <c r="F16" s="269"/>
      <c r="G16" s="136"/>
      <c r="H16" s="269"/>
      <c r="I16" s="269"/>
      <c r="J16" s="269"/>
      <c r="K16" s="269"/>
      <c r="L16" s="269"/>
      <c r="M16" s="269"/>
      <c r="N16" s="19"/>
    </row>
    <row r="17" spans="1:14" ht="70.5" customHeight="1">
      <c r="A17" s="175"/>
      <c r="B17" s="19"/>
      <c r="C17" s="19"/>
      <c r="D17" s="19">
        <v>6058</v>
      </c>
      <c r="E17" s="180"/>
      <c r="F17" s="269">
        <f aca="true" t="shared" si="3" ref="F17:F32">G17+L17+M17</f>
        <v>492000</v>
      </c>
      <c r="G17" s="136">
        <f t="shared" si="1"/>
        <v>0</v>
      </c>
      <c r="H17" s="136"/>
      <c r="I17" s="136"/>
      <c r="J17" s="136"/>
      <c r="K17" s="136"/>
      <c r="L17" s="136">
        <f>410000*60%</f>
        <v>246000</v>
      </c>
      <c r="M17" s="136">
        <f>410000*60%</f>
        <v>246000</v>
      </c>
      <c r="N17" s="19"/>
    </row>
    <row r="18" spans="1:14" ht="70.5" customHeight="1">
      <c r="A18" s="175"/>
      <c r="B18" s="19"/>
      <c r="C18" s="19"/>
      <c r="D18" s="19">
        <v>6059</v>
      </c>
      <c r="E18" s="180"/>
      <c r="F18" s="269">
        <f t="shared" si="3"/>
        <v>328000</v>
      </c>
      <c r="G18" s="136">
        <f t="shared" si="1"/>
        <v>0</v>
      </c>
      <c r="H18" s="136"/>
      <c r="I18" s="136"/>
      <c r="J18" s="136"/>
      <c r="K18" s="136"/>
      <c r="L18" s="136">
        <f>410000*40%</f>
        <v>164000</v>
      </c>
      <c r="M18" s="136">
        <f>410000*40%</f>
        <v>164000</v>
      </c>
      <c r="N18" s="19"/>
    </row>
    <row r="19" spans="1:14" ht="70.5" customHeight="1">
      <c r="A19" s="175">
        <v>4</v>
      </c>
      <c r="B19" s="19"/>
      <c r="C19" s="19"/>
      <c r="D19" s="19">
        <v>6050</v>
      </c>
      <c r="E19" s="180" t="s">
        <v>217</v>
      </c>
      <c r="F19" s="269">
        <f t="shared" si="3"/>
        <v>4200000</v>
      </c>
      <c r="G19" s="136">
        <f t="shared" si="1"/>
        <v>0</v>
      </c>
      <c r="H19" s="136"/>
      <c r="I19" s="136"/>
      <c r="J19" s="136"/>
      <c r="K19" s="136"/>
      <c r="L19" s="136">
        <v>1750000</v>
      </c>
      <c r="M19" s="136">
        <v>2450000</v>
      </c>
      <c r="N19" s="19" t="s">
        <v>160</v>
      </c>
    </row>
    <row r="20" spans="1:14" ht="70.5" customHeight="1">
      <c r="A20" s="175">
        <v>5</v>
      </c>
      <c r="B20" s="19"/>
      <c r="C20" s="19"/>
      <c r="D20" s="19">
        <v>6060</v>
      </c>
      <c r="E20" s="180" t="s">
        <v>165</v>
      </c>
      <c r="F20" s="269">
        <f t="shared" si="3"/>
        <v>80000</v>
      </c>
      <c r="G20" s="136">
        <f aca="true" t="shared" si="4" ref="G20:G45">SUM(H20:K20)</f>
        <v>80000</v>
      </c>
      <c r="H20" s="136">
        <f>60000+20000</f>
        <v>80000</v>
      </c>
      <c r="I20" s="136"/>
      <c r="J20" s="136"/>
      <c r="K20" s="136"/>
      <c r="L20" s="136"/>
      <c r="M20" s="136"/>
      <c r="N20" s="19" t="s">
        <v>160</v>
      </c>
    </row>
    <row r="21" spans="1:14" ht="63.75">
      <c r="A21" s="175">
        <v>6</v>
      </c>
      <c r="B21" s="19">
        <v>700</v>
      </c>
      <c r="C21" s="19">
        <v>70005</v>
      </c>
      <c r="D21" s="19">
        <v>6050</v>
      </c>
      <c r="E21" s="181" t="s">
        <v>122</v>
      </c>
      <c r="F21" s="269">
        <f t="shared" si="3"/>
        <v>1000000</v>
      </c>
      <c r="G21" s="136">
        <f t="shared" si="4"/>
        <v>1000000</v>
      </c>
      <c r="H21" s="136"/>
      <c r="I21" s="136">
        <v>1000000</v>
      </c>
      <c r="J21" s="178"/>
      <c r="K21" s="19"/>
      <c r="L21" s="136"/>
      <c r="M21" s="136"/>
      <c r="N21" s="179" t="s">
        <v>161</v>
      </c>
    </row>
    <row r="22" spans="1:14" ht="51">
      <c r="A22" s="175">
        <v>7</v>
      </c>
      <c r="B22" s="19">
        <v>700</v>
      </c>
      <c r="C22" s="19">
        <v>70005</v>
      </c>
      <c r="D22" s="19">
        <v>6050</v>
      </c>
      <c r="E22" s="181" t="s">
        <v>369</v>
      </c>
      <c r="F22" s="269">
        <f t="shared" si="3"/>
        <v>50000</v>
      </c>
      <c r="G22" s="136">
        <f t="shared" si="4"/>
        <v>50000</v>
      </c>
      <c r="H22" s="136">
        <v>18613</v>
      </c>
      <c r="I22" s="136"/>
      <c r="J22" s="178">
        <v>31387</v>
      </c>
      <c r="K22" s="19"/>
      <c r="L22" s="136"/>
      <c r="M22" s="136"/>
      <c r="N22" s="179" t="s">
        <v>161</v>
      </c>
    </row>
    <row r="23" spans="1:14" ht="127.5">
      <c r="A23" s="175">
        <v>8</v>
      </c>
      <c r="B23" s="19">
        <v>750</v>
      </c>
      <c r="C23" s="19">
        <v>75020</v>
      </c>
      <c r="D23" s="19">
        <v>6050</v>
      </c>
      <c r="E23" s="181" t="s">
        <v>382</v>
      </c>
      <c r="F23" s="269">
        <f t="shared" si="3"/>
        <v>154900</v>
      </c>
      <c r="G23" s="136">
        <f t="shared" si="4"/>
        <v>154900</v>
      </c>
      <c r="H23" s="136">
        <v>89200</v>
      </c>
      <c r="I23" s="136"/>
      <c r="J23" s="178">
        <v>65700</v>
      </c>
      <c r="K23" s="19"/>
      <c r="L23" s="136"/>
      <c r="M23" s="136"/>
      <c r="N23" s="179" t="s">
        <v>161</v>
      </c>
    </row>
    <row r="24" spans="1:14" ht="114.75">
      <c r="A24" s="175">
        <v>9</v>
      </c>
      <c r="B24" s="19"/>
      <c r="C24" s="19"/>
      <c r="D24" s="19" t="s">
        <v>162</v>
      </c>
      <c r="E24" s="182" t="s">
        <v>245</v>
      </c>
      <c r="F24" s="269">
        <f t="shared" si="3"/>
        <v>20710</v>
      </c>
      <c r="G24" s="136">
        <f t="shared" si="4"/>
        <v>20710</v>
      </c>
      <c r="H24" s="136">
        <v>11910</v>
      </c>
      <c r="I24" s="136"/>
      <c r="J24" s="178">
        <v>8800</v>
      </c>
      <c r="K24" s="136"/>
      <c r="L24" s="136"/>
      <c r="M24" s="136"/>
      <c r="N24" s="179" t="s">
        <v>161</v>
      </c>
    </row>
    <row r="25" spans="1:14" ht="102">
      <c r="A25" s="175">
        <v>10</v>
      </c>
      <c r="B25" s="19"/>
      <c r="C25" s="19"/>
      <c r="D25" s="19" t="s">
        <v>162</v>
      </c>
      <c r="E25" s="183" t="s">
        <v>246</v>
      </c>
      <c r="F25" s="269">
        <f t="shared" si="3"/>
        <v>15320</v>
      </c>
      <c r="G25" s="136">
        <f t="shared" si="4"/>
        <v>15320</v>
      </c>
      <c r="H25" s="136">
        <v>8820</v>
      </c>
      <c r="I25" s="136"/>
      <c r="J25" s="178">
        <v>6500</v>
      </c>
      <c r="K25" s="136"/>
      <c r="L25" s="136"/>
      <c r="M25" s="136"/>
      <c r="N25" s="179" t="s">
        <v>161</v>
      </c>
    </row>
    <row r="26" spans="1:14" ht="70.5" customHeight="1">
      <c r="A26" s="175">
        <v>11</v>
      </c>
      <c r="B26" s="19"/>
      <c r="C26" s="274" t="s">
        <v>294</v>
      </c>
      <c r="D26" s="19">
        <v>6060</v>
      </c>
      <c r="E26" s="176" t="s">
        <v>244</v>
      </c>
      <c r="F26" s="269">
        <f t="shared" si="3"/>
        <v>80000</v>
      </c>
      <c r="G26" s="136">
        <f t="shared" si="4"/>
        <v>80000</v>
      </c>
      <c r="H26" s="136">
        <v>40000</v>
      </c>
      <c r="I26" s="136"/>
      <c r="J26" s="178">
        <v>40000</v>
      </c>
      <c r="K26" s="136"/>
      <c r="L26" s="136"/>
      <c r="M26" s="136"/>
      <c r="N26" s="179" t="s">
        <v>161</v>
      </c>
    </row>
    <row r="27" spans="1:14" ht="70.5" customHeight="1">
      <c r="A27" s="175">
        <v>12</v>
      </c>
      <c r="B27" s="19">
        <v>852</v>
      </c>
      <c r="C27" s="274">
        <v>85202</v>
      </c>
      <c r="D27" s="19">
        <v>6060</v>
      </c>
      <c r="E27" s="176" t="s">
        <v>328</v>
      </c>
      <c r="F27" s="269">
        <f t="shared" si="3"/>
        <v>12000</v>
      </c>
      <c r="G27" s="136">
        <f t="shared" si="4"/>
        <v>12000</v>
      </c>
      <c r="H27" s="136">
        <v>12000</v>
      </c>
      <c r="I27" s="136"/>
      <c r="J27" s="178"/>
      <c r="K27" s="136"/>
      <c r="L27" s="136"/>
      <c r="M27" s="136"/>
      <c r="N27" s="179" t="s">
        <v>325</v>
      </c>
    </row>
    <row r="28" spans="1:14" ht="70.5" customHeight="1">
      <c r="A28" s="175">
        <v>13</v>
      </c>
      <c r="B28" s="19" t="s">
        <v>162</v>
      </c>
      <c r="C28" s="274" t="s">
        <v>162</v>
      </c>
      <c r="D28" s="19">
        <v>6060</v>
      </c>
      <c r="E28" s="176" t="s">
        <v>328</v>
      </c>
      <c r="F28" s="269">
        <f t="shared" si="3"/>
        <v>7200</v>
      </c>
      <c r="G28" s="136">
        <f t="shared" si="4"/>
        <v>7200</v>
      </c>
      <c r="H28" s="136">
        <f>7200</f>
        <v>7200</v>
      </c>
      <c r="I28" s="136"/>
      <c r="J28" s="178"/>
      <c r="K28" s="136"/>
      <c r="L28" s="136"/>
      <c r="M28" s="136"/>
      <c r="N28" s="179" t="s">
        <v>327</v>
      </c>
    </row>
    <row r="29" spans="1:14" ht="70.5" customHeight="1">
      <c r="A29" s="175">
        <v>14</v>
      </c>
      <c r="B29" s="19">
        <v>710</v>
      </c>
      <c r="C29" s="274">
        <v>71015</v>
      </c>
      <c r="D29" s="19">
        <v>6060</v>
      </c>
      <c r="E29" s="176" t="s">
        <v>56</v>
      </c>
      <c r="F29" s="269">
        <f t="shared" si="3"/>
        <v>4636</v>
      </c>
      <c r="G29" s="136">
        <f t="shared" si="4"/>
        <v>4636</v>
      </c>
      <c r="H29" s="136">
        <v>4636</v>
      </c>
      <c r="I29" s="136"/>
      <c r="J29" s="178"/>
      <c r="K29" s="136"/>
      <c r="L29" s="136"/>
      <c r="M29" s="136"/>
      <c r="N29" s="179" t="s">
        <v>57</v>
      </c>
    </row>
    <row r="30" spans="1:14" ht="70.5" customHeight="1">
      <c r="A30" s="175">
        <v>15</v>
      </c>
      <c r="B30" s="19">
        <v>750</v>
      </c>
      <c r="C30" s="274">
        <v>75020</v>
      </c>
      <c r="D30" s="19">
        <v>6060</v>
      </c>
      <c r="E30" s="176" t="s">
        <v>332</v>
      </c>
      <c r="F30" s="269">
        <f t="shared" si="3"/>
        <v>26283</v>
      </c>
      <c r="G30" s="136">
        <f t="shared" si="4"/>
        <v>26283</v>
      </c>
      <c r="H30" s="136">
        <f>6283+20000</f>
        <v>26283</v>
      </c>
      <c r="I30" s="136"/>
      <c r="J30" s="178"/>
      <c r="K30" s="136"/>
      <c r="L30" s="136"/>
      <c r="M30" s="136"/>
      <c r="N30" s="179" t="s">
        <v>161</v>
      </c>
    </row>
    <row r="31" spans="1:14" ht="70.5" customHeight="1">
      <c r="A31" s="175">
        <v>16</v>
      </c>
      <c r="B31" s="19">
        <v>758</v>
      </c>
      <c r="C31" s="19">
        <v>75818</v>
      </c>
      <c r="D31" s="19">
        <v>6800</v>
      </c>
      <c r="E31" s="176" t="s">
        <v>218</v>
      </c>
      <c r="F31" s="269">
        <f t="shared" si="3"/>
        <v>0</v>
      </c>
      <c r="G31" s="136">
        <f t="shared" si="4"/>
        <v>0</v>
      </c>
      <c r="H31" s="136"/>
      <c r="I31" s="136"/>
      <c r="J31" s="178"/>
      <c r="K31" s="136"/>
      <c r="L31" s="136"/>
      <c r="M31" s="136"/>
      <c r="N31" s="179" t="s">
        <v>161</v>
      </c>
    </row>
    <row r="32" spans="1:14" ht="70.5" customHeight="1">
      <c r="A32" s="175">
        <v>17</v>
      </c>
      <c r="B32" s="19">
        <v>801</v>
      </c>
      <c r="C32" s="19">
        <v>80130</v>
      </c>
      <c r="D32" s="19">
        <v>6050</v>
      </c>
      <c r="E32" s="176" t="s">
        <v>324</v>
      </c>
      <c r="F32" s="269">
        <f t="shared" si="3"/>
        <v>3578190</v>
      </c>
      <c r="G32" s="136">
        <f t="shared" si="4"/>
        <v>78190</v>
      </c>
      <c r="H32" s="136">
        <v>30000</v>
      </c>
      <c r="I32" s="136"/>
      <c r="J32" s="178">
        <f>48190</f>
        <v>48190</v>
      </c>
      <c r="K32" s="136"/>
      <c r="L32" s="136">
        <v>1750000</v>
      </c>
      <c r="M32" s="136">
        <v>1750000</v>
      </c>
      <c r="N32" s="179" t="s">
        <v>161</v>
      </c>
    </row>
    <row r="33" spans="1:14" ht="70.5" customHeight="1">
      <c r="A33" s="175">
        <v>18</v>
      </c>
      <c r="B33" s="19">
        <v>801</v>
      </c>
      <c r="C33" s="19">
        <v>80130</v>
      </c>
      <c r="D33" s="19">
        <v>6050</v>
      </c>
      <c r="E33" s="176" t="s">
        <v>354</v>
      </c>
      <c r="F33" s="269"/>
      <c r="G33" s="136">
        <f t="shared" si="4"/>
        <v>20000</v>
      </c>
      <c r="H33" s="136">
        <v>20000</v>
      </c>
      <c r="I33" s="136"/>
      <c r="J33" s="178"/>
      <c r="K33" s="136"/>
      <c r="L33" s="136"/>
      <c r="M33" s="136"/>
      <c r="N33" s="179" t="s">
        <v>355</v>
      </c>
    </row>
    <row r="34" spans="1:14" ht="25.5">
      <c r="A34" s="175">
        <v>19</v>
      </c>
      <c r="B34" s="19">
        <v>801</v>
      </c>
      <c r="C34" s="19">
        <v>80130</v>
      </c>
      <c r="D34" s="19">
        <v>6050</v>
      </c>
      <c r="E34" s="176" t="s">
        <v>280</v>
      </c>
      <c r="F34" s="269">
        <f aca="true" t="shared" si="5" ref="F34:F44">G34+L34+M34</f>
        <v>150500</v>
      </c>
      <c r="G34" s="136">
        <f t="shared" si="4"/>
        <v>150500</v>
      </c>
      <c r="H34" s="136">
        <f>128000+22500</f>
        <v>150500</v>
      </c>
      <c r="I34" s="136"/>
      <c r="J34" s="178"/>
      <c r="K34" s="136"/>
      <c r="L34" s="136"/>
      <c r="M34" s="136"/>
      <c r="N34" s="179" t="s">
        <v>220</v>
      </c>
    </row>
    <row r="35" spans="1:14" ht="25.5">
      <c r="A35" s="175">
        <v>20</v>
      </c>
      <c r="B35" s="19">
        <v>801</v>
      </c>
      <c r="C35" s="19">
        <v>80130</v>
      </c>
      <c r="D35" s="19">
        <v>6060</v>
      </c>
      <c r="E35" s="176" t="s">
        <v>233</v>
      </c>
      <c r="F35" s="269">
        <f t="shared" si="5"/>
        <v>12000</v>
      </c>
      <c r="G35" s="136">
        <f t="shared" si="4"/>
        <v>12000</v>
      </c>
      <c r="H35" s="136">
        <v>12000</v>
      </c>
      <c r="I35" s="136"/>
      <c r="J35" s="178"/>
      <c r="K35" s="136"/>
      <c r="L35" s="136"/>
      <c r="M35" s="136"/>
      <c r="N35" s="179" t="s">
        <v>220</v>
      </c>
    </row>
    <row r="36" spans="1:14" ht="25.5">
      <c r="A36" s="175">
        <v>21</v>
      </c>
      <c r="B36" s="19">
        <v>801</v>
      </c>
      <c r="C36" s="19">
        <v>80130</v>
      </c>
      <c r="D36" s="19">
        <v>6060</v>
      </c>
      <c r="E36" s="176" t="s">
        <v>334</v>
      </c>
      <c r="F36" s="269">
        <f t="shared" si="5"/>
        <v>17200</v>
      </c>
      <c r="G36" s="136">
        <f t="shared" si="4"/>
        <v>17200</v>
      </c>
      <c r="H36" s="136">
        <f>16800+400</f>
        <v>17200</v>
      </c>
      <c r="I36" s="136"/>
      <c r="J36" s="178"/>
      <c r="K36" s="136"/>
      <c r="L36" s="136"/>
      <c r="M36" s="136"/>
      <c r="N36" s="179" t="s">
        <v>220</v>
      </c>
    </row>
    <row r="37" spans="1:14" ht="33.75">
      <c r="A37" s="175">
        <v>22</v>
      </c>
      <c r="B37" s="19">
        <v>852</v>
      </c>
      <c r="C37" s="19">
        <v>85201</v>
      </c>
      <c r="D37" s="19">
        <v>6060</v>
      </c>
      <c r="E37" s="176" t="s">
        <v>335</v>
      </c>
      <c r="F37" s="269">
        <f t="shared" si="5"/>
        <v>18500</v>
      </c>
      <c r="G37" s="136">
        <f t="shared" si="4"/>
        <v>18500</v>
      </c>
      <c r="H37" s="136">
        <f>17000+1500</f>
        <v>18500</v>
      </c>
      <c r="I37" s="136"/>
      <c r="J37" s="178"/>
      <c r="K37" s="136"/>
      <c r="L37" s="136"/>
      <c r="M37" s="136"/>
      <c r="N37" s="179" t="s">
        <v>336</v>
      </c>
    </row>
    <row r="38" spans="1:14" ht="12.75">
      <c r="A38" s="175">
        <v>23</v>
      </c>
      <c r="B38" s="19">
        <v>852</v>
      </c>
      <c r="C38" s="19">
        <v>85202</v>
      </c>
      <c r="D38" s="19">
        <v>6050</v>
      </c>
      <c r="E38" s="176" t="s">
        <v>337</v>
      </c>
      <c r="F38" s="269">
        <f t="shared" si="5"/>
        <v>35000</v>
      </c>
      <c r="G38" s="136">
        <f t="shared" si="4"/>
        <v>35000</v>
      </c>
      <c r="H38" s="136">
        <v>35000</v>
      </c>
      <c r="I38" s="136"/>
      <c r="J38" s="178"/>
      <c r="K38" s="136"/>
      <c r="L38" s="136"/>
      <c r="M38" s="136"/>
      <c r="N38" s="179" t="s">
        <v>338</v>
      </c>
    </row>
    <row r="39" spans="1:14" ht="56.25">
      <c r="A39" s="175">
        <v>24</v>
      </c>
      <c r="B39" s="19">
        <v>852</v>
      </c>
      <c r="C39" s="19">
        <v>85202</v>
      </c>
      <c r="D39" s="19">
        <v>6050</v>
      </c>
      <c r="E39" s="176" t="s">
        <v>373</v>
      </c>
      <c r="F39" s="269">
        <f>G39+L39+M39</f>
        <v>55371</v>
      </c>
      <c r="G39" s="136">
        <f t="shared" si="4"/>
        <v>55371</v>
      </c>
      <c r="H39" s="136">
        <f>53371+2000</f>
        <v>55371</v>
      </c>
      <c r="I39" s="136"/>
      <c r="J39" s="178"/>
      <c r="K39" s="136"/>
      <c r="L39" s="136"/>
      <c r="M39" s="136"/>
      <c r="N39" s="179" t="s">
        <v>325</v>
      </c>
    </row>
    <row r="40" spans="1:14" ht="63" customHeight="1">
      <c r="A40" s="175">
        <v>25</v>
      </c>
      <c r="B40" s="19">
        <v>852</v>
      </c>
      <c r="C40" s="19">
        <v>85202</v>
      </c>
      <c r="D40" s="457" t="s">
        <v>180</v>
      </c>
      <c r="E40" s="80" t="s">
        <v>172</v>
      </c>
      <c r="F40" s="136">
        <f>SUM(G40)</f>
        <v>8380</v>
      </c>
      <c r="G40" s="136">
        <f>SUM(H40:K40)</f>
        <v>8380</v>
      </c>
      <c r="H40" s="136">
        <f>4000+4380</f>
        <v>8380</v>
      </c>
      <c r="I40" s="136"/>
      <c r="J40" s="178"/>
      <c r="K40" s="136"/>
      <c r="L40" s="136"/>
      <c r="M40" s="136"/>
      <c r="N40" s="179" t="s">
        <v>325</v>
      </c>
    </row>
    <row r="41" spans="1:14" ht="12.75">
      <c r="A41" s="175">
        <v>26</v>
      </c>
      <c r="B41" s="19"/>
      <c r="C41" s="19" t="s">
        <v>162</v>
      </c>
      <c r="D41" s="19">
        <v>6050</v>
      </c>
      <c r="E41" s="176" t="s">
        <v>162</v>
      </c>
      <c r="F41" s="269">
        <f t="shared" si="5"/>
        <v>26700</v>
      </c>
      <c r="G41" s="136">
        <f t="shared" si="4"/>
        <v>26700</v>
      </c>
      <c r="H41" s="136">
        <f>20900+5800</f>
        <v>26700</v>
      </c>
      <c r="I41" s="136"/>
      <c r="J41" s="178"/>
      <c r="K41" s="136"/>
      <c r="L41" s="136"/>
      <c r="M41" s="136"/>
      <c r="N41" s="179" t="s">
        <v>339</v>
      </c>
    </row>
    <row r="42" spans="1:14" ht="89.25">
      <c r="A42" s="175">
        <v>27</v>
      </c>
      <c r="B42" s="19"/>
      <c r="C42" s="19"/>
      <c r="D42" s="349" t="s">
        <v>340</v>
      </c>
      <c r="E42" s="272" t="s">
        <v>341</v>
      </c>
      <c r="F42" s="269">
        <f t="shared" si="5"/>
        <v>23040</v>
      </c>
      <c r="G42" s="136">
        <f t="shared" si="4"/>
        <v>23040</v>
      </c>
      <c r="H42" s="136">
        <f>23000+40</f>
        <v>23040</v>
      </c>
      <c r="I42" s="136"/>
      <c r="J42" s="178"/>
      <c r="K42" s="136"/>
      <c r="L42" s="136"/>
      <c r="M42" s="136"/>
      <c r="N42" s="179" t="s">
        <v>162</v>
      </c>
    </row>
    <row r="43" spans="1:14" ht="33.75">
      <c r="A43" s="175">
        <v>28</v>
      </c>
      <c r="B43" s="19"/>
      <c r="C43" s="19"/>
      <c r="D43" s="349">
        <v>6060</v>
      </c>
      <c r="E43" s="176" t="s">
        <v>346</v>
      </c>
      <c r="F43" s="269">
        <f t="shared" si="5"/>
        <v>12000</v>
      </c>
      <c r="G43" s="136">
        <f t="shared" si="4"/>
        <v>12000</v>
      </c>
      <c r="H43" s="136">
        <v>12000</v>
      </c>
      <c r="I43" s="136"/>
      <c r="J43" s="178"/>
      <c r="K43" s="136"/>
      <c r="L43" s="136"/>
      <c r="M43" s="136"/>
      <c r="N43" s="179" t="s">
        <v>338</v>
      </c>
    </row>
    <row r="44" spans="1:14" ht="70.5" customHeight="1">
      <c r="A44" s="175">
        <v>29</v>
      </c>
      <c r="B44" s="19">
        <v>853</v>
      </c>
      <c r="C44" s="274">
        <v>85321</v>
      </c>
      <c r="D44" s="19">
        <v>6060</v>
      </c>
      <c r="E44" s="176" t="s">
        <v>328</v>
      </c>
      <c r="F44" s="269">
        <f t="shared" si="5"/>
        <v>4500</v>
      </c>
      <c r="G44" s="136">
        <f t="shared" si="4"/>
        <v>4500</v>
      </c>
      <c r="H44" s="136">
        <v>4500</v>
      </c>
      <c r="I44" s="136"/>
      <c r="J44" s="178"/>
      <c r="K44" s="136"/>
      <c r="L44" s="136"/>
      <c r="M44" s="136"/>
      <c r="N44" s="179" t="s">
        <v>238</v>
      </c>
    </row>
    <row r="45" spans="1:14" ht="89.25">
      <c r="A45" s="175">
        <v>30</v>
      </c>
      <c r="B45" s="19">
        <v>854</v>
      </c>
      <c r="C45" s="19">
        <v>85410</v>
      </c>
      <c r="D45" s="19"/>
      <c r="E45" s="80" t="s">
        <v>219</v>
      </c>
      <c r="F45" s="269">
        <f>G45+L45+M45</f>
        <v>1611818</v>
      </c>
      <c r="G45" s="136">
        <f t="shared" si="4"/>
        <v>0</v>
      </c>
      <c r="H45" s="269">
        <f aca="true" t="shared" si="6" ref="H45:M45">SUM(H47:H48)</f>
        <v>0</v>
      </c>
      <c r="I45" s="269">
        <f t="shared" si="6"/>
        <v>0</v>
      </c>
      <c r="J45" s="269">
        <f t="shared" si="6"/>
        <v>0</v>
      </c>
      <c r="K45" s="269">
        <f t="shared" si="6"/>
        <v>0</v>
      </c>
      <c r="L45" s="269">
        <f t="shared" si="6"/>
        <v>1611818</v>
      </c>
      <c r="M45" s="269">
        <f t="shared" si="6"/>
        <v>0</v>
      </c>
      <c r="N45" s="179" t="s">
        <v>220</v>
      </c>
    </row>
    <row r="46" spans="1:14" ht="12.75">
      <c r="A46" s="175"/>
      <c r="B46" s="19"/>
      <c r="C46" s="19"/>
      <c r="D46" s="19"/>
      <c r="E46" s="80" t="s">
        <v>296</v>
      </c>
      <c r="F46" s="269"/>
      <c r="G46" s="136"/>
      <c r="H46" s="269"/>
      <c r="I46" s="269"/>
      <c r="J46" s="269"/>
      <c r="K46" s="269"/>
      <c r="L46" s="269"/>
      <c r="M46" s="269"/>
      <c r="N46" s="179"/>
    </row>
    <row r="47" spans="1:14" ht="12.75">
      <c r="A47" s="175"/>
      <c r="B47" s="19"/>
      <c r="C47" s="19"/>
      <c r="D47" s="19">
        <v>6058</v>
      </c>
      <c r="E47" s="80"/>
      <c r="F47" s="269">
        <f aca="true" t="shared" si="7" ref="F47:F52">G47+L47+M47</f>
        <v>770284</v>
      </c>
      <c r="G47" s="136">
        <f aca="true" t="shared" si="8" ref="G47:G52">SUM(H47:K47)</f>
        <v>0</v>
      </c>
      <c r="H47" s="136"/>
      <c r="I47" s="136"/>
      <c r="J47" s="178"/>
      <c r="K47" s="136"/>
      <c r="L47" s="136">
        <v>770284</v>
      </c>
      <c r="M47" s="136"/>
      <c r="N47" s="179"/>
    </row>
    <row r="48" spans="1:14" ht="12.75">
      <c r="A48" s="175"/>
      <c r="B48" s="19"/>
      <c r="C48" s="19"/>
      <c r="D48" s="19">
        <v>6059</v>
      </c>
      <c r="E48" s="80"/>
      <c r="F48" s="269">
        <f t="shared" si="7"/>
        <v>841534</v>
      </c>
      <c r="G48" s="136">
        <f t="shared" si="8"/>
        <v>0</v>
      </c>
      <c r="H48" s="136"/>
      <c r="I48" s="136"/>
      <c r="J48" s="178"/>
      <c r="K48" s="136"/>
      <c r="L48" s="136">
        <v>841534</v>
      </c>
      <c r="M48" s="136"/>
      <c r="N48" s="179"/>
    </row>
    <row r="49" spans="1:14" ht="80.25" customHeight="1">
      <c r="A49" s="175">
        <v>31</v>
      </c>
      <c r="B49" s="19"/>
      <c r="C49" s="19"/>
      <c r="D49" s="349" t="s">
        <v>234</v>
      </c>
      <c r="E49" s="272" t="s">
        <v>299</v>
      </c>
      <c r="F49" s="269">
        <f t="shared" si="7"/>
        <v>30050</v>
      </c>
      <c r="G49" s="136">
        <f t="shared" si="8"/>
        <v>30050</v>
      </c>
      <c r="H49" s="136">
        <f>30000+50</f>
        <v>30050</v>
      </c>
      <c r="I49" s="136"/>
      <c r="J49" s="178"/>
      <c r="K49" s="136"/>
      <c r="L49" s="136"/>
      <c r="M49" s="136"/>
      <c r="N49" s="179" t="s">
        <v>161</v>
      </c>
    </row>
    <row r="50" spans="1:14" ht="38.25">
      <c r="A50" s="175">
        <v>32</v>
      </c>
      <c r="B50" s="19"/>
      <c r="C50" s="19"/>
      <c r="D50" s="19">
        <v>6050</v>
      </c>
      <c r="E50" s="80" t="s">
        <v>283</v>
      </c>
      <c r="F50" s="269">
        <f t="shared" si="7"/>
        <v>6610</v>
      </c>
      <c r="G50" s="136">
        <f t="shared" si="8"/>
        <v>6610</v>
      </c>
      <c r="H50" s="136">
        <v>6610</v>
      </c>
      <c r="I50" s="136"/>
      <c r="J50" s="178"/>
      <c r="K50" s="136"/>
      <c r="L50" s="136"/>
      <c r="M50" s="136"/>
      <c r="N50" s="179" t="s">
        <v>241</v>
      </c>
    </row>
    <row r="51" spans="1:14" ht="38.25">
      <c r="A51" s="175">
        <v>33</v>
      </c>
      <c r="B51" s="19"/>
      <c r="C51" s="19"/>
      <c r="D51" s="19">
        <v>6050</v>
      </c>
      <c r="E51" s="80" t="s">
        <v>169</v>
      </c>
      <c r="F51" s="269">
        <f t="shared" si="7"/>
        <v>37000</v>
      </c>
      <c r="G51" s="136">
        <f t="shared" si="8"/>
        <v>37000</v>
      </c>
      <c r="H51" s="136">
        <f>33557+3443</f>
        <v>37000</v>
      </c>
      <c r="I51" s="136"/>
      <c r="J51" s="178"/>
      <c r="K51" s="136"/>
      <c r="L51" s="136"/>
      <c r="M51" s="136"/>
      <c r="N51" s="179" t="s">
        <v>168</v>
      </c>
    </row>
    <row r="52" spans="1:14" ht="90">
      <c r="A52" s="175">
        <v>34</v>
      </c>
      <c r="B52" s="19">
        <v>852</v>
      </c>
      <c r="C52" s="19">
        <v>85202</v>
      </c>
      <c r="D52" s="19">
        <v>6050</v>
      </c>
      <c r="E52" s="458" t="s">
        <v>179</v>
      </c>
      <c r="F52" s="269">
        <f t="shared" si="7"/>
        <v>739000</v>
      </c>
      <c r="G52" s="136">
        <f t="shared" si="8"/>
        <v>739000</v>
      </c>
      <c r="H52" s="136">
        <v>739000</v>
      </c>
      <c r="I52" s="136"/>
      <c r="J52" s="178"/>
      <c r="K52" s="136"/>
      <c r="L52" s="136"/>
      <c r="M52" s="136"/>
      <c r="N52" s="19" t="s">
        <v>190</v>
      </c>
    </row>
    <row r="53" spans="1:14" ht="22.5">
      <c r="A53" s="175">
        <v>35</v>
      </c>
      <c r="B53" s="328"/>
      <c r="C53" s="328"/>
      <c r="D53" s="328">
        <v>6060</v>
      </c>
      <c r="E53" s="176" t="s">
        <v>284</v>
      </c>
      <c r="F53" s="269">
        <f aca="true" t="shared" si="9" ref="F53:F61">G53+L53+M53</f>
        <v>17070</v>
      </c>
      <c r="G53" s="136">
        <f aca="true" t="shared" si="10" ref="G53:G61">SUM(H53:K53)</f>
        <v>17070</v>
      </c>
      <c r="H53" s="136">
        <f>2!E487</f>
        <v>17070</v>
      </c>
      <c r="I53" s="136"/>
      <c r="J53" s="178"/>
      <c r="K53" s="136"/>
      <c r="L53" s="136"/>
      <c r="M53" s="136"/>
      <c r="N53" s="19" t="s">
        <v>375</v>
      </c>
    </row>
    <row r="54" spans="1:14" ht="25.5">
      <c r="A54" s="175">
        <v>36</v>
      </c>
      <c r="B54" s="400" t="s">
        <v>85</v>
      </c>
      <c r="C54" s="401"/>
      <c r="D54" s="328">
        <v>6060</v>
      </c>
      <c r="E54" s="176" t="s">
        <v>362</v>
      </c>
      <c r="F54" s="269">
        <f>G54+L54+M54</f>
        <v>16500</v>
      </c>
      <c r="G54" s="136">
        <f>SUM(H54:K54)</f>
        <v>16500</v>
      </c>
      <c r="H54" s="136"/>
      <c r="I54" s="136"/>
      <c r="J54" s="178">
        <v>16500</v>
      </c>
      <c r="K54" s="136"/>
      <c r="L54" s="136"/>
      <c r="M54" s="136"/>
      <c r="N54" s="179" t="s">
        <v>84</v>
      </c>
    </row>
    <row r="55" spans="1:14" ht="33.75">
      <c r="A55" s="175">
        <v>37</v>
      </c>
      <c r="B55" s="328"/>
      <c r="C55" s="328" t="s">
        <v>295</v>
      </c>
      <c r="D55" s="175"/>
      <c r="E55" s="176" t="s">
        <v>315</v>
      </c>
      <c r="F55" s="269">
        <f t="shared" si="9"/>
        <v>0</v>
      </c>
      <c r="G55" s="136">
        <f t="shared" si="10"/>
        <v>0</v>
      </c>
      <c r="H55" s="136"/>
      <c r="I55" s="136"/>
      <c r="J55" s="178"/>
      <c r="K55" s="136"/>
      <c r="L55" s="136"/>
      <c r="M55" s="136"/>
      <c r="N55" s="334" t="s">
        <v>297</v>
      </c>
    </row>
    <row r="56" spans="1:14" ht="90">
      <c r="A56" s="175">
        <v>38</v>
      </c>
      <c r="B56" s="328"/>
      <c r="C56" s="328" t="s">
        <v>295</v>
      </c>
      <c r="D56" s="175"/>
      <c r="E56" s="339" t="s">
        <v>363</v>
      </c>
      <c r="F56" s="269">
        <f>G56+L56+M56</f>
        <v>418705</v>
      </c>
      <c r="G56" s="136">
        <f>SUM(H56:K56)</f>
        <v>418705</v>
      </c>
      <c r="H56" s="136"/>
      <c r="I56" s="136"/>
      <c r="J56" s="178">
        <v>418705</v>
      </c>
      <c r="K56" s="136"/>
      <c r="L56" s="136"/>
      <c r="M56" s="136"/>
      <c r="N56" s="334" t="s">
        <v>376</v>
      </c>
    </row>
    <row r="57" spans="1:14" ht="33.75">
      <c r="A57" s="175">
        <v>39</v>
      </c>
      <c r="B57" s="19"/>
      <c r="C57" s="328" t="s">
        <v>295</v>
      </c>
      <c r="D57" s="328"/>
      <c r="E57" s="176" t="s">
        <v>314</v>
      </c>
      <c r="F57" s="269">
        <f t="shared" si="9"/>
        <v>30000</v>
      </c>
      <c r="G57" s="136">
        <f t="shared" si="10"/>
        <v>30000</v>
      </c>
      <c r="H57" s="136"/>
      <c r="I57" s="136"/>
      <c r="J57" s="178">
        <v>30000</v>
      </c>
      <c r="K57" s="136"/>
      <c r="L57" s="136"/>
      <c r="M57" s="136"/>
      <c r="N57" s="19" t="s">
        <v>160</v>
      </c>
    </row>
    <row r="58" spans="1:14" ht="70.5" customHeight="1">
      <c r="A58" s="175">
        <v>40</v>
      </c>
      <c r="B58" s="328"/>
      <c r="C58" s="328" t="s">
        <v>295</v>
      </c>
      <c r="D58" s="175"/>
      <c r="E58" s="176" t="s">
        <v>235</v>
      </c>
      <c r="F58" s="269">
        <f>G58+L58+M58</f>
        <v>13500</v>
      </c>
      <c r="G58" s="136">
        <f>SUM(H58:K58)</f>
        <v>13500</v>
      </c>
      <c r="H58" s="136"/>
      <c r="I58" s="136"/>
      <c r="J58" s="178">
        <v>13500</v>
      </c>
      <c r="K58" s="136"/>
      <c r="L58" s="136"/>
      <c r="M58" s="136"/>
      <c r="N58" s="334" t="s">
        <v>236</v>
      </c>
    </row>
    <row r="59" spans="1:14" ht="70.5" customHeight="1">
      <c r="A59" s="175">
        <v>41</v>
      </c>
      <c r="B59" s="328"/>
      <c r="C59" s="328" t="s">
        <v>295</v>
      </c>
      <c r="D59" s="175"/>
      <c r="E59" s="176" t="s">
        <v>98</v>
      </c>
      <c r="F59" s="269">
        <f>G59+L59+M59</f>
        <v>0</v>
      </c>
      <c r="G59" s="136">
        <f>SUM(H59:K59)</f>
        <v>0</v>
      </c>
      <c r="H59" s="136"/>
      <c r="I59" s="136"/>
      <c r="J59" s="178"/>
      <c r="K59" s="136"/>
      <c r="L59" s="136"/>
      <c r="M59" s="136"/>
      <c r="N59" s="359" t="s">
        <v>161</v>
      </c>
    </row>
    <row r="60" spans="1:14" ht="33.75">
      <c r="A60" s="175">
        <v>42</v>
      </c>
      <c r="B60" s="19"/>
      <c r="C60" s="19" t="s">
        <v>247</v>
      </c>
      <c r="D60" s="19"/>
      <c r="E60" s="176" t="s">
        <v>326</v>
      </c>
      <c r="F60" s="269">
        <f t="shared" si="9"/>
        <v>36660</v>
      </c>
      <c r="G60" s="136">
        <f t="shared" si="10"/>
        <v>36660</v>
      </c>
      <c r="H60" s="136"/>
      <c r="I60" s="136"/>
      <c r="J60" s="178">
        <f>26000+15860-5200</f>
        <v>36660</v>
      </c>
      <c r="K60" s="136"/>
      <c r="L60" s="136"/>
      <c r="M60" s="136"/>
      <c r="N60" s="179" t="s">
        <v>161</v>
      </c>
    </row>
    <row r="61" spans="1:14" ht="145.5" customHeight="1">
      <c r="A61" s="330">
        <v>43</v>
      </c>
      <c r="B61" s="328"/>
      <c r="C61" s="328" t="s">
        <v>247</v>
      </c>
      <c r="D61" s="328"/>
      <c r="E61" s="459" t="s">
        <v>606</v>
      </c>
      <c r="F61" s="269">
        <f t="shared" si="9"/>
        <v>55040</v>
      </c>
      <c r="G61" s="136">
        <f t="shared" si="10"/>
        <v>55040</v>
      </c>
      <c r="H61" s="136"/>
      <c r="I61" s="136"/>
      <c r="J61" s="178">
        <f>27240+10800+3300+8500+5200</f>
        <v>55040</v>
      </c>
      <c r="K61" s="136"/>
      <c r="L61" s="136"/>
      <c r="M61" s="136"/>
      <c r="N61" s="179" t="s">
        <v>161</v>
      </c>
    </row>
    <row r="62" spans="1:14" ht="24.75" customHeight="1">
      <c r="A62" s="460" t="s">
        <v>270</v>
      </c>
      <c r="B62" s="461"/>
      <c r="C62" s="461"/>
      <c r="D62" s="461"/>
      <c r="E62" s="462"/>
      <c r="F62" s="357"/>
      <c r="G62" s="356">
        <f>G63-J26-J55-J57-J60-J61-J56-J58-J59-J54</f>
        <v>4436518</v>
      </c>
      <c r="H62" s="136"/>
      <c r="I62" s="136"/>
      <c r="J62" s="178"/>
      <c r="K62" s="136"/>
      <c r="L62" s="136"/>
      <c r="M62" s="136"/>
      <c r="N62" s="179"/>
    </row>
    <row r="63" spans="1:14" ht="22.5" customHeight="1">
      <c r="A63" s="399" t="s">
        <v>273</v>
      </c>
      <c r="B63" s="399"/>
      <c r="C63" s="399"/>
      <c r="D63" s="399"/>
      <c r="E63" s="399"/>
      <c r="F63" s="136">
        <f>SUM(F9:F61)-F9-F14-F15-F45</f>
        <v>16458741</v>
      </c>
      <c r="G63" s="136">
        <f aca="true" t="shared" si="11" ref="G63:M63">SUM(G9:G61)-G9-G15-G45</f>
        <v>5046923</v>
      </c>
      <c r="H63" s="136">
        <f t="shared" si="11"/>
        <v>2716910</v>
      </c>
      <c r="I63" s="136">
        <f t="shared" si="11"/>
        <v>1000000</v>
      </c>
      <c r="J63" s="136">
        <f t="shared" si="11"/>
        <v>795655</v>
      </c>
      <c r="K63" s="136">
        <f t="shared" si="11"/>
        <v>534358</v>
      </c>
      <c r="L63" s="136">
        <f t="shared" si="11"/>
        <v>6621818</v>
      </c>
      <c r="M63" s="136">
        <f t="shared" si="11"/>
        <v>5710000</v>
      </c>
      <c r="N63" s="66" t="s">
        <v>432</v>
      </c>
    </row>
    <row r="65" spans="1:4" ht="12.75">
      <c r="A65" s="1" t="s">
        <v>282</v>
      </c>
      <c r="D65" s="329"/>
    </row>
    <row r="67" ht="12.75">
      <c r="A67" s="1" t="s">
        <v>360</v>
      </c>
    </row>
    <row r="68" ht="12.75">
      <c r="A68" s="1" t="s">
        <v>364</v>
      </c>
    </row>
    <row r="69" ht="12.75">
      <c r="A69" s="1" t="s">
        <v>313</v>
      </c>
    </row>
    <row r="70" ht="12.75">
      <c r="A70" s="74"/>
    </row>
  </sheetData>
  <mergeCells count="20">
    <mergeCell ref="L4:L7"/>
    <mergeCell ref="A63:E63"/>
    <mergeCell ref="H4:K4"/>
    <mergeCell ref="H5:H7"/>
    <mergeCell ref="I5:I7"/>
    <mergeCell ref="J5:J7"/>
    <mergeCell ref="K5:K7"/>
    <mergeCell ref="D3:D7"/>
    <mergeCell ref="A62:E62"/>
    <mergeCell ref="B54:C54"/>
    <mergeCell ref="A1:N1"/>
    <mergeCell ref="A3:A7"/>
    <mergeCell ref="B3:B7"/>
    <mergeCell ref="C3:C7"/>
    <mergeCell ref="E3:E7"/>
    <mergeCell ref="G3:M3"/>
    <mergeCell ref="N3:N7"/>
    <mergeCell ref="G4:G7"/>
    <mergeCell ref="F3:F7"/>
    <mergeCell ref="M4:M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X/60/07
z dnia 5.12.2007 r.</oddHeader>
  </headerFooter>
</worksheet>
</file>

<file path=xl/worksheets/sheet4.xml><?xml version="1.0" encoding="utf-8"?>
<worksheet xmlns="http://schemas.openxmlformats.org/spreadsheetml/2006/main" xmlns:r="http://schemas.openxmlformats.org/officeDocument/2006/relationships">
  <dimension ref="A1:N60"/>
  <sheetViews>
    <sheetView workbookViewId="0" topLeftCell="A50">
      <selection activeCell="C51" sqref="C51"/>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96" t="s">
        <v>467</v>
      </c>
      <c r="B1" s="396"/>
      <c r="C1" s="396"/>
      <c r="D1" s="396"/>
      <c r="E1" s="396"/>
      <c r="F1" s="396"/>
      <c r="G1" s="396"/>
      <c r="H1" s="396"/>
      <c r="I1" s="396"/>
      <c r="J1" s="396"/>
      <c r="K1" s="396"/>
      <c r="L1" s="396"/>
    </row>
    <row r="2" spans="1:12" ht="10.5" customHeight="1">
      <c r="A2" s="14"/>
      <c r="B2" s="14"/>
      <c r="C2" s="14"/>
      <c r="D2" s="14"/>
      <c r="E2" s="14"/>
      <c r="F2" s="177"/>
      <c r="G2" s="177"/>
      <c r="H2" s="177"/>
      <c r="I2" s="177"/>
      <c r="J2" s="177"/>
      <c r="K2" s="177"/>
      <c r="L2" s="9" t="s">
        <v>425</v>
      </c>
    </row>
    <row r="3" spans="1:12" s="41" customFormat="1" ht="12.75">
      <c r="A3" s="397" t="s">
        <v>447</v>
      </c>
      <c r="B3" s="397" t="s">
        <v>386</v>
      </c>
      <c r="C3" s="397" t="s">
        <v>424</v>
      </c>
      <c r="D3" s="397" t="s">
        <v>538</v>
      </c>
      <c r="E3" s="398" t="s">
        <v>541</v>
      </c>
      <c r="F3" s="402" t="s">
        <v>59</v>
      </c>
      <c r="G3" s="402" t="s">
        <v>110</v>
      </c>
      <c r="H3" s="402"/>
      <c r="I3" s="402"/>
      <c r="J3" s="402"/>
      <c r="K3" s="402"/>
      <c r="L3" s="398" t="s">
        <v>539</v>
      </c>
    </row>
    <row r="4" spans="1:12" s="41" customFormat="1" ht="12.75">
      <c r="A4" s="397"/>
      <c r="B4" s="397"/>
      <c r="C4" s="397"/>
      <c r="D4" s="397"/>
      <c r="E4" s="398"/>
      <c r="F4" s="402"/>
      <c r="G4" s="402" t="s">
        <v>594</v>
      </c>
      <c r="H4" s="402" t="s">
        <v>595</v>
      </c>
      <c r="I4" s="402"/>
      <c r="J4" s="402"/>
      <c r="K4" s="402"/>
      <c r="L4" s="398"/>
    </row>
    <row r="5" spans="1:12" s="41" customFormat="1" ht="12.75">
      <c r="A5" s="397"/>
      <c r="B5" s="397"/>
      <c r="C5" s="397"/>
      <c r="D5" s="397"/>
      <c r="E5" s="398"/>
      <c r="F5" s="402"/>
      <c r="G5" s="402"/>
      <c r="H5" s="402" t="s">
        <v>540</v>
      </c>
      <c r="I5" s="402" t="s">
        <v>517</v>
      </c>
      <c r="J5" s="402" t="s">
        <v>305</v>
      </c>
      <c r="K5" s="402" t="s">
        <v>518</v>
      </c>
      <c r="L5" s="398"/>
    </row>
    <row r="6" spans="1:12" s="41" customFormat="1" ht="12.75">
      <c r="A6" s="397"/>
      <c r="B6" s="397"/>
      <c r="C6" s="397"/>
      <c r="D6" s="397"/>
      <c r="E6" s="398"/>
      <c r="F6" s="402"/>
      <c r="G6" s="402"/>
      <c r="H6" s="402"/>
      <c r="I6" s="402"/>
      <c r="J6" s="402"/>
      <c r="K6" s="402"/>
      <c r="L6" s="398"/>
    </row>
    <row r="7" spans="1:12" s="41" customFormat="1" ht="91.5" customHeight="1">
      <c r="A7" s="397"/>
      <c r="B7" s="397"/>
      <c r="C7" s="397"/>
      <c r="D7" s="397"/>
      <c r="E7" s="398"/>
      <c r="F7" s="402"/>
      <c r="G7" s="402"/>
      <c r="H7" s="402"/>
      <c r="I7" s="402"/>
      <c r="J7" s="402"/>
      <c r="K7" s="402"/>
      <c r="L7" s="398"/>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213</v>
      </c>
      <c r="F10" s="406">
        <f>1643162+G10</f>
        <v>1907259</v>
      </c>
      <c r="G10" s="136">
        <f aca="true" t="shared" si="0" ref="G10:G51">SUM(H10:K10)</f>
        <v>264097</v>
      </c>
      <c r="H10" s="136"/>
      <c r="I10" s="136"/>
      <c r="J10" s="178"/>
      <c r="K10" s="136">
        <v>264097</v>
      </c>
      <c r="L10" s="19" t="s">
        <v>160</v>
      </c>
    </row>
    <row r="11" spans="1:12" ht="12.75">
      <c r="A11" s="175"/>
      <c r="B11" s="19"/>
      <c r="C11" s="19"/>
      <c r="D11" s="19">
        <v>6059</v>
      </c>
      <c r="E11" s="180" t="s">
        <v>162</v>
      </c>
      <c r="F11" s="407"/>
      <c r="G11" s="136">
        <f t="shared" si="0"/>
        <v>270261</v>
      </c>
      <c r="H11" s="136"/>
      <c r="I11" s="136"/>
      <c r="K11" s="136">
        <f>176065+94196</f>
        <v>270261</v>
      </c>
      <c r="L11" s="19" t="s">
        <v>160</v>
      </c>
    </row>
    <row r="12" spans="1:12" ht="24">
      <c r="A12" s="175"/>
      <c r="B12" s="19"/>
      <c r="C12" s="19"/>
      <c r="D12" s="19">
        <v>6050</v>
      </c>
      <c r="E12" s="180" t="s">
        <v>286</v>
      </c>
      <c r="F12" s="136">
        <f>598379+G12</f>
        <v>898379</v>
      </c>
      <c r="G12" s="136">
        <f t="shared" si="0"/>
        <v>300000</v>
      </c>
      <c r="H12" s="136">
        <v>300000</v>
      </c>
      <c r="I12" s="136"/>
      <c r="J12" s="136"/>
      <c r="K12" s="136"/>
      <c r="L12" s="19" t="s">
        <v>160</v>
      </c>
    </row>
    <row r="13" spans="1:12" ht="60">
      <c r="A13" s="175"/>
      <c r="B13" s="19"/>
      <c r="C13" s="19"/>
      <c r="D13" s="19">
        <v>6050</v>
      </c>
      <c r="E13" s="180" t="s">
        <v>366</v>
      </c>
      <c r="F13" s="136">
        <f>4001759+G13</f>
        <v>4901759</v>
      </c>
      <c r="G13" s="136">
        <f t="shared" si="0"/>
        <v>900000</v>
      </c>
      <c r="H13" s="136">
        <f>3!H14</f>
        <v>875327</v>
      </c>
      <c r="I13" s="136"/>
      <c r="J13" s="136">
        <f>3!J14</f>
        <v>24673</v>
      </c>
      <c r="K13" s="136"/>
      <c r="L13" s="19"/>
    </row>
    <row r="14" spans="1:12" ht="70.5" customHeight="1">
      <c r="A14" s="273"/>
      <c r="B14" s="19"/>
      <c r="C14" s="19"/>
      <c r="D14" s="19">
        <v>6060</v>
      </c>
      <c r="E14" s="180" t="s">
        <v>166</v>
      </c>
      <c r="F14" s="269">
        <f>G14</f>
        <v>80000</v>
      </c>
      <c r="G14" s="136">
        <f t="shared" si="0"/>
        <v>80000</v>
      </c>
      <c r="H14" s="136">
        <f>60000+20000</f>
        <v>80000</v>
      </c>
      <c r="I14" s="136"/>
      <c r="J14" s="136"/>
      <c r="K14" s="136"/>
      <c r="L14" s="19" t="s">
        <v>160</v>
      </c>
    </row>
    <row r="15" spans="1:12" ht="70.5" customHeight="1">
      <c r="A15" s="175"/>
      <c r="B15" s="19">
        <v>700</v>
      </c>
      <c r="C15" s="19">
        <v>70005</v>
      </c>
      <c r="D15" s="19">
        <v>6050</v>
      </c>
      <c r="E15" s="181" t="s">
        <v>122</v>
      </c>
      <c r="F15" s="269">
        <f>G15</f>
        <v>1000000</v>
      </c>
      <c r="G15" s="136">
        <f t="shared" si="0"/>
        <v>1000000</v>
      </c>
      <c r="H15" s="136"/>
      <c r="I15" s="136">
        <v>1000000</v>
      </c>
      <c r="J15" s="136"/>
      <c r="K15" s="136"/>
      <c r="L15" s="179" t="s">
        <v>161</v>
      </c>
    </row>
    <row r="16" spans="1:14" ht="70.5" customHeight="1">
      <c r="A16" s="273"/>
      <c r="B16" s="19">
        <v>700</v>
      </c>
      <c r="C16" s="19">
        <v>70005</v>
      </c>
      <c r="D16" s="19">
        <v>6050</v>
      </c>
      <c r="E16" s="181" t="s">
        <v>367</v>
      </c>
      <c r="F16" s="269">
        <f>G16</f>
        <v>50000</v>
      </c>
      <c r="G16" s="136">
        <f>SUM(H16:K16)</f>
        <v>50000</v>
      </c>
      <c r="H16" s="136">
        <f>3!H22</f>
        <v>18613</v>
      </c>
      <c r="I16" s="136">
        <f>3!I22</f>
        <v>0</v>
      </c>
      <c r="J16" s="178">
        <f>3!J22</f>
        <v>31387</v>
      </c>
      <c r="K16" s="19"/>
      <c r="L16" s="179" t="s">
        <v>161</v>
      </c>
      <c r="M16" s="189"/>
      <c r="N16" s="365"/>
    </row>
    <row r="17" spans="1:12" ht="70.5" customHeight="1">
      <c r="A17" s="273"/>
      <c r="B17" s="19">
        <v>710</v>
      </c>
      <c r="C17" s="274">
        <v>71015</v>
      </c>
      <c r="D17" s="19">
        <v>6060</v>
      </c>
      <c r="E17" s="176" t="s">
        <v>56</v>
      </c>
      <c r="F17" s="269">
        <f>G17</f>
        <v>4636</v>
      </c>
      <c r="G17" s="136">
        <f t="shared" si="0"/>
        <v>4636</v>
      </c>
      <c r="H17" s="136">
        <v>4636</v>
      </c>
      <c r="I17" s="136"/>
      <c r="J17" s="178"/>
      <c r="K17" s="136"/>
      <c r="L17" s="136" t="s">
        <v>58</v>
      </c>
    </row>
    <row r="18" spans="1:12" ht="127.5">
      <c r="A18" s="175">
        <v>2</v>
      </c>
      <c r="B18" s="19">
        <v>750</v>
      </c>
      <c r="C18" s="19">
        <v>75020</v>
      </c>
      <c r="D18" s="19">
        <v>6050</v>
      </c>
      <c r="E18" s="181" t="s">
        <v>382</v>
      </c>
      <c r="F18" s="136">
        <f>SUM(G18)</f>
        <v>154900</v>
      </c>
      <c r="G18" s="136">
        <f t="shared" si="0"/>
        <v>154900</v>
      </c>
      <c r="H18" s="136">
        <v>89200</v>
      </c>
      <c r="I18" s="136"/>
      <c r="J18" s="178">
        <v>65700</v>
      </c>
      <c r="K18" s="136"/>
      <c r="L18" s="179" t="s">
        <v>161</v>
      </c>
    </row>
    <row r="19" spans="1:12" ht="102">
      <c r="A19" s="175">
        <v>3</v>
      </c>
      <c r="B19" s="19"/>
      <c r="C19" s="19"/>
      <c r="D19" s="19"/>
      <c r="E19" s="182" t="s">
        <v>312</v>
      </c>
      <c r="F19" s="136">
        <f>SUM(G19)</f>
        <v>20710</v>
      </c>
      <c r="G19" s="136">
        <f t="shared" si="0"/>
        <v>20710</v>
      </c>
      <c r="H19" s="136">
        <v>11910</v>
      </c>
      <c r="I19" s="136"/>
      <c r="J19" s="178">
        <v>8800</v>
      </c>
      <c r="K19" s="136"/>
      <c r="L19" s="179" t="s">
        <v>161</v>
      </c>
    </row>
    <row r="20" spans="1:12" ht="102">
      <c r="A20" s="175">
        <v>4</v>
      </c>
      <c r="B20" s="19"/>
      <c r="C20" s="19"/>
      <c r="D20" s="19"/>
      <c r="E20" s="183" t="s">
        <v>311</v>
      </c>
      <c r="F20" s="136">
        <f>SUM(G20)</f>
        <v>15320</v>
      </c>
      <c r="G20" s="136">
        <f t="shared" si="0"/>
        <v>15320</v>
      </c>
      <c r="H20" s="136">
        <v>8820</v>
      </c>
      <c r="I20" s="136"/>
      <c r="J20" s="178">
        <v>6500</v>
      </c>
      <c r="K20" s="136"/>
      <c r="L20" s="179" t="s">
        <v>161</v>
      </c>
    </row>
    <row r="21" spans="1:12" ht="33.75">
      <c r="A21" s="175">
        <v>5</v>
      </c>
      <c r="B21" s="19"/>
      <c r="C21" s="19"/>
      <c r="D21" s="19">
        <v>6060</v>
      </c>
      <c r="E21" s="176" t="s">
        <v>310</v>
      </c>
      <c r="F21" s="136">
        <f>SUM(G21)</f>
        <v>80000</v>
      </c>
      <c r="G21" s="136">
        <f t="shared" si="0"/>
        <v>80000</v>
      </c>
      <c r="H21" s="136">
        <v>40000</v>
      </c>
      <c r="I21" s="136"/>
      <c r="J21" s="178">
        <v>40000</v>
      </c>
      <c r="K21" s="136"/>
      <c r="L21" s="179" t="s">
        <v>161</v>
      </c>
    </row>
    <row r="22" spans="1:12" ht="25.5">
      <c r="A22" s="175">
        <v>6</v>
      </c>
      <c r="B22" s="19">
        <v>758</v>
      </c>
      <c r="C22" s="19">
        <v>75818</v>
      </c>
      <c r="D22" s="19">
        <v>6800</v>
      </c>
      <c r="E22" s="176" t="s">
        <v>163</v>
      </c>
      <c r="F22" s="136">
        <f>SUM(G22)</f>
        <v>0</v>
      </c>
      <c r="G22" s="136">
        <f t="shared" si="0"/>
        <v>0</v>
      </c>
      <c r="H22" s="136">
        <f>3!H31</f>
        <v>0</v>
      </c>
      <c r="I22" s="136"/>
      <c r="J22" s="178"/>
      <c r="K22" s="136"/>
      <c r="L22" s="179" t="s">
        <v>161</v>
      </c>
    </row>
    <row r="23" spans="1:12" ht="67.5">
      <c r="A23" s="175">
        <v>7</v>
      </c>
      <c r="B23" s="19">
        <v>801</v>
      </c>
      <c r="C23" s="19">
        <v>80130</v>
      </c>
      <c r="D23" s="19">
        <v>6050</v>
      </c>
      <c r="E23" s="176" t="s">
        <v>324</v>
      </c>
      <c r="F23" s="136">
        <f>G23</f>
        <v>78190</v>
      </c>
      <c r="G23" s="136">
        <f t="shared" si="0"/>
        <v>78190</v>
      </c>
      <c r="H23" s="136">
        <v>30000</v>
      </c>
      <c r="I23" s="136"/>
      <c r="J23" s="178">
        <f>48190</f>
        <v>48190</v>
      </c>
      <c r="K23" s="136"/>
      <c r="L23" s="179" t="s">
        <v>161</v>
      </c>
    </row>
    <row r="24" spans="1:12" ht="25.5">
      <c r="A24" s="268">
        <v>8</v>
      </c>
      <c r="B24" s="19">
        <v>801</v>
      </c>
      <c r="C24" s="19">
        <v>80130</v>
      </c>
      <c r="D24" s="19">
        <v>6060</v>
      </c>
      <c r="E24" s="176" t="s">
        <v>334</v>
      </c>
      <c r="F24" s="269">
        <f>G24</f>
        <v>17200</v>
      </c>
      <c r="G24" s="136">
        <f t="shared" si="0"/>
        <v>17200</v>
      </c>
      <c r="H24" s="136">
        <f>16800+400</f>
        <v>17200</v>
      </c>
      <c r="I24" s="136"/>
      <c r="J24" s="178"/>
      <c r="K24" s="136"/>
      <c r="L24" s="179" t="s">
        <v>220</v>
      </c>
    </row>
    <row r="25" spans="1:12" ht="25.5">
      <c r="A25" s="175">
        <v>9</v>
      </c>
      <c r="B25" s="19">
        <v>801</v>
      </c>
      <c r="C25" s="19">
        <v>80130</v>
      </c>
      <c r="D25" s="19">
        <v>6050</v>
      </c>
      <c r="E25" s="176" t="s">
        <v>287</v>
      </c>
      <c r="F25" s="136">
        <f>148360+G25</f>
        <v>298860</v>
      </c>
      <c r="G25" s="136">
        <f t="shared" si="0"/>
        <v>150500</v>
      </c>
      <c r="H25" s="136">
        <f>3!H34</f>
        <v>150500</v>
      </c>
      <c r="I25" s="136"/>
      <c r="J25" s="178"/>
      <c r="K25" s="136"/>
      <c r="L25" s="179" t="s">
        <v>281</v>
      </c>
    </row>
    <row r="26" spans="1:12" ht="33.75">
      <c r="A26" s="175">
        <v>10</v>
      </c>
      <c r="B26" s="19">
        <v>852</v>
      </c>
      <c r="C26" s="19">
        <v>85201</v>
      </c>
      <c r="D26" s="19">
        <v>6060</v>
      </c>
      <c r="E26" s="176" t="s">
        <v>335</v>
      </c>
      <c r="F26" s="269">
        <f>G26</f>
        <v>18500</v>
      </c>
      <c r="G26" s="136">
        <f t="shared" si="0"/>
        <v>18500</v>
      </c>
      <c r="H26" s="136">
        <f>17000+1500</f>
        <v>18500</v>
      </c>
      <c r="I26" s="136"/>
      <c r="J26" s="178"/>
      <c r="K26" s="136"/>
      <c r="L26" s="179" t="s">
        <v>336</v>
      </c>
    </row>
    <row r="27" spans="1:12" ht="12.75">
      <c r="A27" s="175">
        <v>11</v>
      </c>
      <c r="B27" s="19">
        <v>852</v>
      </c>
      <c r="C27" s="19">
        <v>85202</v>
      </c>
      <c r="D27" s="19">
        <v>6050</v>
      </c>
      <c r="E27" s="176" t="s">
        <v>337</v>
      </c>
      <c r="F27" s="269">
        <f>G27</f>
        <v>35000</v>
      </c>
      <c r="G27" s="136">
        <f t="shared" si="0"/>
        <v>35000</v>
      </c>
      <c r="H27" s="136">
        <v>35000</v>
      </c>
      <c r="I27" s="136"/>
      <c r="J27" s="178"/>
      <c r="K27" s="136"/>
      <c r="L27" s="179" t="s">
        <v>338</v>
      </c>
    </row>
    <row r="28" spans="1:12" ht="12.75">
      <c r="A28" s="175">
        <v>12</v>
      </c>
      <c r="B28" s="19"/>
      <c r="C28" s="19" t="s">
        <v>162</v>
      </c>
      <c r="D28" s="19">
        <v>6050</v>
      </c>
      <c r="E28" s="176" t="s">
        <v>162</v>
      </c>
      <c r="F28" s="269">
        <f>G28</f>
        <v>26700</v>
      </c>
      <c r="G28" s="136">
        <f t="shared" si="0"/>
        <v>26700</v>
      </c>
      <c r="H28" s="136">
        <f>3!H41</f>
        <v>26700</v>
      </c>
      <c r="I28" s="136"/>
      <c r="J28" s="178"/>
      <c r="K28" s="136"/>
      <c r="L28" s="179" t="s">
        <v>339</v>
      </c>
    </row>
    <row r="29" spans="1:12" ht="89.25">
      <c r="A29" s="175">
        <v>13</v>
      </c>
      <c r="B29" s="19"/>
      <c r="C29" s="19"/>
      <c r="D29" s="349" t="s">
        <v>340</v>
      </c>
      <c r="E29" s="272" t="s">
        <v>341</v>
      </c>
      <c r="F29" s="269">
        <f>G29</f>
        <v>23040</v>
      </c>
      <c r="G29" s="136">
        <f t="shared" si="0"/>
        <v>23040</v>
      </c>
      <c r="H29" s="136">
        <f>3!H42</f>
        <v>23040</v>
      </c>
      <c r="I29" s="136"/>
      <c r="J29" s="178"/>
      <c r="K29" s="136"/>
      <c r="L29" s="136" t="s">
        <v>162</v>
      </c>
    </row>
    <row r="30" spans="1:12" ht="33.75">
      <c r="A30" s="175">
        <v>14</v>
      </c>
      <c r="B30" s="19"/>
      <c r="C30" s="19"/>
      <c r="D30" s="349">
        <v>6060</v>
      </c>
      <c r="E30" s="176" t="s">
        <v>346</v>
      </c>
      <c r="F30" s="269">
        <f>G30</f>
        <v>12000</v>
      </c>
      <c r="G30" s="136">
        <f t="shared" si="0"/>
        <v>12000</v>
      </c>
      <c r="H30" s="136">
        <v>12000</v>
      </c>
      <c r="I30" s="136"/>
      <c r="J30" s="178"/>
      <c r="K30" s="136"/>
      <c r="L30" s="179" t="s">
        <v>338</v>
      </c>
    </row>
    <row r="31" spans="1:12" ht="90">
      <c r="A31" s="175">
        <v>15</v>
      </c>
      <c r="B31" s="19">
        <v>852</v>
      </c>
      <c r="C31" s="19">
        <v>85202</v>
      </c>
      <c r="D31" s="19">
        <v>6050</v>
      </c>
      <c r="E31" s="339" t="s">
        <v>179</v>
      </c>
      <c r="F31" s="136">
        <f>90000+439000+300000</f>
        <v>829000</v>
      </c>
      <c r="G31" s="136">
        <f t="shared" si="0"/>
        <v>739000</v>
      </c>
      <c r="H31" s="136">
        <v>739000</v>
      </c>
      <c r="I31" s="136"/>
      <c r="J31" s="178"/>
      <c r="K31" s="136"/>
      <c r="L31" s="19" t="s">
        <v>190</v>
      </c>
    </row>
    <row r="32" spans="1:12" ht="38.25">
      <c r="A32" s="330">
        <v>16</v>
      </c>
      <c r="B32" s="328">
        <v>852</v>
      </c>
      <c r="C32" s="328">
        <v>85202</v>
      </c>
      <c r="D32" s="328">
        <v>6050</v>
      </c>
      <c r="E32" s="80" t="s">
        <v>283</v>
      </c>
      <c r="F32" s="136">
        <f>SUM(G32)</f>
        <v>6610</v>
      </c>
      <c r="G32" s="136">
        <f t="shared" si="0"/>
        <v>6610</v>
      </c>
      <c r="H32" s="136">
        <v>6610</v>
      </c>
      <c r="I32" s="136"/>
      <c r="J32" s="178"/>
      <c r="K32" s="136"/>
      <c r="L32" s="19" t="s">
        <v>300</v>
      </c>
    </row>
    <row r="33" spans="1:12" ht="56.25">
      <c r="A33" s="330">
        <v>17</v>
      </c>
      <c r="B33" s="328">
        <v>852</v>
      </c>
      <c r="C33" s="328">
        <v>85202</v>
      </c>
      <c r="D33" s="328">
        <v>6050</v>
      </c>
      <c r="E33" s="176" t="s">
        <v>373</v>
      </c>
      <c r="F33" s="136">
        <f>SUM(G33)</f>
        <v>55371</v>
      </c>
      <c r="G33" s="136">
        <f>SUM(H33:K33)</f>
        <v>55371</v>
      </c>
      <c r="H33" s="136">
        <f>3!H39</f>
        <v>55371</v>
      </c>
      <c r="I33" s="136"/>
      <c r="J33" s="178"/>
      <c r="K33" s="136"/>
      <c r="L33" s="179" t="s">
        <v>325</v>
      </c>
    </row>
    <row r="34" spans="1:12" ht="51">
      <c r="A34" s="330">
        <v>18</v>
      </c>
      <c r="B34" s="328">
        <v>852</v>
      </c>
      <c r="C34" s="328">
        <v>85202</v>
      </c>
      <c r="D34" s="367" t="s">
        <v>180</v>
      </c>
      <c r="E34" s="80" t="s">
        <v>172</v>
      </c>
      <c r="F34" s="136">
        <f>SUM(G34)</f>
        <v>8380</v>
      </c>
      <c r="G34" s="136">
        <f>SUM(H34:K34)</f>
        <v>8380</v>
      </c>
      <c r="H34" s="136">
        <f>3!H40</f>
        <v>8380</v>
      </c>
      <c r="I34" s="136"/>
      <c r="J34" s="178"/>
      <c r="K34" s="136"/>
      <c r="L34" s="179" t="s">
        <v>325</v>
      </c>
    </row>
    <row r="35" spans="1:12" ht="12.75">
      <c r="A35" s="330">
        <v>19</v>
      </c>
      <c r="B35" s="328">
        <v>801</v>
      </c>
      <c r="C35" s="328">
        <v>80130</v>
      </c>
      <c r="D35" s="328">
        <v>6050</v>
      </c>
      <c r="E35" s="332" t="s">
        <v>359</v>
      </c>
      <c r="F35" s="136">
        <f>SUM(G35)+11900</f>
        <v>31900</v>
      </c>
      <c r="G35" s="136">
        <f t="shared" si="0"/>
        <v>20000</v>
      </c>
      <c r="H35" s="136">
        <v>20000</v>
      </c>
      <c r="I35" s="136"/>
      <c r="J35" s="178"/>
      <c r="K35" s="136"/>
      <c r="L35" s="19" t="s">
        <v>356</v>
      </c>
    </row>
    <row r="36" spans="1:12" ht="22.5">
      <c r="A36" s="330">
        <v>20</v>
      </c>
      <c r="B36" s="328"/>
      <c r="C36" s="328"/>
      <c r="D36" s="328">
        <v>6060</v>
      </c>
      <c r="E36" s="176" t="s">
        <v>284</v>
      </c>
      <c r="F36" s="136">
        <f aca="true" t="shared" si="1" ref="F36:F42">SUM(G36)</f>
        <v>17070</v>
      </c>
      <c r="G36" s="136">
        <f t="shared" si="0"/>
        <v>17070</v>
      </c>
      <c r="H36" s="136">
        <f>3!H53</f>
        <v>17070</v>
      </c>
      <c r="I36" s="136"/>
      <c r="J36" s="178"/>
      <c r="K36" s="136"/>
      <c r="L36" s="19" t="s">
        <v>171</v>
      </c>
    </row>
    <row r="37" spans="1:12" ht="33.75">
      <c r="A37" s="330">
        <v>21</v>
      </c>
      <c r="B37" s="19">
        <v>852</v>
      </c>
      <c r="C37" s="274">
        <v>85202</v>
      </c>
      <c r="D37" s="19">
        <v>6060</v>
      </c>
      <c r="E37" s="176" t="s">
        <v>328</v>
      </c>
      <c r="F37" s="136">
        <f t="shared" si="1"/>
        <v>12000</v>
      </c>
      <c r="G37" s="136">
        <f t="shared" si="0"/>
        <v>12000</v>
      </c>
      <c r="H37" s="136">
        <v>12000</v>
      </c>
      <c r="I37" s="136"/>
      <c r="J37" s="178"/>
      <c r="K37" s="136"/>
      <c r="L37" s="179" t="s">
        <v>325</v>
      </c>
    </row>
    <row r="38" spans="1:12" ht="33.75">
      <c r="A38" s="330">
        <v>22</v>
      </c>
      <c r="B38" s="19" t="s">
        <v>162</v>
      </c>
      <c r="C38" s="274" t="s">
        <v>162</v>
      </c>
      <c r="D38" s="19">
        <v>6060</v>
      </c>
      <c r="E38" s="176" t="s">
        <v>328</v>
      </c>
      <c r="F38" s="136">
        <f t="shared" si="1"/>
        <v>7200</v>
      </c>
      <c r="G38" s="136">
        <f t="shared" si="0"/>
        <v>7200</v>
      </c>
      <c r="H38" s="136">
        <v>7200</v>
      </c>
      <c r="I38" s="136"/>
      <c r="J38" s="178"/>
      <c r="K38" s="136"/>
      <c r="L38" s="179" t="s">
        <v>327</v>
      </c>
    </row>
    <row r="39" spans="1:12" ht="45">
      <c r="A39" s="330">
        <v>23</v>
      </c>
      <c r="B39" s="19">
        <v>750</v>
      </c>
      <c r="C39" s="274">
        <v>75020</v>
      </c>
      <c r="D39" s="19">
        <v>6060</v>
      </c>
      <c r="E39" s="176" t="s">
        <v>333</v>
      </c>
      <c r="F39" s="136">
        <f t="shared" si="1"/>
        <v>26283</v>
      </c>
      <c r="G39" s="136">
        <f t="shared" si="0"/>
        <v>26283</v>
      </c>
      <c r="H39" s="136">
        <f>6283+20000</f>
        <v>26283</v>
      </c>
      <c r="I39" s="136"/>
      <c r="J39" s="178"/>
      <c r="K39" s="136"/>
      <c r="L39" s="179" t="s">
        <v>161</v>
      </c>
    </row>
    <row r="40" spans="1:12" ht="76.5">
      <c r="A40" s="330">
        <v>24</v>
      </c>
      <c r="B40" s="328">
        <v>854</v>
      </c>
      <c r="C40" s="328">
        <v>85410</v>
      </c>
      <c r="D40" s="350" t="s">
        <v>180</v>
      </c>
      <c r="E40" s="272" t="s">
        <v>309</v>
      </c>
      <c r="F40" s="136">
        <f t="shared" si="1"/>
        <v>30050</v>
      </c>
      <c r="G40" s="136">
        <f t="shared" si="0"/>
        <v>30050</v>
      </c>
      <c r="H40" s="136">
        <v>30050</v>
      </c>
      <c r="I40" s="136"/>
      <c r="J40" s="178"/>
      <c r="K40" s="136"/>
      <c r="L40" s="179" t="s">
        <v>161</v>
      </c>
    </row>
    <row r="41" spans="1:12" ht="33.75">
      <c r="A41" s="330">
        <v>25</v>
      </c>
      <c r="B41" s="19">
        <v>853</v>
      </c>
      <c r="C41" s="274">
        <v>85321</v>
      </c>
      <c r="D41" s="19">
        <v>6060</v>
      </c>
      <c r="E41" s="176" t="s">
        <v>328</v>
      </c>
      <c r="F41" s="136">
        <f t="shared" si="1"/>
        <v>4500</v>
      </c>
      <c r="G41" s="136">
        <f t="shared" si="0"/>
        <v>4500</v>
      </c>
      <c r="H41" s="136">
        <v>4500</v>
      </c>
      <c r="I41" s="136"/>
      <c r="J41" s="178"/>
      <c r="K41" s="136"/>
      <c r="L41" s="179" t="s">
        <v>174</v>
      </c>
    </row>
    <row r="42" spans="1:12" ht="25.5">
      <c r="A42" s="330">
        <v>26</v>
      </c>
      <c r="B42" s="19">
        <v>801</v>
      </c>
      <c r="C42" s="274">
        <v>80130</v>
      </c>
      <c r="D42" s="19">
        <v>6060</v>
      </c>
      <c r="E42" s="176" t="s">
        <v>175</v>
      </c>
      <c r="F42" s="136">
        <f t="shared" si="1"/>
        <v>12000</v>
      </c>
      <c r="G42" s="136">
        <f t="shared" si="0"/>
        <v>12000</v>
      </c>
      <c r="H42" s="136">
        <v>12000</v>
      </c>
      <c r="I42" s="136"/>
      <c r="J42" s="178"/>
      <c r="K42" s="136"/>
      <c r="L42" s="179" t="s">
        <v>176</v>
      </c>
    </row>
    <row r="43" spans="1:12" ht="25.5">
      <c r="A43" s="175">
        <v>27</v>
      </c>
      <c r="B43" s="19">
        <v>852</v>
      </c>
      <c r="C43" s="19">
        <v>85202</v>
      </c>
      <c r="D43" s="19">
        <v>6050</v>
      </c>
      <c r="E43" s="176" t="s">
        <v>337</v>
      </c>
      <c r="F43" s="269">
        <f>G43</f>
        <v>37000</v>
      </c>
      <c r="G43" s="136">
        <f>SUM(H43:K43)</f>
        <v>37000</v>
      </c>
      <c r="H43" s="136">
        <f>3!H51</f>
        <v>37000</v>
      </c>
      <c r="I43" s="136"/>
      <c r="J43" s="178"/>
      <c r="K43" s="136"/>
      <c r="L43" s="179" t="s">
        <v>170</v>
      </c>
    </row>
    <row r="44" spans="1:14" ht="38.25">
      <c r="A44" s="330">
        <v>29</v>
      </c>
      <c r="B44" s="400" t="s">
        <v>85</v>
      </c>
      <c r="C44" s="401"/>
      <c r="D44" s="328">
        <v>6060</v>
      </c>
      <c r="E44" s="176" t="s">
        <v>370</v>
      </c>
      <c r="F44" s="269">
        <f>SUM(G44)</f>
        <v>16500</v>
      </c>
      <c r="G44" s="136">
        <f>SUM(H44:K44)</f>
        <v>16500</v>
      </c>
      <c r="H44" s="136"/>
      <c r="I44" s="136"/>
      <c r="J44" s="178">
        <v>16500</v>
      </c>
      <c r="K44" s="136"/>
      <c r="L44" s="179" t="s">
        <v>176</v>
      </c>
      <c r="M44" s="136"/>
      <c r="N44" s="179" t="s">
        <v>84</v>
      </c>
    </row>
    <row r="45" spans="1:12" ht="33.75">
      <c r="A45" s="330">
        <v>30</v>
      </c>
      <c r="B45" s="328"/>
      <c r="C45" s="331" t="s">
        <v>298</v>
      </c>
      <c r="D45" s="328">
        <v>6060</v>
      </c>
      <c r="E45" s="176" t="s">
        <v>308</v>
      </c>
      <c r="F45" s="136">
        <f aca="true" t="shared" si="2" ref="F45:F51">SUM(G45)</f>
        <v>30000</v>
      </c>
      <c r="G45" s="136">
        <f t="shared" si="0"/>
        <v>30000</v>
      </c>
      <c r="H45" s="136"/>
      <c r="I45" s="136"/>
      <c r="J45" s="178">
        <v>30000</v>
      </c>
      <c r="K45" s="136"/>
      <c r="L45" s="19" t="s">
        <v>160</v>
      </c>
    </row>
    <row r="46" spans="1:12" ht="22.5">
      <c r="A46" s="330">
        <v>31</v>
      </c>
      <c r="B46" s="328"/>
      <c r="C46" s="331" t="s">
        <v>298</v>
      </c>
      <c r="D46" s="328">
        <v>6050</v>
      </c>
      <c r="E46" s="176" t="s">
        <v>307</v>
      </c>
      <c r="F46" s="136">
        <f t="shared" si="2"/>
        <v>0</v>
      </c>
      <c r="G46" s="136">
        <f t="shared" si="0"/>
        <v>0</v>
      </c>
      <c r="H46" s="136"/>
      <c r="I46" s="136"/>
      <c r="J46" s="178"/>
      <c r="K46" s="136"/>
      <c r="L46" s="334" t="s">
        <v>297</v>
      </c>
    </row>
    <row r="47" spans="1:12" ht="90">
      <c r="A47" s="330">
        <v>32</v>
      </c>
      <c r="B47" s="328"/>
      <c r="C47" s="331" t="s">
        <v>298</v>
      </c>
      <c r="D47" s="328">
        <v>6050</v>
      </c>
      <c r="E47" s="339" t="s">
        <v>371</v>
      </c>
      <c r="F47" s="136">
        <f t="shared" si="2"/>
        <v>418705</v>
      </c>
      <c r="G47" s="136">
        <f t="shared" si="0"/>
        <v>418705</v>
      </c>
      <c r="H47" s="136"/>
      <c r="I47" s="136"/>
      <c r="J47" s="178">
        <v>418705</v>
      </c>
      <c r="K47" s="136"/>
      <c r="L47" s="334" t="s">
        <v>379</v>
      </c>
    </row>
    <row r="48" spans="1:12" ht="45">
      <c r="A48" s="330">
        <v>33</v>
      </c>
      <c r="B48" s="328"/>
      <c r="C48" s="331" t="s">
        <v>295</v>
      </c>
      <c r="D48" s="175">
        <v>6050</v>
      </c>
      <c r="E48" s="176" t="s">
        <v>235</v>
      </c>
      <c r="F48" s="136">
        <f t="shared" si="2"/>
        <v>13500</v>
      </c>
      <c r="G48" s="136">
        <f t="shared" si="0"/>
        <v>13500</v>
      </c>
      <c r="H48" s="136"/>
      <c r="I48" s="136"/>
      <c r="J48" s="178">
        <v>13500</v>
      </c>
      <c r="K48" s="136"/>
      <c r="L48" s="358" t="s">
        <v>237</v>
      </c>
    </row>
    <row r="49" spans="1:12" ht="33.75">
      <c r="A49" s="330">
        <v>34</v>
      </c>
      <c r="B49" s="328"/>
      <c r="C49" s="331" t="s">
        <v>298</v>
      </c>
      <c r="D49" s="328">
        <v>6060</v>
      </c>
      <c r="E49" s="176" t="s">
        <v>372</v>
      </c>
      <c r="F49" s="136">
        <f t="shared" si="2"/>
        <v>0</v>
      </c>
      <c r="G49" s="136">
        <f t="shared" si="0"/>
        <v>0</v>
      </c>
      <c r="H49" s="136"/>
      <c r="I49" s="136"/>
      <c r="J49" s="178"/>
      <c r="K49" s="136"/>
      <c r="L49" s="179" t="s">
        <v>161</v>
      </c>
    </row>
    <row r="50" spans="1:12" ht="33.75">
      <c r="A50" s="330">
        <v>35</v>
      </c>
      <c r="B50" s="328"/>
      <c r="C50" s="331" t="s">
        <v>247</v>
      </c>
      <c r="D50" s="328">
        <v>6060</v>
      </c>
      <c r="E50" s="176" t="s">
        <v>326</v>
      </c>
      <c r="F50" s="136">
        <f t="shared" si="2"/>
        <v>36660</v>
      </c>
      <c r="G50" s="136">
        <f t="shared" si="0"/>
        <v>36660</v>
      </c>
      <c r="H50" s="136"/>
      <c r="I50" s="136"/>
      <c r="J50" s="178">
        <f>3!J60</f>
        <v>36660</v>
      </c>
      <c r="K50" s="136"/>
      <c r="L50" s="179" t="s">
        <v>161</v>
      </c>
    </row>
    <row r="51" spans="1:12" ht="141" customHeight="1" thickBot="1">
      <c r="A51" s="330">
        <v>36</v>
      </c>
      <c r="B51" s="328"/>
      <c r="C51" s="331" t="s">
        <v>247</v>
      </c>
      <c r="D51" s="328">
        <v>6050</v>
      </c>
      <c r="E51" s="180" t="s">
        <v>605</v>
      </c>
      <c r="F51" s="136">
        <f t="shared" si="2"/>
        <v>55040</v>
      </c>
      <c r="G51" s="136">
        <f t="shared" si="0"/>
        <v>55040</v>
      </c>
      <c r="H51" s="136"/>
      <c r="I51" s="136"/>
      <c r="J51" s="178">
        <f>3!J61</f>
        <v>55040</v>
      </c>
      <c r="K51" s="136"/>
      <c r="L51" s="179" t="s">
        <v>161</v>
      </c>
    </row>
    <row r="52" spans="1:12" ht="22.5" customHeight="1" thickBot="1">
      <c r="A52" s="403" t="s">
        <v>274</v>
      </c>
      <c r="B52" s="404"/>
      <c r="C52" s="404"/>
      <c r="D52" s="404"/>
      <c r="E52" s="405"/>
      <c r="F52" s="355"/>
      <c r="G52" s="356">
        <f>G53-J45-J46-J50-J51-J21-J47-J48-J49-J44</f>
        <v>4436518</v>
      </c>
      <c r="H52" s="136"/>
      <c r="I52" s="136"/>
      <c r="J52" s="178"/>
      <c r="K52" s="136"/>
      <c r="L52" s="179"/>
    </row>
    <row r="53" spans="1:12" ht="16.5" customHeight="1">
      <c r="A53" s="399" t="s">
        <v>275</v>
      </c>
      <c r="B53" s="399"/>
      <c r="C53" s="399"/>
      <c r="D53" s="399"/>
      <c r="E53" s="399"/>
      <c r="F53" s="136">
        <f aca="true" t="shared" si="3" ref="F53:K53">SUM(F9:F51)</f>
        <v>11270222</v>
      </c>
      <c r="G53" s="136">
        <f>SUM(G10:G51)</f>
        <v>5046923</v>
      </c>
      <c r="H53" s="136">
        <f t="shared" si="3"/>
        <v>2716910</v>
      </c>
      <c r="I53" s="136">
        <f t="shared" si="3"/>
        <v>1000000</v>
      </c>
      <c r="J53" s="136">
        <f t="shared" si="3"/>
        <v>795655</v>
      </c>
      <c r="K53" s="136">
        <f t="shared" si="3"/>
        <v>534358</v>
      </c>
      <c r="L53" s="66" t="s">
        <v>432</v>
      </c>
    </row>
    <row r="55" spans="6:11" ht="12.75">
      <c r="F55" s="1"/>
      <c r="G55" s="1"/>
      <c r="H55" s="1"/>
      <c r="I55" s="1"/>
      <c r="J55" s="1"/>
      <c r="K55" s="1"/>
    </row>
    <row r="56" spans="6:11" ht="12.75">
      <c r="F56" s="1"/>
      <c r="G56" s="1"/>
      <c r="H56" s="1"/>
      <c r="I56" s="1"/>
      <c r="J56" s="1"/>
      <c r="K56" s="1"/>
    </row>
    <row r="57" spans="1:11" ht="12.75">
      <c r="A57" s="1" t="s">
        <v>460</v>
      </c>
      <c r="F57" s="1"/>
      <c r="G57" s="1"/>
      <c r="H57" s="1"/>
      <c r="I57" s="1"/>
      <c r="J57" s="1"/>
      <c r="K57" s="1"/>
    </row>
    <row r="58" spans="1:11" ht="12.75">
      <c r="A58" s="1" t="s">
        <v>368</v>
      </c>
      <c r="F58" s="1"/>
      <c r="G58" s="1"/>
      <c r="H58" s="1"/>
      <c r="I58" s="1"/>
      <c r="J58" s="1"/>
      <c r="K58" s="1"/>
    </row>
    <row r="59" ht="12.75">
      <c r="A59" s="1" t="s">
        <v>306</v>
      </c>
    </row>
    <row r="60" ht="12.75">
      <c r="A60" s="74"/>
    </row>
  </sheetData>
  <mergeCells count="19">
    <mergeCell ref="A52:E52"/>
    <mergeCell ref="F3:F7"/>
    <mergeCell ref="H4:K4"/>
    <mergeCell ref="H5:H7"/>
    <mergeCell ref="I5:I7"/>
    <mergeCell ref="J5:J7"/>
    <mergeCell ref="K5:K7"/>
    <mergeCell ref="F10:F11"/>
    <mergeCell ref="B44:C44"/>
    <mergeCell ref="A53:E53"/>
    <mergeCell ref="A1:L1"/>
    <mergeCell ref="A3:A7"/>
    <mergeCell ref="B3:B7"/>
    <mergeCell ref="C3:C7"/>
    <mergeCell ref="E3:E7"/>
    <mergeCell ref="G3:K3"/>
    <mergeCell ref="L3:L7"/>
    <mergeCell ref="G4:G7"/>
    <mergeCell ref="D3:D7"/>
  </mergeCells>
  <printOptions horizontalCentered="1"/>
  <pageMargins left="0.5118110236220472" right="0.3937007874015748" top="0.984251968503937" bottom="0.5905511811023623" header="0.5118110236220472" footer="0.5118110236220472"/>
  <pageSetup horizontalDpi="600" verticalDpi="600" orientation="portrait" paperSize="9" scale="60" r:id="rId1"/>
  <headerFooter alignWithMargins="0">
    <oddHeader>&amp;R&amp;9Załącznik nr 3a
do uchwały Rady Powiatu 
nr X/60/07
z dnia 5.12.2007 r.</oddHeader>
  </headerFooter>
</worksheet>
</file>

<file path=xl/worksheets/sheet5.xml><?xml version="1.0" encoding="utf-8"?>
<worksheet xmlns="http://schemas.openxmlformats.org/spreadsheetml/2006/main" xmlns:r="http://schemas.openxmlformats.org/officeDocument/2006/relationships">
  <dimension ref="A1:Q95"/>
  <sheetViews>
    <sheetView workbookViewId="0" topLeftCell="A83">
      <selection activeCell="C91" sqref="C91:D91"/>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368" t="s">
        <v>522</v>
      </c>
      <c r="B1" s="368"/>
      <c r="C1" s="368"/>
      <c r="D1" s="368"/>
      <c r="E1" s="368"/>
      <c r="F1" s="368"/>
      <c r="G1" s="368"/>
      <c r="H1" s="368"/>
      <c r="I1" s="368"/>
      <c r="J1" s="368"/>
      <c r="K1" s="368"/>
      <c r="L1" s="368"/>
      <c r="M1" s="368"/>
      <c r="N1" s="368"/>
      <c r="O1" s="368"/>
      <c r="P1" s="368"/>
      <c r="Q1" s="368"/>
    </row>
    <row r="3" spans="1:17" ht="11.25">
      <c r="A3" s="379" t="s">
        <v>447</v>
      </c>
      <c r="B3" s="379" t="s">
        <v>470</v>
      </c>
      <c r="C3" s="378" t="s">
        <v>471</v>
      </c>
      <c r="D3" s="378" t="s">
        <v>596</v>
      </c>
      <c r="E3" s="378" t="s">
        <v>527</v>
      </c>
      <c r="F3" s="379" t="s">
        <v>390</v>
      </c>
      <c r="G3" s="379"/>
      <c r="H3" s="379" t="s">
        <v>468</v>
      </c>
      <c r="I3" s="379"/>
      <c r="J3" s="379"/>
      <c r="K3" s="379"/>
      <c r="L3" s="379"/>
      <c r="M3" s="379"/>
      <c r="N3" s="379"/>
      <c r="O3" s="379"/>
      <c r="P3" s="379"/>
      <c r="Q3" s="379"/>
    </row>
    <row r="4" spans="1:17" ht="11.25">
      <c r="A4" s="379"/>
      <c r="B4" s="379"/>
      <c r="C4" s="378"/>
      <c r="D4" s="378"/>
      <c r="E4" s="378"/>
      <c r="F4" s="378" t="s">
        <v>524</v>
      </c>
      <c r="G4" s="378" t="s">
        <v>525</v>
      </c>
      <c r="H4" s="379" t="s">
        <v>461</v>
      </c>
      <c r="I4" s="379"/>
      <c r="J4" s="379"/>
      <c r="K4" s="379"/>
      <c r="L4" s="379"/>
      <c r="M4" s="379"/>
      <c r="N4" s="379"/>
      <c r="O4" s="379"/>
      <c r="P4" s="379"/>
      <c r="Q4" s="379"/>
    </row>
    <row r="5" spans="1:17" ht="11.25">
      <c r="A5" s="379"/>
      <c r="B5" s="379"/>
      <c r="C5" s="378"/>
      <c r="D5" s="378"/>
      <c r="E5" s="378"/>
      <c r="F5" s="378"/>
      <c r="G5" s="378"/>
      <c r="H5" s="378" t="s">
        <v>473</v>
      </c>
      <c r="I5" s="379" t="s">
        <v>474</v>
      </c>
      <c r="J5" s="379"/>
      <c r="K5" s="379"/>
      <c r="L5" s="379"/>
      <c r="M5" s="379"/>
      <c r="N5" s="379"/>
      <c r="O5" s="379"/>
      <c r="P5" s="379"/>
      <c r="Q5" s="379"/>
    </row>
    <row r="6" spans="1:17" ht="14.25" customHeight="1">
      <c r="A6" s="379"/>
      <c r="B6" s="379"/>
      <c r="C6" s="378"/>
      <c r="D6" s="378"/>
      <c r="E6" s="378"/>
      <c r="F6" s="378"/>
      <c r="G6" s="378"/>
      <c r="H6" s="378"/>
      <c r="I6" s="379" t="s">
        <v>475</v>
      </c>
      <c r="J6" s="379"/>
      <c r="K6" s="379"/>
      <c r="L6" s="379"/>
      <c r="M6" s="379" t="s">
        <v>472</v>
      </c>
      <c r="N6" s="379"/>
      <c r="O6" s="379"/>
      <c r="P6" s="379"/>
      <c r="Q6" s="379"/>
    </row>
    <row r="7" spans="1:17" ht="12.75" customHeight="1">
      <c r="A7" s="379"/>
      <c r="B7" s="379"/>
      <c r="C7" s="378"/>
      <c r="D7" s="378"/>
      <c r="E7" s="378"/>
      <c r="F7" s="378"/>
      <c r="G7" s="378"/>
      <c r="H7" s="378"/>
      <c r="I7" s="378" t="s">
        <v>476</v>
      </c>
      <c r="J7" s="379" t="s">
        <v>477</v>
      </c>
      <c r="K7" s="379"/>
      <c r="L7" s="379"/>
      <c r="M7" s="378" t="s">
        <v>478</v>
      </c>
      <c r="N7" s="378" t="s">
        <v>477</v>
      </c>
      <c r="O7" s="378"/>
      <c r="P7" s="378"/>
      <c r="Q7" s="378"/>
    </row>
    <row r="8" spans="1:17" ht="48" customHeight="1">
      <c r="A8" s="379"/>
      <c r="B8" s="379"/>
      <c r="C8" s="378"/>
      <c r="D8" s="378"/>
      <c r="E8" s="378"/>
      <c r="F8" s="378"/>
      <c r="G8" s="378"/>
      <c r="H8" s="378"/>
      <c r="I8" s="378"/>
      <c r="J8" s="39" t="s">
        <v>526</v>
      </c>
      <c r="K8" s="39" t="s">
        <v>479</v>
      </c>
      <c r="L8" s="39" t="s">
        <v>480</v>
      </c>
      <c r="M8" s="378"/>
      <c r="N8" s="39" t="s">
        <v>481</v>
      </c>
      <c r="O8" s="39" t="s">
        <v>526</v>
      </c>
      <c r="P8" s="39" t="s">
        <v>479</v>
      </c>
      <c r="Q8" s="39" t="s">
        <v>482</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483</v>
      </c>
      <c r="C10" s="411" t="s">
        <v>432</v>
      </c>
      <c r="D10" s="412"/>
      <c r="E10" s="353">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410" t="s">
        <v>484</v>
      </c>
      <c r="B11" s="51" t="s">
        <v>485</v>
      </c>
      <c r="C11" s="380" t="s">
        <v>232</v>
      </c>
      <c r="D11" s="381"/>
      <c r="E11" s="381"/>
      <c r="F11" s="381"/>
      <c r="G11" s="381"/>
      <c r="H11" s="381"/>
      <c r="I11" s="381"/>
      <c r="J11" s="381"/>
      <c r="K11" s="381"/>
      <c r="L11" s="381"/>
      <c r="M11" s="381"/>
      <c r="N11" s="381"/>
      <c r="O11" s="381"/>
      <c r="P11" s="381"/>
      <c r="Q11" s="382"/>
    </row>
    <row r="12" spans="1:17" ht="12.75" customHeight="1">
      <c r="A12" s="410"/>
      <c r="B12" s="51" t="s">
        <v>486</v>
      </c>
      <c r="C12" s="383"/>
      <c r="D12" s="371"/>
      <c r="E12" s="371"/>
      <c r="F12" s="371"/>
      <c r="G12" s="371"/>
      <c r="H12" s="371"/>
      <c r="I12" s="371"/>
      <c r="J12" s="371"/>
      <c r="K12" s="371"/>
      <c r="L12" s="371"/>
      <c r="M12" s="371"/>
      <c r="N12" s="371"/>
      <c r="O12" s="371"/>
      <c r="P12" s="371"/>
      <c r="Q12" s="372"/>
    </row>
    <row r="13" spans="1:17" ht="12.75" customHeight="1">
      <c r="A13" s="410"/>
      <c r="B13" s="51" t="s">
        <v>487</v>
      </c>
      <c r="C13" s="383"/>
      <c r="D13" s="371"/>
      <c r="E13" s="371"/>
      <c r="F13" s="371"/>
      <c r="G13" s="371"/>
      <c r="H13" s="371"/>
      <c r="I13" s="371"/>
      <c r="J13" s="371"/>
      <c r="K13" s="371"/>
      <c r="L13" s="371"/>
      <c r="M13" s="371"/>
      <c r="N13" s="371"/>
      <c r="O13" s="371"/>
      <c r="P13" s="371"/>
      <c r="Q13" s="372"/>
    </row>
    <row r="14" spans="1:17" ht="12.75" customHeight="1">
      <c r="A14" s="410"/>
      <c r="B14" s="238" t="s">
        <v>488</v>
      </c>
      <c r="C14" s="383"/>
      <c r="D14" s="371"/>
      <c r="E14" s="371"/>
      <c r="F14" s="371"/>
      <c r="G14" s="371"/>
      <c r="H14" s="371"/>
      <c r="I14" s="371"/>
      <c r="J14" s="371"/>
      <c r="K14" s="371"/>
      <c r="L14" s="371"/>
      <c r="M14" s="371"/>
      <c r="N14" s="371"/>
      <c r="O14" s="371"/>
      <c r="P14" s="371"/>
      <c r="Q14" s="372"/>
    </row>
    <row r="15" spans="1:17" ht="12.75">
      <c r="A15" s="410"/>
      <c r="B15" s="239" t="s">
        <v>489</v>
      </c>
      <c r="C15" s="239"/>
      <c r="D15" s="265" t="s">
        <v>212</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410"/>
      <c r="B16" s="239"/>
      <c r="C16" s="239"/>
      <c r="D16" s="240">
        <v>6058</v>
      </c>
      <c r="E16" s="250">
        <f>SUM(F16:G16)</f>
        <v>264097</v>
      </c>
      <c r="F16" s="241"/>
      <c r="G16" s="241">
        <f>2!N42</f>
        <v>264097</v>
      </c>
      <c r="H16" s="239">
        <f>I16+M16</f>
        <v>0</v>
      </c>
      <c r="I16" s="239">
        <f>SUM(J16:L16)</f>
        <v>0</v>
      </c>
      <c r="J16" s="239"/>
      <c r="K16" s="239"/>
      <c r="L16" s="241"/>
      <c r="M16" s="239">
        <f>SUM(N16:Q16)</f>
        <v>0</v>
      </c>
      <c r="N16" s="239"/>
      <c r="O16" s="239"/>
      <c r="P16" s="239"/>
      <c r="Q16" s="241"/>
    </row>
    <row r="17" spans="1:17" ht="12.75">
      <c r="A17" s="410"/>
      <c r="B17" s="239"/>
      <c r="C17" s="239"/>
      <c r="D17" s="240">
        <v>6059</v>
      </c>
      <c r="E17" s="250">
        <f>SUM(F17:G17)</f>
        <v>270261</v>
      </c>
      <c r="F17" s="241">
        <f>2!N43</f>
        <v>270261</v>
      </c>
      <c r="G17" s="241"/>
      <c r="H17" s="239">
        <f>I17+M17</f>
        <v>534358</v>
      </c>
      <c r="I17" s="239">
        <f>SUM(J17:L17)</f>
        <v>270261</v>
      </c>
      <c r="J17" s="239"/>
      <c r="K17" s="239"/>
      <c r="L17" s="241">
        <f>2!N43</f>
        <v>270261</v>
      </c>
      <c r="M17" s="239">
        <f>SUM(N17:Q17)</f>
        <v>264097</v>
      </c>
      <c r="N17" s="239"/>
      <c r="O17" s="239"/>
      <c r="P17" s="239"/>
      <c r="Q17" s="241">
        <f>2!N42</f>
        <v>264097</v>
      </c>
    </row>
    <row r="18" spans="1:17" ht="12.75">
      <c r="A18" s="410"/>
      <c r="B18" s="239" t="s">
        <v>542</v>
      </c>
      <c r="C18" s="242"/>
      <c r="D18" s="242"/>
      <c r="E18" s="219">
        <f>SUM(F18:G18)</f>
        <v>534358</v>
      </c>
      <c r="F18" s="241">
        <f>2!N43</f>
        <v>270261</v>
      </c>
      <c r="G18" s="241">
        <f>2!N42</f>
        <v>264097</v>
      </c>
      <c r="H18" s="239">
        <f>I18+M18</f>
        <v>534358</v>
      </c>
      <c r="I18" s="239">
        <f>SUM(J18:L18)</f>
        <v>270261</v>
      </c>
      <c r="J18" s="242"/>
      <c r="K18" s="242"/>
      <c r="L18" s="243">
        <f>2!N43</f>
        <v>270261</v>
      </c>
      <c r="M18" s="239">
        <f>SUM(N18:Q18)</f>
        <v>264097</v>
      </c>
      <c r="N18" s="242"/>
      <c r="O18" s="242"/>
      <c r="P18" s="242"/>
      <c r="Q18" s="243">
        <f>2!N42</f>
        <v>264097</v>
      </c>
    </row>
    <row r="19" spans="1:17" ht="11.25">
      <c r="A19" s="410"/>
      <c r="B19" s="239" t="s">
        <v>442</v>
      </c>
      <c r="C19" s="242"/>
      <c r="D19" s="242"/>
      <c r="E19" s="239"/>
      <c r="F19" s="239"/>
      <c r="G19" s="239"/>
      <c r="H19" s="242"/>
      <c r="I19" s="242"/>
      <c r="J19" s="242"/>
      <c r="K19" s="242"/>
      <c r="L19" s="242"/>
      <c r="M19" s="242"/>
      <c r="N19" s="242"/>
      <c r="O19" s="242"/>
      <c r="P19" s="242"/>
      <c r="Q19" s="242"/>
    </row>
    <row r="20" spans="1:17" ht="11.25">
      <c r="A20" s="410"/>
      <c r="B20" s="239" t="s">
        <v>445</v>
      </c>
      <c r="C20" s="242"/>
      <c r="D20" s="242"/>
      <c r="E20" s="239"/>
      <c r="F20" s="239"/>
      <c r="G20" s="239"/>
      <c r="H20" s="242"/>
      <c r="I20" s="242"/>
      <c r="J20" s="242"/>
      <c r="K20" s="242"/>
      <c r="L20" s="242"/>
      <c r="M20" s="242"/>
      <c r="N20" s="242"/>
      <c r="O20" s="242"/>
      <c r="P20" s="242"/>
      <c r="Q20" s="242"/>
    </row>
    <row r="21" spans="1:17" ht="11.25">
      <c r="A21" s="410"/>
      <c r="B21" s="239" t="s">
        <v>543</v>
      </c>
      <c r="C21" s="242"/>
      <c r="D21" s="242"/>
      <c r="E21" s="239"/>
      <c r="F21" s="239"/>
      <c r="G21" s="239"/>
      <c r="H21" s="242"/>
      <c r="I21" s="242"/>
      <c r="J21" s="242"/>
      <c r="K21" s="242"/>
      <c r="L21" s="242"/>
      <c r="M21" s="242"/>
      <c r="N21" s="242"/>
      <c r="O21" s="242"/>
      <c r="P21" s="242"/>
      <c r="Q21" s="242"/>
    </row>
    <row r="22" spans="1:17" s="68" customFormat="1" ht="11.25">
      <c r="A22" s="52">
        <v>2</v>
      </c>
      <c r="B22" s="69" t="s">
        <v>492</v>
      </c>
      <c r="C22" s="369" t="s">
        <v>432</v>
      </c>
      <c r="D22" s="370"/>
      <c r="E22" s="352">
        <f>E27+E44+E56</f>
        <v>6733121</v>
      </c>
      <c r="F22" s="254">
        <f aca="true" t="shared" si="2" ref="F22:Q22">F27+F44+F56</f>
        <v>1858794</v>
      </c>
      <c r="G22" s="255">
        <f t="shared" si="2"/>
        <v>4874327</v>
      </c>
      <c r="H22" s="255">
        <f t="shared" si="2"/>
        <v>6733121</v>
      </c>
      <c r="I22" s="254">
        <f t="shared" si="2"/>
        <v>1858794</v>
      </c>
      <c r="J22" s="254">
        <f t="shared" si="2"/>
        <v>0</v>
      </c>
      <c r="K22" s="254">
        <f t="shared" si="2"/>
        <v>1847495</v>
      </c>
      <c r="L22" s="254">
        <f t="shared" si="2"/>
        <v>11299</v>
      </c>
      <c r="M22" s="254">
        <f t="shared" si="2"/>
        <v>4874327</v>
      </c>
      <c r="N22" s="254">
        <f t="shared" si="2"/>
        <v>0</v>
      </c>
      <c r="O22" s="254">
        <f t="shared" si="2"/>
        <v>0</v>
      </c>
      <c r="P22" s="254">
        <f t="shared" si="2"/>
        <v>0</v>
      </c>
      <c r="Q22" s="254">
        <f t="shared" si="2"/>
        <v>4874327</v>
      </c>
    </row>
    <row r="23" spans="1:17" ht="15.75" customHeight="1">
      <c r="A23" s="410" t="s">
        <v>493</v>
      </c>
      <c r="B23" s="51" t="s">
        <v>485</v>
      </c>
      <c r="C23" s="380" t="s">
        <v>239</v>
      </c>
      <c r="D23" s="381"/>
      <c r="E23" s="381"/>
      <c r="F23" s="381"/>
      <c r="G23" s="381"/>
      <c r="H23" s="381"/>
      <c r="I23" s="381"/>
      <c r="J23" s="381"/>
      <c r="K23" s="381"/>
      <c r="L23" s="381"/>
      <c r="M23" s="381"/>
      <c r="N23" s="381"/>
      <c r="O23" s="381"/>
      <c r="P23" s="381"/>
      <c r="Q23" s="382"/>
    </row>
    <row r="24" spans="1:17" ht="12.75" customHeight="1">
      <c r="A24" s="410"/>
      <c r="B24" s="51" t="s">
        <v>486</v>
      </c>
      <c r="C24" s="383"/>
      <c r="D24" s="371"/>
      <c r="E24" s="371"/>
      <c r="F24" s="371"/>
      <c r="G24" s="371"/>
      <c r="H24" s="371"/>
      <c r="I24" s="371"/>
      <c r="J24" s="371"/>
      <c r="K24" s="371"/>
      <c r="L24" s="371"/>
      <c r="M24" s="371"/>
      <c r="N24" s="371"/>
      <c r="O24" s="371"/>
      <c r="P24" s="371"/>
      <c r="Q24" s="372"/>
    </row>
    <row r="25" spans="1:17" ht="12.75" customHeight="1">
      <c r="A25" s="410"/>
      <c r="B25" s="51" t="s">
        <v>487</v>
      </c>
      <c r="C25" s="383"/>
      <c r="D25" s="371"/>
      <c r="E25" s="371"/>
      <c r="F25" s="371"/>
      <c r="G25" s="371"/>
      <c r="H25" s="371"/>
      <c r="I25" s="371"/>
      <c r="J25" s="371"/>
      <c r="K25" s="371"/>
      <c r="L25" s="371"/>
      <c r="M25" s="371"/>
      <c r="N25" s="371"/>
      <c r="O25" s="371"/>
      <c r="P25" s="371"/>
      <c r="Q25" s="372"/>
    </row>
    <row r="26" spans="1:17" ht="12.75" customHeight="1">
      <c r="A26" s="410"/>
      <c r="B26" s="238" t="s">
        <v>488</v>
      </c>
      <c r="C26" s="373"/>
      <c r="D26" s="374"/>
      <c r="E26" s="374"/>
      <c r="F26" s="374"/>
      <c r="G26" s="374"/>
      <c r="H26" s="374"/>
      <c r="I26" s="374"/>
      <c r="J26" s="374"/>
      <c r="K26" s="374"/>
      <c r="L26" s="374"/>
      <c r="M26" s="374"/>
      <c r="N26" s="374"/>
      <c r="O26" s="374"/>
      <c r="P26" s="374"/>
      <c r="Q26" s="375"/>
    </row>
    <row r="27" spans="1:17" s="249" customFormat="1" ht="12.75">
      <c r="A27" s="410"/>
      <c r="B27" s="40" t="s">
        <v>489</v>
      </c>
      <c r="C27" s="40"/>
      <c r="D27" s="251" t="s">
        <v>203</v>
      </c>
      <c r="E27" s="362">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410"/>
      <c r="B28" s="88" t="s">
        <v>13</v>
      </c>
      <c r="C28" s="247"/>
      <c r="D28" s="248">
        <v>3218</v>
      </c>
      <c r="E28" s="250">
        <f t="shared" si="3"/>
        <v>32550</v>
      </c>
      <c r="F28" s="239"/>
      <c r="G28" s="241">
        <f>2!L297</f>
        <v>32550</v>
      </c>
      <c r="H28" s="239">
        <f t="shared" si="4"/>
        <v>32550</v>
      </c>
      <c r="I28" s="239">
        <f t="shared" si="5"/>
        <v>0</v>
      </c>
      <c r="J28" s="239"/>
      <c r="K28" s="239"/>
      <c r="L28" s="239"/>
      <c r="M28" s="239">
        <f t="shared" si="6"/>
        <v>32550</v>
      </c>
      <c r="N28" s="239"/>
      <c r="O28" s="239"/>
      <c r="P28" s="239"/>
      <c r="Q28" s="241">
        <f>2!L297</f>
        <v>32550</v>
      </c>
    </row>
    <row r="29" spans="1:17" s="246" customFormat="1" ht="25.5">
      <c r="A29" s="410"/>
      <c r="B29" s="88" t="s">
        <v>13</v>
      </c>
      <c r="C29" s="239"/>
      <c r="D29" s="85">
        <v>3219</v>
      </c>
      <c r="E29" s="250">
        <f t="shared" si="3"/>
        <v>10850</v>
      </c>
      <c r="F29" s="241">
        <f>2!L298</f>
        <v>10850</v>
      </c>
      <c r="G29" s="239"/>
      <c r="H29" s="239">
        <f t="shared" si="4"/>
        <v>10850</v>
      </c>
      <c r="I29" s="239">
        <f t="shared" si="5"/>
        <v>10850</v>
      </c>
      <c r="J29" s="239"/>
      <c r="K29" s="239"/>
      <c r="L29" s="241">
        <f>2!L298</f>
        <v>10850</v>
      </c>
      <c r="M29" s="239">
        <f t="shared" si="6"/>
        <v>0</v>
      </c>
      <c r="N29" s="239"/>
      <c r="O29" s="239"/>
      <c r="P29" s="239"/>
      <c r="Q29" s="239"/>
    </row>
    <row r="30" spans="1:17" s="246" customFormat="1" ht="25.5">
      <c r="A30" s="410"/>
      <c r="B30" s="88" t="s">
        <v>687</v>
      </c>
      <c r="C30" s="239"/>
      <c r="D30" s="85">
        <v>4118</v>
      </c>
      <c r="E30" s="250">
        <f t="shared" si="3"/>
        <v>193</v>
      </c>
      <c r="F30" s="239"/>
      <c r="G30" s="241">
        <f>2!I299</f>
        <v>193</v>
      </c>
      <c r="H30" s="239">
        <f t="shared" si="4"/>
        <v>193</v>
      </c>
      <c r="I30" s="239">
        <f t="shared" si="5"/>
        <v>0</v>
      </c>
      <c r="J30" s="239"/>
      <c r="K30" s="239"/>
      <c r="L30" s="239"/>
      <c r="M30" s="239">
        <f t="shared" si="6"/>
        <v>193</v>
      </c>
      <c r="N30" s="239"/>
      <c r="O30" s="239"/>
      <c r="P30" s="239"/>
      <c r="Q30" s="241">
        <f>2!I299</f>
        <v>193</v>
      </c>
    </row>
    <row r="31" spans="1:17" s="246" customFormat="1" ht="25.5">
      <c r="A31" s="410"/>
      <c r="B31" s="88" t="s">
        <v>687</v>
      </c>
      <c r="C31" s="239"/>
      <c r="D31" s="85">
        <v>4119</v>
      </c>
      <c r="E31" s="250">
        <f t="shared" si="3"/>
        <v>64</v>
      </c>
      <c r="F31" s="241">
        <f>2!I300</f>
        <v>64</v>
      </c>
      <c r="G31" s="239"/>
      <c r="H31" s="239">
        <f t="shared" si="4"/>
        <v>64</v>
      </c>
      <c r="I31" s="239">
        <f>SUM(J31:L31)</f>
        <v>64</v>
      </c>
      <c r="J31" s="239"/>
      <c r="K31" s="239"/>
      <c r="L31" s="241">
        <f>2!I300</f>
        <v>64</v>
      </c>
      <c r="M31" s="239">
        <f>SUM(N31:Q31)</f>
        <v>0</v>
      </c>
      <c r="N31" s="239"/>
      <c r="O31" s="239"/>
      <c r="P31" s="239"/>
      <c r="Q31" s="239"/>
    </row>
    <row r="32" spans="1:17" s="246" customFormat="1" ht="25.5">
      <c r="A32" s="410"/>
      <c r="B32" s="88" t="s">
        <v>627</v>
      </c>
      <c r="C32" s="239"/>
      <c r="D32" s="85">
        <v>4128</v>
      </c>
      <c r="E32" s="250">
        <f t="shared" si="3"/>
        <v>28</v>
      </c>
      <c r="F32" s="239"/>
      <c r="G32" s="241">
        <f>2!I301</f>
        <v>28</v>
      </c>
      <c r="H32" s="239">
        <f t="shared" si="4"/>
        <v>28</v>
      </c>
      <c r="I32" s="239">
        <f t="shared" si="5"/>
        <v>0</v>
      </c>
      <c r="J32" s="239"/>
      <c r="K32" s="239"/>
      <c r="L32" s="239"/>
      <c r="M32" s="239">
        <f t="shared" si="6"/>
        <v>28</v>
      </c>
      <c r="N32" s="239"/>
      <c r="O32" s="239"/>
      <c r="P32" s="239"/>
      <c r="Q32" s="241">
        <f>2!I301</f>
        <v>28</v>
      </c>
    </row>
    <row r="33" spans="1:17" s="246" customFormat="1" ht="25.5">
      <c r="A33" s="410"/>
      <c r="B33" s="88" t="s">
        <v>627</v>
      </c>
      <c r="C33" s="239"/>
      <c r="D33" s="85">
        <v>4129</v>
      </c>
      <c r="E33" s="250">
        <f t="shared" si="3"/>
        <v>9</v>
      </c>
      <c r="F33" s="241">
        <f>2!I302</f>
        <v>9</v>
      </c>
      <c r="G33" s="239"/>
      <c r="H33" s="239">
        <f t="shared" si="4"/>
        <v>9</v>
      </c>
      <c r="I33" s="239">
        <f t="shared" si="5"/>
        <v>9</v>
      </c>
      <c r="J33" s="239"/>
      <c r="K33" s="239"/>
      <c r="L33" s="241">
        <f>2!I302</f>
        <v>9</v>
      </c>
      <c r="M33" s="239">
        <f t="shared" si="6"/>
        <v>0</v>
      </c>
      <c r="N33" s="239"/>
      <c r="O33" s="239"/>
      <c r="P33" s="239"/>
      <c r="Q33" s="239"/>
    </row>
    <row r="34" spans="1:17" s="246" customFormat="1" ht="25.5">
      <c r="A34" s="410"/>
      <c r="B34" s="88" t="s">
        <v>655</v>
      </c>
      <c r="C34" s="239"/>
      <c r="D34" s="85">
        <v>4178</v>
      </c>
      <c r="E34" s="219">
        <f>SUM(G34:G34)</f>
        <v>1127</v>
      </c>
      <c r="F34" s="239"/>
      <c r="G34" s="241">
        <f>2!L303</f>
        <v>1127</v>
      </c>
      <c r="H34" s="239">
        <f t="shared" si="4"/>
        <v>1127</v>
      </c>
      <c r="I34" s="239">
        <f t="shared" si="5"/>
        <v>0</v>
      </c>
      <c r="J34" s="239"/>
      <c r="K34" s="239"/>
      <c r="L34" s="239"/>
      <c r="M34" s="239">
        <f t="shared" si="6"/>
        <v>1127</v>
      </c>
      <c r="N34" s="239"/>
      <c r="O34" s="239"/>
      <c r="P34" s="239"/>
      <c r="Q34" s="241">
        <f>2!L303</f>
        <v>1127</v>
      </c>
    </row>
    <row r="35" spans="1:17" s="246" customFormat="1" ht="25.5">
      <c r="A35" s="410"/>
      <c r="B35" s="88" t="s">
        <v>655</v>
      </c>
      <c r="C35" s="239"/>
      <c r="D35" s="85">
        <v>4179</v>
      </c>
      <c r="E35" s="219">
        <f>SUM(G35:G35)</f>
        <v>0</v>
      </c>
      <c r="F35" s="241">
        <f>2!L304</f>
        <v>376</v>
      </c>
      <c r="G35" s="239"/>
      <c r="H35" s="239">
        <f t="shared" si="4"/>
        <v>376</v>
      </c>
      <c r="I35" s="239">
        <f t="shared" si="5"/>
        <v>376</v>
      </c>
      <c r="J35" s="239"/>
      <c r="K35" s="239"/>
      <c r="L35" s="241">
        <f>2!L304</f>
        <v>376</v>
      </c>
      <c r="M35" s="239">
        <f t="shared" si="6"/>
        <v>0</v>
      </c>
      <c r="N35" s="239"/>
      <c r="O35" s="239"/>
      <c r="P35" s="239"/>
      <c r="Q35" s="239"/>
    </row>
    <row r="36" spans="1:17" s="246" customFormat="1" ht="11.25">
      <c r="A36" s="410"/>
      <c r="B36" s="239" t="s">
        <v>542</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410"/>
      <c r="B37" s="239" t="s">
        <v>442</v>
      </c>
      <c r="C37" s="242"/>
      <c r="D37" s="242"/>
      <c r="E37" s="239"/>
      <c r="F37" s="239"/>
      <c r="G37" s="239"/>
      <c r="H37" s="242"/>
      <c r="I37" s="242"/>
      <c r="J37" s="242"/>
      <c r="K37" s="242"/>
      <c r="L37" s="242"/>
      <c r="M37" s="242"/>
      <c r="N37" s="242"/>
      <c r="O37" s="242"/>
      <c r="P37" s="242"/>
      <c r="Q37" s="242"/>
    </row>
    <row r="38" spans="1:17" s="246" customFormat="1" ht="11.25">
      <c r="A38" s="410"/>
      <c r="B38" s="239" t="s">
        <v>445</v>
      </c>
      <c r="C38" s="242"/>
      <c r="D38" s="242"/>
      <c r="E38" s="239"/>
      <c r="F38" s="239"/>
      <c r="G38" s="239"/>
      <c r="H38" s="242"/>
      <c r="I38" s="242"/>
      <c r="J38" s="242"/>
      <c r="K38" s="242"/>
      <c r="L38" s="242"/>
      <c r="M38" s="242"/>
      <c r="N38" s="242"/>
      <c r="O38" s="242"/>
      <c r="P38" s="242"/>
      <c r="Q38" s="242"/>
    </row>
    <row r="39" spans="1:17" s="246" customFormat="1" ht="11.25">
      <c r="A39" s="410"/>
      <c r="B39" s="239" t="s">
        <v>543</v>
      </c>
      <c r="C39" s="242"/>
      <c r="D39" s="242"/>
      <c r="E39" s="239"/>
      <c r="F39" s="239"/>
      <c r="G39" s="239"/>
      <c r="H39" s="242"/>
      <c r="I39" s="242"/>
      <c r="J39" s="242"/>
      <c r="K39" s="242"/>
      <c r="L39" s="242"/>
      <c r="M39" s="242"/>
      <c r="N39" s="242"/>
      <c r="O39" s="242"/>
      <c r="P39" s="242"/>
      <c r="Q39" s="242"/>
    </row>
    <row r="40" spans="1:17" ht="12.75" customHeight="1">
      <c r="A40" s="410" t="s">
        <v>494</v>
      </c>
      <c r="B40" s="237" t="s">
        <v>485</v>
      </c>
      <c r="C40" s="380" t="s">
        <v>240</v>
      </c>
      <c r="D40" s="381"/>
      <c r="E40" s="381"/>
      <c r="F40" s="381"/>
      <c r="G40" s="381"/>
      <c r="H40" s="381"/>
      <c r="I40" s="381"/>
      <c r="J40" s="381"/>
      <c r="K40" s="381"/>
      <c r="L40" s="381"/>
      <c r="M40" s="381"/>
      <c r="N40" s="381"/>
      <c r="O40" s="381"/>
      <c r="P40" s="381"/>
      <c r="Q40" s="382"/>
    </row>
    <row r="41" spans="1:17" ht="12.75" customHeight="1">
      <c r="A41" s="410"/>
      <c r="B41" s="51" t="s">
        <v>486</v>
      </c>
      <c r="C41" s="383"/>
      <c r="D41" s="371"/>
      <c r="E41" s="371"/>
      <c r="F41" s="371"/>
      <c r="G41" s="371"/>
      <c r="H41" s="371"/>
      <c r="I41" s="371"/>
      <c r="J41" s="371"/>
      <c r="K41" s="371"/>
      <c r="L41" s="371"/>
      <c r="M41" s="371"/>
      <c r="N41" s="371"/>
      <c r="O41" s="371"/>
      <c r="P41" s="371"/>
      <c r="Q41" s="372"/>
    </row>
    <row r="42" spans="1:17" ht="12.75" customHeight="1">
      <c r="A42" s="410"/>
      <c r="B42" s="51" t="s">
        <v>487</v>
      </c>
      <c r="C42" s="383"/>
      <c r="D42" s="371"/>
      <c r="E42" s="371"/>
      <c r="F42" s="371"/>
      <c r="G42" s="371"/>
      <c r="H42" s="371"/>
      <c r="I42" s="371"/>
      <c r="J42" s="371"/>
      <c r="K42" s="371"/>
      <c r="L42" s="371"/>
      <c r="M42" s="371"/>
      <c r="N42" s="371"/>
      <c r="O42" s="371"/>
      <c r="P42" s="371"/>
      <c r="Q42" s="372"/>
    </row>
    <row r="43" spans="1:17" ht="12.75" customHeight="1">
      <c r="A43" s="410"/>
      <c r="B43" s="238" t="s">
        <v>488</v>
      </c>
      <c r="C43" s="373"/>
      <c r="D43" s="374"/>
      <c r="E43" s="374"/>
      <c r="F43" s="374"/>
      <c r="G43" s="374"/>
      <c r="H43" s="374"/>
      <c r="I43" s="374"/>
      <c r="J43" s="374"/>
      <c r="K43" s="374"/>
      <c r="L43" s="374"/>
      <c r="M43" s="374"/>
      <c r="N43" s="374"/>
      <c r="O43" s="374"/>
      <c r="P43" s="374"/>
      <c r="Q43" s="375"/>
    </row>
    <row r="44" spans="1:17" s="68" customFormat="1" ht="11.25">
      <c r="A44" s="410"/>
      <c r="B44" s="40" t="s">
        <v>489</v>
      </c>
      <c r="C44" s="40"/>
      <c r="D44" s="251" t="s">
        <v>205</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410"/>
      <c r="B45" s="88" t="s">
        <v>43</v>
      </c>
      <c r="C45" s="239"/>
      <c r="D45" s="105">
        <v>3118</v>
      </c>
      <c r="E45" s="219">
        <f>SUM(F45:G45)</f>
        <v>674401</v>
      </c>
      <c r="F45" s="239"/>
      <c r="G45" s="241">
        <f>2!L489</f>
        <v>674401</v>
      </c>
      <c r="H45" s="239">
        <f>I45+M45</f>
        <v>674401</v>
      </c>
      <c r="I45" s="239">
        <f>SUM(J45:L45)</f>
        <v>0</v>
      </c>
      <c r="J45" s="239"/>
      <c r="K45" s="239"/>
      <c r="L45" s="239"/>
      <c r="M45" s="239">
        <f>SUM(N45:Q45)</f>
        <v>674401</v>
      </c>
      <c r="N45" s="239"/>
      <c r="O45" s="239"/>
      <c r="P45" s="239"/>
      <c r="Q45" s="241">
        <f>2!L489</f>
        <v>674401</v>
      </c>
    </row>
    <row r="46" spans="1:17" ht="22.5">
      <c r="A46" s="410"/>
      <c r="B46" s="102" t="s">
        <v>626</v>
      </c>
      <c r="C46" s="239"/>
      <c r="D46" s="105">
        <v>4118</v>
      </c>
      <c r="E46" s="219">
        <f>SUM(F46:G46)</f>
        <v>160450</v>
      </c>
      <c r="F46" s="239"/>
      <c r="G46" s="241">
        <f>2!I490</f>
        <v>160450</v>
      </c>
      <c r="H46" s="239">
        <f>I46+M46</f>
        <v>160450</v>
      </c>
      <c r="I46" s="239">
        <f>SUM(J46:L46)</f>
        <v>0</v>
      </c>
      <c r="J46" s="239"/>
      <c r="K46" s="239"/>
      <c r="L46" s="239"/>
      <c r="M46" s="239">
        <f>SUM(N46:Q46)</f>
        <v>160450</v>
      </c>
      <c r="N46" s="239"/>
      <c r="O46" s="239"/>
      <c r="P46" s="239"/>
      <c r="Q46" s="241">
        <f>2!I490</f>
        <v>160450</v>
      </c>
    </row>
    <row r="47" spans="1:17" ht="12.75">
      <c r="A47" s="410"/>
      <c r="B47" s="88" t="s">
        <v>44</v>
      </c>
      <c r="C47" s="239"/>
      <c r="D47" s="105">
        <v>4308</v>
      </c>
      <c r="E47" s="219">
        <f>SUM(F47:G47)</f>
        <v>70616</v>
      </c>
      <c r="F47" s="239"/>
      <c r="G47" s="241">
        <f>2!L491</f>
        <v>70616</v>
      </c>
      <c r="H47" s="239">
        <f>I47+M47</f>
        <v>70616</v>
      </c>
      <c r="I47" s="239">
        <f>SUM(J47:L47)</f>
        <v>0</v>
      </c>
      <c r="J47" s="239"/>
      <c r="K47" s="239"/>
      <c r="L47" s="239"/>
      <c r="M47" s="239">
        <f>SUM(N47:Q47)</f>
        <v>70616</v>
      </c>
      <c r="N47" s="239"/>
      <c r="O47" s="239"/>
      <c r="P47" s="239"/>
      <c r="Q47" s="241">
        <f>2!L491</f>
        <v>70616</v>
      </c>
    </row>
    <row r="48" spans="1:17" ht="11.25">
      <c r="A48" s="410"/>
      <c r="B48" s="239" t="s">
        <v>542</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410"/>
      <c r="B49" s="239" t="s">
        <v>442</v>
      </c>
      <c r="C49" s="242"/>
      <c r="D49" s="242"/>
      <c r="E49" s="239"/>
      <c r="F49" s="239"/>
      <c r="G49" s="239"/>
      <c r="H49" s="242"/>
      <c r="I49" s="242"/>
      <c r="J49" s="242"/>
      <c r="K49" s="242"/>
      <c r="L49" s="242"/>
      <c r="M49" s="242"/>
      <c r="N49" s="242"/>
      <c r="O49" s="242"/>
      <c r="P49" s="242"/>
      <c r="Q49" s="242"/>
    </row>
    <row r="50" spans="1:17" ht="11.25">
      <c r="A50" s="410"/>
      <c r="B50" s="239" t="s">
        <v>445</v>
      </c>
      <c r="C50" s="242"/>
      <c r="D50" s="242"/>
      <c r="E50" s="239"/>
      <c r="F50" s="239"/>
      <c r="G50" s="239"/>
      <c r="H50" s="242"/>
      <c r="I50" s="242"/>
      <c r="J50" s="242"/>
      <c r="K50" s="242"/>
      <c r="L50" s="242"/>
      <c r="M50" s="242"/>
      <c r="N50" s="242"/>
      <c r="O50" s="242"/>
      <c r="P50" s="242"/>
      <c r="Q50" s="242"/>
    </row>
    <row r="51" spans="1:17" ht="11.25">
      <c r="A51" s="410"/>
      <c r="B51" s="239" t="s">
        <v>543</v>
      </c>
      <c r="C51" s="242"/>
      <c r="D51" s="242"/>
      <c r="E51" s="239"/>
      <c r="F51" s="239"/>
      <c r="G51" s="239"/>
      <c r="H51" s="242"/>
      <c r="I51" s="242"/>
      <c r="J51" s="242"/>
      <c r="K51" s="242"/>
      <c r="L51" s="242"/>
      <c r="M51" s="242"/>
      <c r="N51" s="242"/>
      <c r="O51" s="242"/>
      <c r="P51" s="242"/>
      <c r="Q51" s="242"/>
    </row>
    <row r="52" spans="1:17" ht="12.75" customHeight="1">
      <c r="A52" s="410" t="s">
        <v>563</v>
      </c>
      <c r="B52" s="237" t="s">
        <v>485</v>
      </c>
      <c r="C52" s="380" t="s">
        <v>242</v>
      </c>
      <c r="D52" s="381"/>
      <c r="E52" s="381"/>
      <c r="F52" s="381"/>
      <c r="G52" s="381"/>
      <c r="H52" s="381"/>
      <c r="I52" s="381"/>
      <c r="J52" s="381"/>
      <c r="K52" s="381"/>
      <c r="L52" s="381"/>
      <c r="M52" s="381"/>
      <c r="N52" s="381"/>
      <c r="O52" s="381"/>
      <c r="P52" s="381"/>
      <c r="Q52" s="382"/>
    </row>
    <row r="53" spans="1:17" ht="12.75" customHeight="1">
      <c r="A53" s="410"/>
      <c r="B53" s="51" t="s">
        <v>486</v>
      </c>
      <c r="C53" s="383"/>
      <c r="D53" s="377"/>
      <c r="E53" s="377"/>
      <c r="F53" s="377"/>
      <c r="G53" s="377"/>
      <c r="H53" s="377"/>
      <c r="I53" s="377"/>
      <c r="J53" s="377"/>
      <c r="K53" s="377"/>
      <c r="L53" s="377"/>
      <c r="M53" s="377"/>
      <c r="N53" s="377"/>
      <c r="O53" s="377"/>
      <c r="P53" s="377"/>
      <c r="Q53" s="372"/>
    </row>
    <row r="54" spans="1:17" ht="12.75" customHeight="1">
      <c r="A54" s="410"/>
      <c r="B54" s="51" t="s">
        <v>487</v>
      </c>
      <c r="C54" s="383"/>
      <c r="D54" s="377"/>
      <c r="E54" s="377"/>
      <c r="F54" s="377"/>
      <c r="G54" s="377"/>
      <c r="H54" s="377"/>
      <c r="I54" s="377"/>
      <c r="J54" s="377"/>
      <c r="K54" s="377"/>
      <c r="L54" s="377"/>
      <c r="M54" s="377"/>
      <c r="N54" s="377"/>
      <c r="O54" s="377"/>
      <c r="P54" s="377"/>
      <c r="Q54" s="372"/>
    </row>
    <row r="55" spans="1:17" ht="12.75" customHeight="1">
      <c r="A55" s="410"/>
      <c r="B55" s="238" t="s">
        <v>488</v>
      </c>
      <c r="C55" s="383"/>
      <c r="D55" s="371"/>
      <c r="E55" s="371"/>
      <c r="F55" s="371"/>
      <c r="G55" s="371"/>
      <c r="H55" s="371"/>
      <c r="I55" s="371"/>
      <c r="J55" s="371"/>
      <c r="K55" s="371"/>
      <c r="L55" s="371"/>
      <c r="M55" s="371"/>
      <c r="N55" s="371"/>
      <c r="O55" s="371"/>
      <c r="P55" s="371"/>
      <c r="Q55" s="372"/>
    </row>
    <row r="56" spans="1:17" s="68" customFormat="1" ht="11.25">
      <c r="A56" s="410"/>
      <c r="B56" s="40" t="s">
        <v>489</v>
      </c>
      <c r="C56" s="40"/>
      <c r="D56" s="40" t="s">
        <v>204</v>
      </c>
      <c r="E56" s="40">
        <f aca="true" t="shared" si="10" ref="E56:Q56">SUM(E57:E86)</f>
        <v>5782457</v>
      </c>
      <c r="F56" s="40">
        <f t="shared" si="10"/>
        <v>1847495</v>
      </c>
      <c r="G56" s="40">
        <f t="shared" si="10"/>
        <v>3934962</v>
      </c>
      <c r="H56" s="40">
        <f t="shared" si="10"/>
        <v>5782457</v>
      </c>
      <c r="I56" s="40">
        <f t="shared" si="10"/>
        <v>1847495</v>
      </c>
      <c r="J56" s="40">
        <f t="shared" si="10"/>
        <v>0</v>
      </c>
      <c r="K56" s="40">
        <f t="shared" si="10"/>
        <v>1847495</v>
      </c>
      <c r="L56" s="40">
        <f t="shared" si="10"/>
        <v>0</v>
      </c>
      <c r="M56" s="40">
        <f t="shared" si="10"/>
        <v>3934962</v>
      </c>
      <c r="N56" s="40">
        <f t="shared" si="10"/>
        <v>0</v>
      </c>
      <c r="O56" s="40">
        <f t="shared" si="10"/>
        <v>0</v>
      </c>
      <c r="P56" s="40">
        <f t="shared" si="10"/>
        <v>0</v>
      </c>
      <c r="Q56" s="40">
        <f t="shared" si="10"/>
        <v>3934962</v>
      </c>
    </row>
    <row r="57" spans="1:17" ht="63.75">
      <c r="A57" s="410"/>
      <c r="B57" s="88" t="s">
        <v>51</v>
      </c>
      <c r="C57" s="239"/>
      <c r="D57" s="85">
        <v>2318</v>
      </c>
      <c r="E57" s="219">
        <f>SUM(G57:G57)</f>
        <v>66840</v>
      </c>
      <c r="F57" s="239"/>
      <c r="G57" s="241">
        <f>2!J546</f>
        <v>66840</v>
      </c>
      <c r="H57" s="239">
        <f aca="true" t="shared" si="11" ref="H57:H86">I57+M57</f>
        <v>66840</v>
      </c>
      <c r="I57" s="239">
        <f aca="true" t="shared" si="12" ref="I57:I86">SUM(J57:L57)</f>
        <v>0</v>
      </c>
      <c r="J57" s="239"/>
      <c r="K57" s="239"/>
      <c r="L57" s="239"/>
      <c r="M57" s="239">
        <f aca="true" t="shared" si="13" ref="M57:M86">SUM(N57:Q57)</f>
        <v>66840</v>
      </c>
      <c r="N57" s="239"/>
      <c r="O57" s="239"/>
      <c r="P57" s="239"/>
      <c r="Q57" s="241">
        <f>2!J546</f>
        <v>66840</v>
      </c>
    </row>
    <row r="58" spans="1:17" ht="63.75">
      <c r="A58" s="410"/>
      <c r="B58" s="88" t="s">
        <v>51</v>
      </c>
      <c r="C58" s="239"/>
      <c r="D58" s="85">
        <v>2319</v>
      </c>
      <c r="E58" s="219">
        <f>SUM(F58:F58)</f>
        <v>31382</v>
      </c>
      <c r="F58" s="241">
        <f>2!J547</f>
        <v>31382</v>
      </c>
      <c r="G58" s="239"/>
      <c r="H58" s="239">
        <f t="shared" si="11"/>
        <v>31382</v>
      </c>
      <c r="I58" s="239">
        <f t="shared" si="12"/>
        <v>31382</v>
      </c>
      <c r="J58" s="239"/>
      <c r="K58" s="241">
        <f>2!J547</f>
        <v>31382</v>
      </c>
      <c r="L58" s="239"/>
      <c r="M58" s="239">
        <f t="shared" si="13"/>
        <v>0</v>
      </c>
      <c r="N58" s="239"/>
      <c r="O58" s="239"/>
      <c r="P58" s="239"/>
      <c r="Q58" s="239"/>
    </row>
    <row r="59" spans="1:17" ht="63.75">
      <c r="A59" s="410"/>
      <c r="B59" s="88" t="s">
        <v>52</v>
      </c>
      <c r="C59" s="239"/>
      <c r="D59" s="85">
        <v>2328</v>
      </c>
      <c r="E59" s="219">
        <f aca="true" t="shared" si="14" ref="E59:E86">SUM(F59:G59)</f>
        <v>3632135</v>
      </c>
      <c r="F59" s="239"/>
      <c r="G59" s="253">
        <f>2!J548</f>
        <v>3632135</v>
      </c>
      <c r="H59" s="239">
        <f t="shared" si="11"/>
        <v>3632135</v>
      </c>
      <c r="I59" s="239">
        <f t="shared" si="12"/>
        <v>0</v>
      </c>
      <c r="J59" s="239"/>
      <c r="K59" s="239"/>
      <c r="L59" s="239"/>
      <c r="M59" s="239">
        <f t="shared" si="13"/>
        <v>3632135</v>
      </c>
      <c r="N59" s="239"/>
      <c r="O59" s="239"/>
      <c r="P59" s="239"/>
      <c r="Q59" s="241">
        <f>2!J548</f>
        <v>3632135</v>
      </c>
    </row>
    <row r="60" spans="1:17" ht="63.75">
      <c r="A60" s="410"/>
      <c r="B60" s="88" t="s">
        <v>52</v>
      </c>
      <c r="C60" s="239"/>
      <c r="D60" s="85">
        <v>2329</v>
      </c>
      <c r="E60" s="219">
        <f t="shared" si="14"/>
        <v>1705316</v>
      </c>
      <c r="F60" s="241">
        <f>2!J549</f>
        <v>1705316</v>
      </c>
      <c r="G60" s="239"/>
      <c r="H60" s="239">
        <f t="shared" si="11"/>
        <v>1705316</v>
      </c>
      <c r="I60" s="239">
        <f t="shared" si="12"/>
        <v>1705316</v>
      </c>
      <c r="J60" s="239"/>
      <c r="K60" s="241">
        <f>2!J549</f>
        <v>1705316</v>
      </c>
      <c r="L60" s="239"/>
      <c r="M60" s="239">
        <f t="shared" si="13"/>
        <v>0</v>
      </c>
      <c r="N60" s="239"/>
      <c r="O60" s="239"/>
      <c r="P60" s="239"/>
      <c r="Q60" s="239"/>
    </row>
    <row r="61" spans="1:17" ht="38.25">
      <c r="A61" s="410"/>
      <c r="B61" s="88" t="s">
        <v>53</v>
      </c>
      <c r="C61" s="239"/>
      <c r="D61" s="85">
        <v>3248</v>
      </c>
      <c r="E61" s="219">
        <f t="shared" si="14"/>
        <v>65751</v>
      </c>
      <c r="F61" s="239"/>
      <c r="G61" s="241">
        <f>2!L550</f>
        <v>65751</v>
      </c>
      <c r="H61" s="239">
        <f t="shared" si="11"/>
        <v>65751</v>
      </c>
      <c r="I61" s="239">
        <f t="shared" si="12"/>
        <v>0</v>
      </c>
      <c r="J61" s="239"/>
      <c r="K61" s="239"/>
      <c r="L61" s="239"/>
      <c r="M61" s="239">
        <f t="shared" si="13"/>
        <v>65751</v>
      </c>
      <c r="N61" s="239"/>
      <c r="O61" s="239"/>
      <c r="P61" s="239"/>
      <c r="Q61" s="241">
        <f>2!L550</f>
        <v>65751</v>
      </c>
    </row>
    <row r="62" spans="1:17" ht="38.25">
      <c r="A62" s="410"/>
      <c r="B62" s="88" t="s">
        <v>53</v>
      </c>
      <c r="C62" s="239"/>
      <c r="D62" s="85">
        <v>3249</v>
      </c>
      <c r="E62" s="219">
        <f t="shared" si="14"/>
        <v>30870</v>
      </c>
      <c r="F62" s="241">
        <f>2!L551</f>
        <v>30870</v>
      </c>
      <c r="G62" s="239"/>
      <c r="H62" s="239">
        <f t="shared" si="11"/>
        <v>30870</v>
      </c>
      <c r="I62" s="239">
        <f t="shared" si="12"/>
        <v>30870</v>
      </c>
      <c r="J62" s="239"/>
      <c r="K62" s="241">
        <f>2!L551</f>
        <v>30870</v>
      </c>
      <c r="L62" s="239"/>
      <c r="M62" s="239">
        <f t="shared" si="13"/>
        <v>0</v>
      </c>
      <c r="N62" s="239"/>
      <c r="O62" s="239"/>
      <c r="P62" s="239"/>
      <c r="Q62" s="239"/>
    </row>
    <row r="63" spans="1:17" ht="25.5">
      <c r="A63" s="410"/>
      <c r="B63" s="88" t="s">
        <v>54</v>
      </c>
      <c r="C63" s="239"/>
      <c r="D63" s="85">
        <v>4018</v>
      </c>
      <c r="E63" s="219">
        <f t="shared" si="14"/>
        <v>12063</v>
      </c>
      <c r="F63" s="239"/>
      <c r="G63" s="241">
        <f>2!G552</f>
        <v>12063</v>
      </c>
      <c r="H63" s="239">
        <f t="shared" si="11"/>
        <v>12063</v>
      </c>
      <c r="I63" s="239">
        <f t="shared" si="12"/>
        <v>0</v>
      </c>
      <c r="J63" s="239"/>
      <c r="K63" s="239"/>
      <c r="L63" s="239"/>
      <c r="M63" s="239">
        <f t="shared" si="13"/>
        <v>12063</v>
      </c>
      <c r="N63" s="239"/>
      <c r="O63" s="239"/>
      <c r="P63" s="239"/>
      <c r="Q63" s="241">
        <f>2!G552</f>
        <v>12063</v>
      </c>
    </row>
    <row r="64" spans="1:17" ht="25.5">
      <c r="A64" s="410"/>
      <c r="B64" s="88" t="s">
        <v>54</v>
      </c>
      <c r="C64" s="239"/>
      <c r="D64" s="85">
        <v>4019</v>
      </c>
      <c r="E64" s="219">
        <f t="shared" si="14"/>
        <v>5664</v>
      </c>
      <c r="F64" s="241">
        <f>2!G553</f>
        <v>5664</v>
      </c>
      <c r="G64" s="239"/>
      <c r="H64" s="239">
        <f t="shared" si="11"/>
        <v>5664</v>
      </c>
      <c r="I64" s="239">
        <f t="shared" si="12"/>
        <v>5664</v>
      </c>
      <c r="J64" s="239"/>
      <c r="K64" s="241">
        <f>2!G553</f>
        <v>5664</v>
      </c>
      <c r="L64" s="239"/>
      <c r="M64" s="239">
        <f t="shared" si="13"/>
        <v>0</v>
      </c>
      <c r="N64" s="239"/>
      <c r="O64" s="239"/>
      <c r="P64" s="239"/>
      <c r="Q64" s="239"/>
    </row>
    <row r="65" spans="1:17" ht="25.5">
      <c r="A65" s="410"/>
      <c r="B65" s="88" t="s">
        <v>687</v>
      </c>
      <c r="C65" s="239"/>
      <c r="D65" s="85">
        <v>4118</v>
      </c>
      <c r="E65" s="219">
        <f t="shared" si="14"/>
        <v>10602</v>
      </c>
      <c r="F65" s="239"/>
      <c r="G65" s="241">
        <f>2!I554</f>
        <v>10602</v>
      </c>
      <c r="H65" s="239">
        <f t="shared" si="11"/>
        <v>10602</v>
      </c>
      <c r="I65" s="239">
        <f t="shared" si="12"/>
        <v>0</v>
      </c>
      <c r="J65" s="239"/>
      <c r="K65" s="239"/>
      <c r="L65" s="239"/>
      <c r="M65" s="239">
        <f t="shared" si="13"/>
        <v>10602</v>
      </c>
      <c r="N65" s="239"/>
      <c r="O65" s="239"/>
      <c r="P65" s="239"/>
      <c r="Q65" s="241">
        <f>2!I554</f>
        <v>10602</v>
      </c>
    </row>
    <row r="66" spans="1:17" ht="25.5">
      <c r="A66" s="410"/>
      <c r="B66" s="88" t="s">
        <v>687</v>
      </c>
      <c r="C66" s="239"/>
      <c r="D66" s="85">
        <v>4119</v>
      </c>
      <c r="E66" s="219">
        <f t="shared" si="14"/>
        <v>4978</v>
      </c>
      <c r="F66" s="241">
        <f>2!I555</f>
        <v>4978</v>
      </c>
      <c r="G66" s="239"/>
      <c r="H66" s="239">
        <f t="shared" si="11"/>
        <v>4978</v>
      </c>
      <c r="I66" s="239">
        <f t="shared" si="12"/>
        <v>4978</v>
      </c>
      <c r="J66" s="239"/>
      <c r="K66" s="241">
        <f>2!I555</f>
        <v>4978</v>
      </c>
      <c r="L66" s="239"/>
      <c r="M66" s="239">
        <f t="shared" si="13"/>
        <v>0</v>
      </c>
      <c r="N66" s="239"/>
      <c r="O66" s="239"/>
      <c r="P66" s="239"/>
      <c r="Q66" s="239"/>
    </row>
    <row r="67" spans="1:17" ht="25.5">
      <c r="A67" s="410"/>
      <c r="B67" s="88" t="s">
        <v>627</v>
      </c>
      <c r="C67" s="239"/>
      <c r="D67" s="85">
        <v>4128</v>
      </c>
      <c r="E67" s="219">
        <f t="shared" si="14"/>
        <v>1515</v>
      </c>
      <c r="F67" s="239"/>
      <c r="G67" s="241">
        <f>2!I556</f>
        <v>1515</v>
      </c>
      <c r="H67" s="239">
        <f t="shared" si="11"/>
        <v>1515</v>
      </c>
      <c r="I67" s="239">
        <f t="shared" si="12"/>
        <v>0</v>
      </c>
      <c r="J67" s="239"/>
      <c r="K67" s="239"/>
      <c r="L67" s="239"/>
      <c r="M67" s="239">
        <f t="shared" si="13"/>
        <v>1515</v>
      </c>
      <c r="N67" s="239"/>
      <c r="O67" s="239"/>
      <c r="P67" s="239"/>
      <c r="Q67" s="241">
        <f>2!I556</f>
        <v>1515</v>
      </c>
    </row>
    <row r="68" spans="1:17" ht="25.5">
      <c r="A68" s="410"/>
      <c r="B68" s="88" t="s">
        <v>627</v>
      </c>
      <c r="C68" s="239"/>
      <c r="D68" s="85">
        <v>4129</v>
      </c>
      <c r="E68" s="219">
        <f t="shared" si="14"/>
        <v>711</v>
      </c>
      <c r="F68" s="241">
        <f>2!I557</f>
        <v>711</v>
      </c>
      <c r="G68" s="239"/>
      <c r="H68" s="239">
        <f t="shared" si="11"/>
        <v>711</v>
      </c>
      <c r="I68" s="239">
        <f t="shared" si="12"/>
        <v>711</v>
      </c>
      <c r="J68" s="239"/>
      <c r="K68" s="241">
        <f>2!I557</f>
        <v>711</v>
      </c>
      <c r="L68" s="239"/>
      <c r="M68" s="239">
        <f t="shared" si="13"/>
        <v>0</v>
      </c>
      <c r="N68" s="239"/>
      <c r="O68" s="239"/>
      <c r="P68" s="239"/>
      <c r="Q68" s="239"/>
    </row>
    <row r="69" spans="1:17" ht="25.5">
      <c r="A69" s="410"/>
      <c r="B69" s="88" t="s">
        <v>670</v>
      </c>
      <c r="C69" s="239"/>
      <c r="D69" s="85">
        <v>4178</v>
      </c>
      <c r="E69" s="219">
        <f t="shared" si="14"/>
        <v>55655</v>
      </c>
      <c r="F69" s="239"/>
      <c r="G69" s="241">
        <f>2!L558</f>
        <v>55655</v>
      </c>
      <c r="H69" s="239">
        <f t="shared" si="11"/>
        <v>55655</v>
      </c>
      <c r="I69" s="239">
        <f t="shared" si="12"/>
        <v>0</v>
      </c>
      <c r="J69" s="239"/>
      <c r="K69" s="239"/>
      <c r="L69" s="239"/>
      <c r="M69" s="239">
        <f t="shared" si="13"/>
        <v>55655</v>
      </c>
      <c r="N69" s="239"/>
      <c r="O69" s="239"/>
      <c r="P69" s="239"/>
      <c r="Q69" s="241">
        <f>2!L558</f>
        <v>55655</v>
      </c>
    </row>
    <row r="70" spans="1:17" ht="25.5">
      <c r="A70" s="410"/>
      <c r="B70" s="88" t="s">
        <v>670</v>
      </c>
      <c r="C70" s="239"/>
      <c r="D70" s="85">
        <v>4179</v>
      </c>
      <c r="E70" s="219">
        <f t="shared" si="14"/>
        <v>26130</v>
      </c>
      <c r="F70" s="241">
        <f>2!L559</f>
        <v>26130</v>
      </c>
      <c r="G70" s="239"/>
      <c r="H70" s="239">
        <f t="shared" si="11"/>
        <v>26130</v>
      </c>
      <c r="I70" s="239">
        <f t="shared" si="12"/>
        <v>26130</v>
      </c>
      <c r="J70" s="239"/>
      <c r="K70" s="241">
        <f>2!L559</f>
        <v>26130</v>
      </c>
      <c r="L70" s="239"/>
      <c r="M70" s="239">
        <f t="shared" si="13"/>
        <v>0</v>
      </c>
      <c r="N70" s="239"/>
      <c r="O70" s="239"/>
      <c r="P70" s="239"/>
      <c r="Q70" s="239"/>
    </row>
    <row r="71" spans="1:17" ht="25.5">
      <c r="A71" s="410"/>
      <c r="B71" s="88" t="s">
        <v>629</v>
      </c>
      <c r="C71" s="239"/>
      <c r="D71" s="85">
        <v>4218</v>
      </c>
      <c r="E71" s="219">
        <f t="shared" si="14"/>
        <v>42442</v>
      </c>
      <c r="F71" s="239"/>
      <c r="G71" s="241">
        <f>2!L560</f>
        <v>42442</v>
      </c>
      <c r="H71" s="239">
        <f t="shared" si="11"/>
        <v>42442</v>
      </c>
      <c r="I71" s="239">
        <f t="shared" si="12"/>
        <v>0</v>
      </c>
      <c r="J71" s="239"/>
      <c r="K71" s="239"/>
      <c r="L71" s="239"/>
      <c r="M71" s="239">
        <f t="shared" si="13"/>
        <v>42442</v>
      </c>
      <c r="N71" s="239"/>
      <c r="O71" s="239"/>
      <c r="P71" s="239"/>
      <c r="Q71" s="241">
        <f>2!L560</f>
        <v>42442</v>
      </c>
    </row>
    <row r="72" spans="1:17" ht="25.5">
      <c r="A72" s="410"/>
      <c r="B72" s="88" t="s">
        <v>629</v>
      </c>
      <c r="C72" s="239"/>
      <c r="D72" s="85">
        <v>4219</v>
      </c>
      <c r="E72" s="219">
        <f t="shared" si="14"/>
        <v>19927</v>
      </c>
      <c r="F72" s="241">
        <f>2!L561</f>
        <v>19927</v>
      </c>
      <c r="G72" s="239"/>
      <c r="H72" s="239">
        <f t="shared" si="11"/>
        <v>19927</v>
      </c>
      <c r="I72" s="239">
        <f t="shared" si="12"/>
        <v>19927</v>
      </c>
      <c r="J72" s="239"/>
      <c r="K72" s="241">
        <f>2!L561</f>
        <v>19927</v>
      </c>
      <c r="L72" s="239"/>
      <c r="M72" s="239">
        <f t="shared" si="13"/>
        <v>0</v>
      </c>
      <c r="N72" s="239"/>
      <c r="O72" s="239"/>
      <c r="P72" s="239"/>
      <c r="Q72" s="239"/>
    </row>
    <row r="73" spans="1:17" ht="25.5">
      <c r="A73" s="410"/>
      <c r="B73" s="88" t="s">
        <v>648</v>
      </c>
      <c r="C73" s="239"/>
      <c r="D73" s="85">
        <v>4278</v>
      </c>
      <c r="E73" s="219">
        <f t="shared" si="14"/>
        <v>0</v>
      </c>
      <c r="F73" s="239"/>
      <c r="G73" s="241">
        <f>2!L563</f>
        <v>0</v>
      </c>
      <c r="H73" s="239">
        <f t="shared" si="11"/>
        <v>0</v>
      </c>
      <c r="I73" s="239">
        <f t="shared" si="12"/>
        <v>0</v>
      </c>
      <c r="J73" s="239"/>
      <c r="K73" s="239"/>
      <c r="L73" s="239"/>
      <c r="M73" s="239">
        <f t="shared" si="13"/>
        <v>0</v>
      </c>
      <c r="N73" s="239"/>
      <c r="O73" s="239"/>
      <c r="P73" s="239"/>
      <c r="Q73" s="241">
        <f>2!L563</f>
        <v>0</v>
      </c>
    </row>
    <row r="74" spans="1:17" ht="25.5">
      <c r="A74" s="410"/>
      <c r="B74" s="88" t="s">
        <v>648</v>
      </c>
      <c r="C74" s="239"/>
      <c r="D74" s="85">
        <v>4279</v>
      </c>
      <c r="E74" s="219">
        <f t="shared" si="14"/>
        <v>0</v>
      </c>
      <c r="F74" s="241">
        <f>2!L564</f>
        <v>0</v>
      </c>
      <c r="G74" s="239"/>
      <c r="H74" s="239">
        <f t="shared" si="11"/>
        <v>0</v>
      </c>
      <c r="I74" s="239">
        <f t="shared" si="12"/>
        <v>0</v>
      </c>
      <c r="J74" s="239"/>
      <c r="K74" s="241">
        <f>2!L564</f>
        <v>0</v>
      </c>
      <c r="L74" s="239"/>
      <c r="M74" s="239">
        <f t="shared" si="13"/>
        <v>0</v>
      </c>
      <c r="N74" s="239"/>
      <c r="O74" s="239"/>
      <c r="P74" s="239"/>
      <c r="Q74" s="239"/>
    </row>
    <row r="75" spans="1:17" ht="12.75">
      <c r="A75" s="410"/>
      <c r="B75" s="88" t="s">
        <v>666</v>
      </c>
      <c r="C75" s="239"/>
      <c r="D75" s="85">
        <v>4308</v>
      </c>
      <c r="E75" s="219">
        <f t="shared" si="14"/>
        <v>16768</v>
      </c>
      <c r="F75" s="239"/>
      <c r="G75" s="241">
        <f>2!L565</f>
        <v>16768</v>
      </c>
      <c r="H75" s="239">
        <f t="shared" si="11"/>
        <v>16768</v>
      </c>
      <c r="I75" s="239">
        <f t="shared" si="12"/>
        <v>0</v>
      </c>
      <c r="J75" s="239"/>
      <c r="K75" s="239"/>
      <c r="L75" s="239"/>
      <c r="M75" s="239">
        <f t="shared" si="13"/>
        <v>16768</v>
      </c>
      <c r="N75" s="239"/>
      <c r="O75" s="239"/>
      <c r="P75" s="239"/>
      <c r="Q75" s="241">
        <f>2!L565</f>
        <v>16768</v>
      </c>
    </row>
    <row r="76" spans="1:17" ht="12.75">
      <c r="A76" s="410"/>
      <c r="B76" s="88" t="s">
        <v>666</v>
      </c>
      <c r="C76" s="239"/>
      <c r="D76" s="85">
        <v>4309</v>
      </c>
      <c r="E76" s="219">
        <f t="shared" si="14"/>
        <v>7873</v>
      </c>
      <c r="F76" s="241">
        <f>2!L566</f>
        <v>7873</v>
      </c>
      <c r="G76" s="239"/>
      <c r="H76" s="239">
        <f t="shared" si="11"/>
        <v>7873</v>
      </c>
      <c r="I76" s="239">
        <f t="shared" si="12"/>
        <v>7873</v>
      </c>
      <c r="J76" s="239"/>
      <c r="K76" s="241">
        <f>2!L566</f>
        <v>7873</v>
      </c>
      <c r="L76" s="239"/>
      <c r="M76" s="239">
        <f t="shared" si="13"/>
        <v>0</v>
      </c>
      <c r="N76" s="239"/>
      <c r="O76" s="239"/>
      <c r="P76" s="239"/>
      <c r="Q76" s="239"/>
    </row>
    <row r="77" spans="1:17" ht="51">
      <c r="A77" s="410"/>
      <c r="B77" s="88" t="s">
        <v>691</v>
      </c>
      <c r="C77" s="239"/>
      <c r="D77" s="85">
        <v>4378</v>
      </c>
      <c r="E77" s="219">
        <f t="shared" si="14"/>
        <v>686</v>
      </c>
      <c r="F77" s="239"/>
      <c r="G77" s="241">
        <f>2!L567</f>
        <v>686</v>
      </c>
      <c r="H77" s="239">
        <f t="shared" si="11"/>
        <v>686</v>
      </c>
      <c r="I77" s="239">
        <f t="shared" si="12"/>
        <v>0</v>
      </c>
      <c r="J77" s="239"/>
      <c r="K77" s="239"/>
      <c r="L77" s="239"/>
      <c r="M77" s="239">
        <f t="shared" si="13"/>
        <v>686</v>
      </c>
      <c r="N77" s="239"/>
      <c r="O77" s="239"/>
      <c r="P77" s="239"/>
      <c r="Q77" s="241">
        <f>2!L567</f>
        <v>686</v>
      </c>
    </row>
    <row r="78" spans="1:17" ht="51">
      <c r="A78" s="410"/>
      <c r="B78" s="88" t="s">
        <v>691</v>
      </c>
      <c r="C78" s="239"/>
      <c r="D78" s="85">
        <v>4379</v>
      </c>
      <c r="E78" s="219">
        <f t="shared" si="14"/>
        <v>322</v>
      </c>
      <c r="F78" s="241">
        <f>2!L568</f>
        <v>322</v>
      </c>
      <c r="G78" s="239"/>
      <c r="H78" s="239">
        <f t="shared" si="11"/>
        <v>322</v>
      </c>
      <c r="I78" s="239">
        <f t="shared" si="12"/>
        <v>322</v>
      </c>
      <c r="J78" s="239"/>
      <c r="K78" s="241">
        <f>2!L568</f>
        <v>322</v>
      </c>
      <c r="L78" s="239"/>
      <c r="M78" s="239">
        <f t="shared" si="13"/>
        <v>0</v>
      </c>
      <c r="N78" s="239"/>
      <c r="O78" s="239"/>
      <c r="P78" s="239"/>
      <c r="Q78" s="239"/>
    </row>
    <row r="79" spans="1:17" ht="38.25">
      <c r="A79" s="410"/>
      <c r="B79" s="88" t="s">
        <v>223</v>
      </c>
      <c r="C79" s="239"/>
      <c r="D79" s="85">
        <v>4398</v>
      </c>
      <c r="E79" s="219">
        <f t="shared" si="14"/>
        <v>10145</v>
      </c>
      <c r="F79" s="239"/>
      <c r="G79" s="241">
        <f>2!L569</f>
        <v>10145</v>
      </c>
      <c r="H79" s="239">
        <f t="shared" si="11"/>
        <v>10145</v>
      </c>
      <c r="I79" s="239">
        <f t="shared" si="12"/>
        <v>0</v>
      </c>
      <c r="J79" s="239"/>
      <c r="K79" s="239"/>
      <c r="L79" s="239"/>
      <c r="M79" s="239">
        <f t="shared" si="13"/>
        <v>10145</v>
      </c>
      <c r="N79" s="239"/>
      <c r="O79" s="239"/>
      <c r="P79" s="239"/>
      <c r="Q79" s="241">
        <f>2!L569</f>
        <v>10145</v>
      </c>
    </row>
    <row r="80" spans="1:17" ht="38.25">
      <c r="A80" s="410"/>
      <c r="B80" s="88" t="s">
        <v>223</v>
      </c>
      <c r="C80" s="239"/>
      <c r="D80" s="85">
        <v>4399</v>
      </c>
      <c r="E80" s="219">
        <f t="shared" si="14"/>
        <v>4763</v>
      </c>
      <c r="F80" s="241">
        <f>2!L570</f>
        <v>4763</v>
      </c>
      <c r="G80" s="239"/>
      <c r="H80" s="239">
        <f t="shared" si="11"/>
        <v>4763</v>
      </c>
      <c r="I80" s="239">
        <f t="shared" si="12"/>
        <v>4763</v>
      </c>
      <c r="J80" s="239"/>
      <c r="K80" s="241">
        <f>2!L570</f>
        <v>4763</v>
      </c>
      <c r="L80" s="239"/>
      <c r="M80" s="239">
        <f t="shared" si="13"/>
        <v>0</v>
      </c>
      <c r="N80" s="239"/>
      <c r="O80" s="239"/>
      <c r="P80" s="239"/>
      <c r="Q80" s="239"/>
    </row>
    <row r="81" spans="1:17" ht="63.75">
      <c r="A81" s="410"/>
      <c r="B81" s="88" t="s">
        <v>377</v>
      </c>
      <c r="C81" s="88"/>
      <c r="D81" s="85">
        <v>4408</v>
      </c>
      <c r="E81" s="219">
        <f t="shared" si="14"/>
        <v>340</v>
      </c>
      <c r="F81" s="241"/>
      <c r="G81" s="241">
        <f>2!L571</f>
        <v>340</v>
      </c>
      <c r="H81" s="239">
        <f t="shared" si="11"/>
        <v>340</v>
      </c>
      <c r="I81" s="239">
        <f t="shared" si="12"/>
        <v>0</v>
      </c>
      <c r="J81" s="239"/>
      <c r="K81" s="241"/>
      <c r="L81" s="239"/>
      <c r="M81" s="239">
        <f t="shared" si="13"/>
        <v>340</v>
      </c>
      <c r="N81" s="239"/>
      <c r="O81" s="239"/>
      <c r="P81" s="239"/>
      <c r="Q81" s="241">
        <f>2!L571</f>
        <v>340</v>
      </c>
    </row>
    <row r="82" spans="1:17" ht="63.75">
      <c r="A82" s="410"/>
      <c r="B82" s="88" t="s">
        <v>377</v>
      </c>
      <c r="C82" s="88"/>
      <c r="D82" s="85">
        <v>4409</v>
      </c>
      <c r="E82" s="219">
        <f t="shared" si="14"/>
        <v>160</v>
      </c>
      <c r="F82" s="241">
        <f>2!L572</f>
        <v>160</v>
      </c>
      <c r="G82" s="239"/>
      <c r="H82" s="239">
        <f t="shared" si="11"/>
        <v>160</v>
      </c>
      <c r="I82" s="239">
        <f t="shared" si="12"/>
        <v>160</v>
      </c>
      <c r="J82" s="239"/>
      <c r="K82" s="241">
        <f>2!L572</f>
        <v>160</v>
      </c>
      <c r="L82" s="239"/>
      <c r="M82" s="239">
        <f t="shared" si="13"/>
        <v>0</v>
      </c>
      <c r="N82" s="239"/>
      <c r="O82" s="239"/>
      <c r="P82" s="239"/>
      <c r="Q82" s="239"/>
    </row>
    <row r="83" spans="1:17" ht="51">
      <c r="A83" s="410"/>
      <c r="B83" s="88" t="s">
        <v>658</v>
      </c>
      <c r="C83" s="239"/>
      <c r="D83" s="85">
        <v>4748</v>
      </c>
      <c r="E83" s="219">
        <f t="shared" si="14"/>
        <v>7705</v>
      </c>
      <c r="F83" s="239"/>
      <c r="G83" s="241">
        <f>2!L574</f>
        <v>7705</v>
      </c>
      <c r="H83" s="239">
        <f t="shared" si="11"/>
        <v>7705</v>
      </c>
      <c r="I83" s="239">
        <f t="shared" si="12"/>
        <v>0</v>
      </c>
      <c r="J83" s="239"/>
      <c r="K83" s="239"/>
      <c r="L83" s="239"/>
      <c r="M83" s="239">
        <f t="shared" si="13"/>
        <v>7705</v>
      </c>
      <c r="N83" s="239"/>
      <c r="O83" s="239"/>
      <c r="P83" s="239"/>
      <c r="Q83" s="241">
        <f>2!L574</f>
        <v>7705</v>
      </c>
    </row>
    <row r="84" spans="1:17" ht="51">
      <c r="A84" s="410"/>
      <c r="B84" s="88" t="s">
        <v>658</v>
      </c>
      <c r="C84" s="239"/>
      <c r="D84" s="85">
        <v>4749</v>
      </c>
      <c r="E84" s="219">
        <f t="shared" si="14"/>
        <v>3617</v>
      </c>
      <c r="F84" s="241">
        <f>2!L575</f>
        <v>3617</v>
      </c>
      <c r="G84" s="239"/>
      <c r="H84" s="239">
        <f t="shared" si="11"/>
        <v>3617</v>
      </c>
      <c r="I84" s="239">
        <f t="shared" si="12"/>
        <v>3617</v>
      </c>
      <c r="J84" s="239"/>
      <c r="K84" s="241">
        <f>2!L575</f>
        <v>3617</v>
      </c>
      <c r="L84" s="239"/>
      <c r="M84" s="239">
        <f t="shared" si="13"/>
        <v>0</v>
      </c>
      <c r="N84" s="239"/>
      <c r="O84" s="239"/>
      <c r="P84" s="239"/>
      <c r="Q84" s="239"/>
    </row>
    <row r="85" spans="1:17" ht="38.25">
      <c r="A85" s="410"/>
      <c r="B85" s="88" t="s">
        <v>692</v>
      </c>
      <c r="C85" s="239"/>
      <c r="D85" s="85">
        <v>4758</v>
      </c>
      <c r="E85" s="219">
        <f t="shared" si="14"/>
        <v>12315</v>
      </c>
      <c r="F85" s="239"/>
      <c r="G85" s="241">
        <f>2!L576</f>
        <v>12315</v>
      </c>
      <c r="H85" s="239">
        <f t="shared" si="11"/>
        <v>12315</v>
      </c>
      <c r="I85" s="239">
        <f t="shared" si="12"/>
        <v>0</v>
      </c>
      <c r="J85" s="239"/>
      <c r="K85" s="239"/>
      <c r="L85" s="239"/>
      <c r="M85" s="239">
        <f t="shared" si="13"/>
        <v>12315</v>
      </c>
      <c r="N85" s="239"/>
      <c r="O85" s="239"/>
      <c r="P85" s="239"/>
      <c r="Q85" s="241">
        <f>2!L576</f>
        <v>12315</v>
      </c>
    </row>
    <row r="86" spans="1:17" ht="38.25">
      <c r="A86" s="410"/>
      <c r="B86" s="88" t="s">
        <v>692</v>
      </c>
      <c r="C86" s="239"/>
      <c r="D86" s="85">
        <v>4759</v>
      </c>
      <c r="E86" s="219">
        <f t="shared" si="14"/>
        <v>5782</v>
      </c>
      <c r="F86" s="241">
        <f>2!L577</f>
        <v>5782</v>
      </c>
      <c r="G86" s="239"/>
      <c r="H86" s="239">
        <f t="shared" si="11"/>
        <v>5782</v>
      </c>
      <c r="I86" s="239">
        <f t="shared" si="12"/>
        <v>5782</v>
      </c>
      <c r="J86" s="239"/>
      <c r="K86" s="241">
        <f>2!L577</f>
        <v>5782</v>
      </c>
      <c r="L86" s="239"/>
      <c r="M86" s="239">
        <f t="shared" si="13"/>
        <v>0</v>
      </c>
      <c r="N86" s="239"/>
      <c r="O86" s="239"/>
      <c r="P86" s="239"/>
      <c r="Q86" s="239"/>
    </row>
    <row r="87" spans="1:17" ht="11.25">
      <c r="A87" s="410"/>
      <c r="B87" s="239" t="s">
        <v>542</v>
      </c>
      <c r="C87" s="242"/>
      <c r="D87" s="242"/>
      <c r="E87" s="241">
        <f>SUM(E57:E86)</f>
        <v>5782457</v>
      </c>
      <c r="F87" s="241">
        <f aca="true" t="shared" si="15" ref="F87:Q87">SUM(F57:F86)</f>
        <v>1847495</v>
      </c>
      <c r="G87" s="253">
        <f t="shared" si="15"/>
        <v>3934962</v>
      </c>
      <c r="H87" s="253">
        <f t="shared" si="15"/>
        <v>5782457</v>
      </c>
      <c r="I87" s="241">
        <f t="shared" si="15"/>
        <v>1847495</v>
      </c>
      <c r="J87" s="241">
        <f t="shared" si="15"/>
        <v>0</v>
      </c>
      <c r="K87" s="241">
        <f t="shared" si="15"/>
        <v>1847495</v>
      </c>
      <c r="L87" s="241">
        <f t="shared" si="15"/>
        <v>0</v>
      </c>
      <c r="M87" s="241">
        <f t="shared" si="15"/>
        <v>3934962</v>
      </c>
      <c r="N87" s="241">
        <f t="shared" si="15"/>
        <v>0</v>
      </c>
      <c r="O87" s="241">
        <f t="shared" si="15"/>
        <v>0</v>
      </c>
      <c r="P87" s="241">
        <f t="shared" si="15"/>
        <v>0</v>
      </c>
      <c r="Q87" s="241">
        <f t="shared" si="15"/>
        <v>3934962</v>
      </c>
    </row>
    <row r="88" spans="1:4" ht="11.25">
      <c r="A88" s="410"/>
      <c r="B88" s="237" t="s">
        <v>442</v>
      </c>
      <c r="C88" s="252"/>
      <c r="D88" s="252"/>
    </row>
    <row r="89" spans="1:17" ht="11.25">
      <c r="A89" s="410"/>
      <c r="B89" s="51" t="s">
        <v>445</v>
      </c>
      <c r="C89" s="76"/>
      <c r="D89" s="76"/>
      <c r="E89" s="51"/>
      <c r="F89" s="51"/>
      <c r="G89" s="51"/>
      <c r="H89" s="76"/>
      <c r="I89" s="76"/>
      <c r="J89" s="76"/>
      <c r="K89" s="76"/>
      <c r="L89" s="76"/>
      <c r="M89" s="76"/>
      <c r="N89" s="76"/>
      <c r="O89" s="76"/>
      <c r="P89" s="76"/>
      <c r="Q89" s="76"/>
    </row>
    <row r="90" spans="1:17" ht="11.25">
      <c r="A90" s="376"/>
      <c r="B90" s="238" t="s">
        <v>543</v>
      </c>
      <c r="C90" s="266"/>
      <c r="D90" s="266"/>
      <c r="E90" s="238"/>
      <c r="F90" s="238"/>
      <c r="G90" s="238"/>
      <c r="H90" s="266"/>
      <c r="I90" s="266"/>
      <c r="J90" s="266"/>
      <c r="K90" s="266"/>
      <c r="L90" s="266"/>
      <c r="M90" s="266"/>
      <c r="N90" s="266"/>
      <c r="O90" s="266"/>
      <c r="P90" s="266"/>
      <c r="Q90" s="266"/>
    </row>
    <row r="91" spans="1:17" s="68" customFormat="1" ht="15" customHeight="1">
      <c r="A91" s="408" t="s">
        <v>495</v>
      </c>
      <c r="B91" s="408"/>
      <c r="C91" s="408" t="s">
        <v>432</v>
      </c>
      <c r="D91" s="408"/>
      <c r="E91" s="354">
        <f aca="true" t="shared" si="16" ref="E91:Q91">E10+E22</f>
        <v>7267479</v>
      </c>
      <c r="F91" s="245">
        <f t="shared" si="16"/>
        <v>2129055</v>
      </c>
      <c r="G91" s="267">
        <f t="shared" si="16"/>
        <v>5138424</v>
      </c>
      <c r="H91" s="267">
        <f t="shared" si="16"/>
        <v>7267479</v>
      </c>
      <c r="I91" s="245">
        <f t="shared" si="16"/>
        <v>2129055</v>
      </c>
      <c r="J91" s="245">
        <f t="shared" si="16"/>
        <v>0</v>
      </c>
      <c r="K91" s="245">
        <f t="shared" si="16"/>
        <v>1847495</v>
      </c>
      <c r="L91" s="245">
        <f t="shared" si="16"/>
        <v>281560</v>
      </c>
      <c r="M91" s="245">
        <f t="shared" si="16"/>
        <v>5138424</v>
      </c>
      <c r="N91" s="245">
        <f t="shared" si="16"/>
        <v>0</v>
      </c>
      <c r="O91" s="245">
        <f t="shared" si="16"/>
        <v>0</v>
      </c>
      <c r="P91" s="245">
        <f t="shared" si="16"/>
        <v>0</v>
      </c>
      <c r="Q91" s="245">
        <f t="shared" si="16"/>
        <v>5138424</v>
      </c>
    </row>
    <row r="93" spans="1:10" ht="11.25">
      <c r="A93" s="409" t="s">
        <v>496</v>
      </c>
      <c r="B93" s="409"/>
      <c r="C93" s="409"/>
      <c r="D93" s="409"/>
      <c r="E93" s="409"/>
      <c r="F93" s="409"/>
      <c r="G93" s="409"/>
      <c r="H93" s="409"/>
      <c r="I93" s="409"/>
      <c r="J93" s="409"/>
    </row>
    <row r="94" spans="1:10" ht="11.25">
      <c r="A94" s="75" t="s">
        <v>523</v>
      </c>
      <c r="B94" s="75"/>
      <c r="C94" s="75"/>
      <c r="D94" s="75"/>
      <c r="E94" s="75"/>
      <c r="F94" s="75"/>
      <c r="G94" s="75"/>
      <c r="H94" s="75"/>
      <c r="I94" s="75"/>
      <c r="J94" s="75"/>
    </row>
    <row r="95" spans="1:10" ht="11.25">
      <c r="A95" s="75" t="s">
        <v>544</v>
      </c>
      <c r="B95" s="75"/>
      <c r="C95" s="75"/>
      <c r="D95" s="75"/>
      <c r="E95" s="75"/>
      <c r="F95" s="75"/>
      <c r="G95" s="75"/>
      <c r="H95" s="75"/>
      <c r="I95" s="75"/>
      <c r="J95" s="75"/>
    </row>
  </sheetData>
  <mergeCells count="32">
    <mergeCell ref="A1:Q1"/>
    <mergeCell ref="C91:D91"/>
    <mergeCell ref="C23:Q26"/>
    <mergeCell ref="C22:D22"/>
    <mergeCell ref="N7:Q7"/>
    <mergeCell ref="C10:D10"/>
    <mergeCell ref="C11:Q14"/>
    <mergeCell ref="M7:M8"/>
    <mergeCell ref="H3:Q3"/>
    <mergeCell ref="H4:Q4"/>
    <mergeCell ref="I5:Q5"/>
    <mergeCell ref="M6:Q6"/>
    <mergeCell ref="H5:H8"/>
    <mergeCell ref="I6:L6"/>
    <mergeCell ref="I7:I8"/>
    <mergeCell ref="J7:L7"/>
    <mergeCell ref="A3:A8"/>
    <mergeCell ref="B3:B8"/>
    <mergeCell ref="C3:C8"/>
    <mergeCell ref="D3:D8"/>
    <mergeCell ref="E3:E8"/>
    <mergeCell ref="F4:F8"/>
    <mergeCell ref="G4:G8"/>
    <mergeCell ref="F3:G3"/>
    <mergeCell ref="A91:B91"/>
    <mergeCell ref="A93:J93"/>
    <mergeCell ref="A11:A21"/>
    <mergeCell ref="A23:A39"/>
    <mergeCell ref="A40:A51"/>
    <mergeCell ref="C40:Q43"/>
    <mergeCell ref="A52:A90"/>
    <mergeCell ref="C52:Q5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A1" sqref="A1:D1"/>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414" t="s">
        <v>462</v>
      </c>
      <c r="B1" s="414"/>
      <c r="C1" s="414"/>
      <c r="D1" s="414"/>
    </row>
    <row r="2" ht="6.75" customHeight="1">
      <c r="A2" s="17"/>
    </row>
    <row r="3" ht="12.75">
      <c r="D3" s="184" t="s">
        <v>425</v>
      </c>
    </row>
    <row r="4" spans="1:4" ht="15" customHeight="1">
      <c r="A4" s="397" t="s">
        <v>447</v>
      </c>
      <c r="B4" s="397" t="s">
        <v>389</v>
      </c>
      <c r="C4" s="398" t="s">
        <v>449</v>
      </c>
      <c r="D4" s="402" t="s">
        <v>450</v>
      </c>
    </row>
    <row r="5" spans="1:4" ht="15" customHeight="1">
      <c r="A5" s="397"/>
      <c r="B5" s="397"/>
      <c r="C5" s="397"/>
      <c r="D5" s="402"/>
    </row>
    <row r="6" spans="1:4" ht="15.75" customHeight="1">
      <c r="A6" s="397"/>
      <c r="B6" s="397"/>
      <c r="C6" s="397"/>
      <c r="D6" s="402"/>
    </row>
    <row r="7" spans="1:4" s="71" customFormat="1" ht="6.75" customHeight="1">
      <c r="A7" s="70">
        <v>1</v>
      </c>
      <c r="B7" s="70">
        <v>2</v>
      </c>
      <c r="C7" s="70">
        <v>3</v>
      </c>
      <c r="D7" s="185">
        <v>4</v>
      </c>
    </row>
    <row r="8" spans="1:4" ht="18.75" customHeight="1">
      <c r="A8" s="413" t="s">
        <v>409</v>
      </c>
      <c r="B8" s="413"/>
      <c r="C8" s="25"/>
      <c r="D8" s="148">
        <f>SUM(D9:D16)</f>
        <v>2834557</v>
      </c>
    </row>
    <row r="9" spans="1:4" ht="18.75" customHeight="1">
      <c r="A9" s="27" t="s">
        <v>395</v>
      </c>
      <c r="B9" s="28" t="s">
        <v>403</v>
      </c>
      <c r="C9" s="27" t="s">
        <v>410</v>
      </c>
      <c r="D9" s="186">
        <v>1000000</v>
      </c>
    </row>
    <row r="10" spans="1:4" ht="18.75" customHeight="1">
      <c r="A10" s="29" t="s">
        <v>396</v>
      </c>
      <c r="B10" s="30" t="s">
        <v>404</v>
      </c>
      <c r="C10" s="29" t="s">
        <v>410</v>
      </c>
      <c r="D10" s="187"/>
    </row>
    <row r="11" spans="1:4" ht="51">
      <c r="A11" s="29" t="s">
        <v>397</v>
      </c>
      <c r="B11" s="31" t="s">
        <v>528</v>
      </c>
      <c r="C11" s="29" t="s">
        <v>434</v>
      </c>
      <c r="D11" s="187"/>
    </row>
    <row r="12" spans="1:4" ht="18.75" customHeight="1">
      <c r="A12" s="29" t="s">
        <v>385</v>
      </c>
      <c r="B12" s="30" t="s">
        <v>412</v>
      </c>
      <c r="C12" s="29" t="s">
        <v>435</v>
      </c>
      <c r="D12" s="187"/>
    </row>
    <row r="13" spans="1:4" ht="18.75" customHeight="1">
      <c r="A13" s="29" t="s">
        <v>402</v>
      </c>
      <c r="B13" s="30" t="s">
        <v>529</v>
      </c>
      <c r="C13" s="29" t="s">
        <v>545</v>
      </c>
      <c r="D13" s="187"/>
    </row>
    <row r="14" spans="1:4" ht="18.75" customHeight="1">
      <c r="A14" s="29" t="s">
        <v>405</v>
      </c>
      <c r="B14" s="30" t="s">
        <v>406</v>
      </c>
      <c r="C14" s="29" t="s">
        <v>411</v>
      </c>
      <c r="D14" s="187"/>
    </row>
    <row r="15" spans="1:4" ht="18.75" customHeight="1">
      <c r="A15" s="29" t="s">
        <v>407</v>
      </c>
      <c r="B15" s="30" t="s">
        <v>560</v>
      </c>
      <c r="C15" s="29" t="s">
        <v>459</v>
      </c>
      <c r="D15" s="187"/>
    </row>
    <row r="16" spans="1:4" ht="18.75" customHeight="1">
      <c r="A16" s="29" t="s">
        <v>414</v>
      </c>
      <c r="B16" s="33" t="s">
        <v>433</v>
      </c>
      <c r="C16" s="32" t="s">
        <v>413</v>
      </c>
      <c r="D16" s="188">
        <f>1750000+5000+79557</f>
        <v>1834557</v>
      </c>
    </row>
    <row r="17" spans="1:4" ht="18.75" customHeight="1">
      <c r="A17" s="413" t="s">
        <v>530</v>
      </c>
      <c r="B17" s="413"/>
      <c r="C17" s="25"/>
      <c r="D17" s="148">
        <f>SUM(D18:D24)</f>
        <v>1755000</v>
      </c>
    </row>
    <row r="18" spans="1:4" ht="18.75" customHeight="1">
      <c r="A18" s="27" t="s">
        <v>395</v>
      </c>
      <c r="B18" s="28" t="s">
        <v>436</v>
      </c>
      <c r="C18" s="27" t="s">
        <v>416</v>
      </c>
      <c r="D18" s="186">
        <f>1750000+5000</f>
        <v>1755000</v>
      </c>
    </row>
    <row r="19" spans="1:4" ht="18.75" customHeight="1">
      <c r="A19" s="29" t="s">
        <v>396</v>
      </c>
      <c r="B19" s="30" t="s">
        <v>415</v>
      </c>
      <c r="C19" s="29" t="s">
        <v>416</v>
      </c>
      <c r="D19" s="187"/>
    </row>
    <row r="20" spans="1:4" ht="38.25">
      <c r="A20" s="29" t="s">
        <v>397</v>
      </c>
      <c r="B20" s="31" t="s">
        <v>439</v>
      </c>
      <c r="C20" s="29" t="s">
        <v>440</v>
      </c>
      <c r="D20" s="187"/>
    </row>
    <row r="21" spans="1:4" ht="18.75" customHeight="1">
      <c r="A21" s="29" t="s">
        <v>385</v>
      </c>
      <c r="B21" s="30" t="s">
        <v>437</v>
      </c>
      <c r="C21" s="29" t="s">
        <v>431</v>
      </c>
      <c r="D21" s="187"/>
    </row>
    <row r="22" spans="1:4" ht="18.75" customHeight="1">
      <c r="A22" s="29" t="s">
        <v>402</v>
      </c>
      <c r="B22" s="30" t="s">
        <v>438</v>
      </c>
      <c r="C22" s="29" t="s">
        <v>418</v>
      </c>
      <c r="D22" s="187"/>
    </row>
    <row r="23" spans="1:4" ht="18.75" customHeight="1">
      <c r="A23" s="29" t="s">
        <v>405</v>
      </c>
      <c r="B23" s="30" t="s">
        <v>561</v>
      </c>
      <c r="C23" s="29" t="s">
        <v>419</v>
      </c>
      <c r="D23" s="187"/>
    </row>
    <row r="24" spans="1:4" ht="18.75" customHeight="1">
      <c r="A24" s="32" t="s">
        <v>407</v>
      </c>
      <c r="B24" s="33" t="s">
        <v>420</v>
      </c>
      <c r="C24" s="32" t="s">
        <v>417</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5
do uchwały Rady Powiatu 
nr X/60/07
z dnia 5.12.2007 r.</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colorId="8" workbookViewId="0" topLeftCell="A2">
      <selection activeCell="E13" sqref="E13"/>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7" t="s">
        <v>444</v>
      </c>
      <c r="B1" s="417"/>
      <c r="C1" s="417"/>
      <c r="D1" s="417"/>
      <c r="E1" s="417"/>
      <c r="F1" s="417"/>
      <c r="G1" s="417"/>
      <c r="H1" s="417"/>
      <c r="I1" s="417"/>
      <c r="J1" s="417"/>
    </row>
    <row r="2" ht="12.75">
      <c r="J2" s="9" t="s">
        <v>425</v>
      </c>
    </row>
    <row r="3" spans="1:10" s="3" customFormat="1" ht="36.75" customHeight="1">
      <c r="A3" s="15" t="s">
        <v>386</v>
      </c>
      <c r="B3" s="168" t="s">
        <v>387</v>
      </c>
      <c r="C3" s="168" t="s">
        <v>536</v>
      </c>
      <c r="D3" s="16" t="s">
        <v>516</v>
      </c>
      <c r="E3" s="16" t="s">
        <v>546</v>
      </c>
      <c r="F3" s="402" t="s">
        <v>514</v>
      </c>
      <c r="G3" s="398" t="s">
        <v>390</v>
      </c>
      <c r="H3" s="398"/>
      <c r="I3" s="398"/>
      <c r="J3" s="398" t="s">
        <v>515</v>
      </c>
    </row>
    <row r="4" spans="1:10" s="3" customFormat="1" ht="65.25" customHeight="1">
      <c r="A4" s="15"/>
      <c r="B4" s="169"/>
      <c r="C4" s="169"/>
      <c r="D4" s="15"/>
      <c r="E4" s="16"/>
      <c r="F4" s="402"/>
      <c r="G4" s="173" t="s">
        <v>512</v>
      </c>
      <c r="H4" s="173" t="s">
        <v>513</v>
      </c>
      <c r="I4" s="173" t="s">
        <v>143</v>
      </c>
      <c r="J4" s="398"/>
    </row>
    <row r="5" spans="1:10" ht="9" customHeight="1">
      <c r="A5" s="18">
        <v>1</v>
      </c>
      <c r="B5" s="18">
        <v>2</v>
      </c>
      <c r="C5" s="18">
        <v>3</v>
      </c>
      <c r="D5" s="174">
        <v>4</v>
      </c>
      <c r="E5" s="174">
        <v>5</v>
      </c>
      <c r="F5" s="174">
        <v>6</v>
      </c>
      <c r="G5" s="174">
        <v>7</v>
      </c>
      <c r="H5" s="174">
        <v>8</v>
      </c>
      <c r="I5" s="174">
        <v>9</v>
      </c>
      <c r="J5" s="18">
        <v>10</v>
      </c>
    </row>
    <row r="6" spans="1:10" ht="19.5" customHeight="1">
      <c r="A6" s="19" t="s">
        <v>607</v>
      </c>
      <c r="B6" s="19" t="s">
        <v>609</v>
      </c>
      <c r="C6" s="19">
        <v>211</v>
      </c>
      <c r="D6" s="136">
        <f>1!E10</f>
        <v>40000</v>
      </c>
      <c r="E6" s="136">
        <f>SUM(F6+J6)</f>
        <v>40000</v>
      </c>
      <c r="F6" s="136">
        <f>D6</f>
        <v>40000</v>
      </c>
      <c r="G6" s="136"/>
      <c r="H6" s="136"/>
      <c r="I6" s="136"/>
      <c r="J6" s="19"/>
    </row>
    <row r="7" spans="1:10" ht="19.5" customHeight="1">
      <c r="A7" s="19" t="s">
        <v>144</v>
      </c>
      <c r="B7" s="19" t="s">
        <v>145</v>
      </c>
      <c r="C7" s="19">
        <v>211</v>
      </c>
      <c r="D7" s="136">
        <f>1!E27</f>
        <v>165905</v>
      </c>
      <c r="E7" s="136">
        <f aca="true" t="shared" si="0" ref="E7:E16">SUM(F7+J7)</f>
        <v>165905</v>
      </c>
      <c r="F7" s="136">
        <f aca="true" t="shared" si="1" ref="F7:F16">D7</f>
        <v>165905</v>
      </c>
      <c r="G7" s="136"/>
      <c r="H7" s="136"/>
      <c r="I7" s="136"/>
      <c r="J7" s="19"/>
    </row>
    <row r="8" spans="1:10" ht="19.5" customHeight="1">
      <c r="A8" s="19" t="s">
        <v>146</v>
      </c>
      <c r="B8" s="19" t="s">
        <v>147</v>
      </c>
      <c r="C8" s="19">
        <v>211</v>
      </c>
      <c r="D8" s="136">
        <f>1!E31</f>
        <v>35000</v>
      </c>
      <c r="E8" s="136">
        <f t="shared" si="0"/>
        <v>35000</v>
      </c>
      <c r="F8" s="136">
        <f t="shared" si="1"/>
        <v>35000</v>
      </c>
      <c r="G8" s="136"/>
      <c r="H8" s="136"/>
      <c r="I8" s="136"/>
      <c r="J8" s="19"/>
    </row>
    <row r="9" spans="1:10" ht="19.5" customHeight="1">
      <c r="A9" s="19"/>
      <c r="B9" s="19" t="s">
        <v>148</v>
      </c>
      <c r="C9" s="19">
        <v>211</v>
      </c>
      <c r="D9" s="136">
        <f>1!E33</f>
        <v>18628</v>
      </c>
      <c r="E9" s="136">
        <f t="shared" si="0"/>
        <v>18628</v>
      </c>
      <c r="F9" s="136">
        <f t="shared" si="1"/>
        <v>18628</v>
      </c>
      <c r="G9" s="136"/>
      <c r="H9" s="136"/>
      <c r="I9" s="136"/>
      <c r="J9" s="19"/>
    </row>
    <row r="10" spans="1:10" ht="19.5" customHeight="1">
      <c r="A10" s="19"/>
      <c r="B10" s="19" t="s">
        <v>149</v>
      </c>
      <c r="C10" s="19">
        <v>211</v>
      </c>
      <c r="D10" s="136">
        <f>1!E35</f>
        <v>298635</v>
      </c>
      <c r="E10" s="136">
        <f t="shared" si="0"/>
        <v>298635</v>
      </c>
      <c r="F10" s="136">
        <f t="shared" si="1"/>
        <v>298635</v>
      </c>
      <c r="G10" s="136">
        <f>2!G63-9300-7500-5250</f>
        <v>211189</v>
      </c>
      <c r="H10" s="136">
        <f>2!I61-1910-1500-1048</f>
        <v>40700</v>
      </c>
      <c r="I10" s="136">
        <f>2!H61</f>
        <v>13100</v>
      </c>
      <c r="J10" s="19"/>
    </row>
    <row r="11" spans="1:10" ht="19.5" customHeight="1">
      <c r="A11" s="19" t="s">
        <v>150</v>
      </c>
      <c r="B11" s="19" t="s">
        <v>151</v>
      </c>
      <c r="C11" s="19">
        <v>211</v>
      </c>
      <c r="D11" s="136">
        <f>1!E38</f>
        <v>225200</v>
      </c>
      <c r="E11" s="136">
        <f t="shared" si="0"/>
        <v>225200</v>
      </c>
      <c r="F11" s="136">
        <f t="shared" si="1"/>
        <v>225200</v>
      </c>
      <c r="G11" s="136">
        <f>170600</f>
        <v>170600</v>
      </c>
      <c r="H11" s="136">
        <f>29900+4300</f>
        <v>34200</v>
      </c>
      <c r="I11" s="136">
        <v>13600</v>
      </c>
      <c r="J11" s="19"/>
    </row>
    <row r="12" spans="1:10" ht="19.5" customHeight="1">
      <c r="A12" s="19"/>
      <c r="B12" s="19" t="s">
        <v>152</v>
      </c>
      <c r="C12" s="19">
        <v>211</v>
      </c>
      <c r="D12" s="136">
        <f>1!E47</f>
        <v>35000</v>
      </c>
      <c r="E12" s="136">
        <f t="shared" si="0"/>
        <v>35000</v>
      </c>
      <c r="F12" s="136">
        <f t="shared" si="1"/>
        <v>35000</v>
      </c>
      <c r="G12" s="136"/>
      <c r="H12" s="136">
        <f>2!I141+2!I139</f>
        <v>697</v>
      </c>
      <c r="I12" s="136"/>
      <c r="J12" s="19"/>
    </row>
    <row r="13" spans="1:10" ht="19.5" customHeight="1">
      <c r="A13" s="19" t="s">
        <v>153</v>
      </c>
      <c r="B13" s="19" t="s">
        <v>154</v>
      </c>
      <c r="C13" s="19">
        <v>211</v>
      </c>
      <c r="D13" s="136">
        <f>1!E91</f>
        <v>1103780</v>
      </c>
      <c r="E13" s="136">
        <f t="shared" si="0"/>
        <v>1103780</v>
      </c>
      <c r="F13" s="136">
        <f t="shared" si="1"/>
        <v>1103780</v>
      </c>
      <c r="G13" s="136"/>
      <c r="H13" s="136"/>
      <c r="I13" s="136"/>
      <c r="J13" s="19"/>
    </row>
    <row r="14" spans="1:10" ht="19.5" customHeight="1">
      <c r="A14" s="19" t="s">
        <v>155</v>
      </c>
      <c r="B14" s="19" t="s">
        <v>156</v>
      </c>
      <c r="C14" s="19">
        <v>211</v>
      </c>
      <c r="D14" s="136">
        <f>1!E108</f>
        <v>706854</v>
      </c>
      <c r="E14" s="136">
        <f t="shared" si="0"/>
        <v>706854</v>
      </c>
      <c r="F14" s="136">
        <f t="shared" si="1"/>
        <v>706854</v>
      </c>
      <c r="G14" s="136">
        <f>2!G372-15540-10200</f>
        <v>310800</v>
      </c>
      <c r="H14" s="136">
        <f>2!I374+2!I375-2750-380-1785-250</f>
        <v>64700</v>
      </c>
      <c r="I14" s="136">
        <f>2!H370</f>
        <v>17403</v>
      </c>
      <c r="J14" s="19"/>
    </row>
    <row r="15" spans="1:10" ht="19.5" customHeight="1">
      <c r="A15" s="19" t="s">
        <v>155</v>
      </c>
      <c r="B15" s="19" t="s">
        <v>156</v>
      </c>
      <c r="C15" s="19">
        <v>6410</v>
      </c>
      <c r="D15" s="136">
        <f>1!E109</f>
        <v>12000</v>
      </c>
      <c r="E15" s="136">
        <f>SUM(F15+J15)</f>
        <v>12000</v>
      </c>
      <c r="F15" s="136"/>
      <c r="G15" s="136"/>
      <c r="H15" s="136"/>
      <c r="I15" s="136"/>
      <c r="J15" s="136">
        <f>1!E109</f>
        <v>12000</v>
      </c>
    </row>
    <row r="16" spans="1:10" ht="19.5" customHeight="1">
      <c r="A16" s="19" t="s">
        <v>157</v>
      </c>
      <c r="B16" s="19" t="s">
        <v>158</v>
      </c>
      <c r="C16" s="19">
        <v>211</v>
      </c>
      <c r="D16" s="136">
        <f>1!E121</f>
        <v>83000</v>
      </c>
      <c r="E16" s="136">
        <f t="shared" si="0"/>
        <v>83000</v>
      </c>
      <c r="F16" s="136">
        <f t="shared" si="1"/>
        <v>83000</v>
      </c>
      <c r="G16" s="136">
        <f>2!G447-970-324</f>
        <v>19470</v>
      </c>
      <c r="H16" s="136">
        <f>2!I447-190-65</f>
        <v>8880</v>
      </c>
      <c r="I16" s="136">
        <f>2!H447</f>
        <v>1507</v>
      </c>
      <c r="J16" s="19"/>
    </row>
    <row r="17" spans="1:10" s="65" customFormat="1" ht="19.5" customHeight="1">
      <c r="A17" s="415" t="s">
        <v>531</v>
      </c>
      <c r="B17" s="416"/>
      <c r="C17" s="416"/>
      <c r="D17" s="206">
        <f>SUM(D6+D7+D8+D9+D10+D11+D12+D13+D14+D16+D15)</f>
        <v>2724002</v>
      </c>
      <c r="E17" s="206">
        <f>SUM(F17+J17)</f>
        <v>2724002</v>
      </c>
      <c r="F17" s="206">
        <f>SUM(F6:F16)</f>
        <v>2712002</v>
      </c>
      <c r="G17" s="206">
        <f>SUM(G6:G16)</f>
        <v>712059</v>
      </c>
      <c r="H17" s="206">
        <f>SUM(H6:H16)</f>
        <v>149177</v>
      </c>
      <c r="I17" s="206">
        <f>SUM(I6:I16)</f>
        <v>45610</v>
      </c>
      <c r="J17" s="206">
        <f>SUM(J6:J16)</f>
        <v>12000</v>
      </c>
    </row>
    <row r="19" ht="12.75">
      <c r="A19" s="74"/>
    </row>
  </sheetData>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X/60/07
z dnia 5.12.2007 r.</oddHeader>
  </headerFooter>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D16" sqref="D16"/>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7" t="s">
        <v>604</v>
      </c>
      <c r="B1" s="417"/>
      <c r="C1" s="417"/>
      <c r="D1" s="417"/>
      <c r="E1" s="417"/>
      <c r="F1" s="417"/>
      <c r="G1" s="417"/>
      <c r="H1" s="417"/>
      <c r="I1" s="417"/>
      <c r="J1" s="417"/>
    </row>
    <row r="2" spans="1:6" ht="15.75">
      <c r="A2" s="11"/>
      <c r="B2" s="11"/>
      <c r="C2" s="11"/>
      <c r="D2" s="11"/>
      <c r="E2" s="11"/>
      <c r="F2" s="11"/>
    </row>
    <row r="3" spans="1:10" ht="13.5" customHeight="1">
      <c r="A3" s="5"/>
      <c r="B3" s="5"/>
      <c r="C3" s="5"/>
      <c r="D3" s="5"/>
      <c r="E3" s="5"/>
      <c r="F3" s="5"/>
      <c r="J3" s="62" t="s">
        <v>425</v>
      </c>
    </row>
    <row r="4" spans="1:10" ht="20.25" customHeight="1">
      <c r="A4" s="397" t="s">
        <v>386</v>
      </c>
      <c r="B4" s="418" t="s">
        <v>387</v>
      </c>
      <c r="C4" s="418" t="s">
        <v>536</v>
      </c>
      <c r="D4" s="398" t="s">
        <v>516</v>
      </c>
      <c r="E4" s="398" t="s">
        <v>546</v>
      </c>
      <c r="F4" s="398" t="s">
        <v>474</v>
      </c>
      <c r="G4" s="398"/>
      <c r="H4" s="398"/>
      <c r="I4" s="398"/>
      <c r="J4" s="398"/>
    </row>
    <row r="5" spans="1:10" ht="18" customHeight="1">
      <c r="A5" s="397"/>
      <c r="B5" s="419"/>
      <c r="C5" s="419"/>
      <c r="D5" s="397"/>
      <c r="E5" s="398"/>
      <c r="F5" s="398" t="s">
        <v>514</v>
      </c>
      <c r="G5" s="398" t="s">
        <v>390</v>
      </c>
      <c r="H5" s="398"/>
      <c r="I5" s="398"/>
      <c r="J5" s="398" t="s">
        <v>515</v>
      </c>
    </row>
    <row r="6" spans="1:10" ht="69" customHeight="1">
      <c r="A6" s="397"/>
      <c r="B6" s="420"/>
      <c r="C6" s="420"/>
      <c r="D6" s="397"/>
      <c r="E6" s="398"/>
      <c r="F6" s="398"/>
      <c r="G6" s="16" t="s">
        <v>512</v>
      </c>
      <c r="H6" s="16" t="s">
        <v>513</v>
      </c>
      <c r="I6" s="16" t="s">
        <v>547</v>
      </c>
      <c r="J6" s="398"/>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1!E48</f>
        <v>12700</v>
      </c>
      <c r="E8" s="200">
        <f aca="true" t="shared" si="0" ref="E8:E14">F8+J8</f>
        <v>12700</v>
      </c>
      <c r="F8" s="200">
        <f aca="true" t="shared" si="1" ref="F8:F14">D8</f>
        <v>12700</v>
      </c>
      <c r="G8" s="200"/>
      <c r="H8" s="200"/>
      <c r="I8" s="200"/>
      <c r="J8" s="200"/>
    </row>
    <row r="9" spans="1:10" ht="19.5" customHeight="1">
      <c r="A9" s="20">
        <v>852</v>
      </c>
      <c r="B9" s="20">
        <v>85201</v>
      </c>
      <c r="C9" s="20">
        <v>2120</v>
      </c>
      <c r="D9" s="200">
        <f>1!E94</f>
        <v>2100</v>
      </c>
      <c r="E9" s="200">
        <f>F9+J9</f>
        <v>2100</v>
      </c>
      <c r="F9" s="200">
        <f>D9</f>
        <v>2100</v>
      </c>
      <c r="G9" s="200"/>
      <c r="H9" s="200"/>
      <c r="I9" s="200"/>
      <c r="J9" s="200"/>
    </row>
    <row r="10" spans="1:10" ht="19.5" customHeight="1">
      <c r="A10" s="20">
        <v>852</v>
      </c>
      <c r="B10" s="20">
        <v>85201</v>
      </c>
      <c r="C10" s="20">
        <v>6420</v>
      </c>
      <c r="D10" s="200">
        <f>1!E97</f>
        <v>1500</v>
      </c>
      <c r="E10" s="200">
        <f t="shared" si="0"/>
        <v>1500</v>
      </c>
      <c r="F10" s="200">
        <f t="shared" si="1"/>
        <v>1500</v>
      </c>
      <c r="G10" s="200"/>
      <c r="H10" s="200"/>
      <c r="I10" s="200"/>
      <c r="J10" s="200"/>
    </row>
    <row r="11" spans="1:10" ht="19.5" customHeight="1">
      <c r="A11" s="20">
        <v>852</v>
      </c>
      <c r="B11" s="20">
        <v>85220</v>
      </c>
      <c r="C11" s="20">
        <v>2120</v>
      </c>
      <c r="D11" s="200">
        <f>1!E118</f>
        <v>9600</v>
      </c>
      <c r="E11" s="200">
        <f t="shared" si="0"/>
        <v>9600</v>
      </c>
      <c r="F11" s="200">
        <f t="shared" si="1"/>
        <v>9600</v>
      </c>
      <c r="G11" s="200"/>
      <c r="H11" s="200"/>
      <c r="I11" s="200"/>
      <c r="J11" s="200"/>
    </row>
    <row r="12" spans="1:10" ht="19.5" customHeight="1">
      <c r="A12" s="20">
        <v>853</v>
      </c>
      <c r="B12" s="20">
        <v>85395</v>
      </c>
      <c r="C12" s="20">
        <v>2128</v>
      </c>
      <c r="D12" s="200">
        <f>1!E128</f>
        <v>905467</v>
      </c>
      <c r="E12" s="200">
        <f t="shared" si="0"/>
        <v>905467</v>
      </c>
      <c r="F12" s="200">
        <f t="shared" si="1"/>
        <v>905467</v>
      </c>
      <c r="G12" s="200"/>
      <c r="H12" s="200">
        <f>2!I490</f>
        <v>160450</v>
      </c>
      <c r="I12" s="200">
        <f>2!M489</f>
        <v>0</v>
      </c>
      <c r="J12" s="200"/>
    </row>
    <row r="13" spans="1:10" ht="19.5" customHeight="1">
      <c r="A13" s="19">
        <v>801</v>
      </c>
      <c r="B13" s="19">
        <v>80130</v>
      </c>
      <c r="C13" s="19">
        <v>2120</v>
      </c>
      <c r="D13" s="335">
        <f>1!E80</f>
        <v>0</v>
      </c>
      <c r="E13" s="200">
        <f t="shared" si="0"/>
        <v>0</v>
      </c>
      <c r="F13" s="335">
        <f t="shared" si="1"/>
        <v>0</v>
      </c>
      <c r="G13" s="335"/>
      <c r="H13" s="335"/>
      <c r="I13" s="335"/>
      <c r="J13" s="335"/>
    </row>
    <row r="14" spans="1:10" ht="19.5" customHeight="1">
      <c r="A14" s="19">
        <v>801</v>
      </c>
      <c r="B14" s="19">
        <v>80195</v>
      </c>
      <c r="C14" s="19">
        <v>2120</v>
      </c>
      <c r="D14" s="335">
        <f>1!E83</f>
        <v>202050</v>
      </c>
      <c r="E14" s="200">
        <f t="shared" si="0"/>
        <v>202050</v>
      </c>
      <c r="F14" s="335">
        <f t="shared" si="1"/>
        <v>202050</v>
      </c>
      <c r="G14" s="335"/>
      <c r="H14" s="335"/>
      <c r="I14" s="335"/>
      <c r="J14" s="335"/>
    </row>
    <row r="15" spans="1:10" ht="24.75" customHeight="1">
      <c r="A15" s="421" t="s">
        <v>531</v>
      </c>
      <c r="B15" s="422"/>
      <c r="C15" s="422"/>
      <c r="D15" s="201">
        <f>SUM(D8:D14)</f>
        <v>1133417</v>
      </c>
      <c r="E15" s="201">
        <f aca="true" t="shared" si="2" ref="E15:J15">SUM(E8:E14)</f>
        <v>1133417</v>
      </c>
      <c r="F15" s="201">
        <f t="shared" si="2"/>
        <v>1133417</v>
      </c>
      <c r="G15" s="201">
        <f t="shared" si="2"/>
        <v>0</v>
      </c>
      <c r="H15" s="201">
        <f t="shared" si="2"/>
        <v>160450</v>
      </c>
      <c r="I15" s="201">
        <f t="shared" si="2"/>
        <v>0</v>
      </c>
      <c r="J15" s="201">
        <f t="shared" si="2"/>
        <v>0</v>
      </c>
    </row>
    <row r="17" spans="1:7" ht="12.75">
      <c r="A17" s="74"/>
      <c r="G17"/>
    </row>
  </sheetData>
  <mergeCells count="11">
    <mergeCell ref="A15:C15"/>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7
do uchwały Rady Powiatu 
nr X/60/07
z dnia 5.12.2007 r.</oddHeader>
  </headerFooter>
</worksheet>
</file>

<file path=xl/worksheets/sheet9.xml><?xml version="1.0" encoding="utf-8"?>
<worksheet xmlns="http://schemas.openxmlformats.org/spreadsheetml/2006/main" xmlns:r="http://schemas.openxmlformats.org/officeDocument/2006/relationships">
  <dimension ref="A1:CB17"/>
  <sheetViews>
    <sheetView workbookViewId="0" topLeftCell="A1">
      <selection activeCell="I15" sqref="I15"/>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7" t="s">
        <v>603</v>
      </c>
      <c r="B1" s="417"/>
      <c r="C1" s="417"/>
      <c r="D1" s="417"/>
      <c r="E1" s="417"/>
      <c r="F1" s="417"/>
      <c r="G1" s="417"/>
      <c r="H1" s="417"/>
      <c r="I1" s="417"/>
      <c r="J1" s="417"/>
      <c r="K1" s="417"/>
    </row>
    <row r="3" ht="12.75">
      <c r="K3" s="62" t="s">
        <v>425</v>
      </c>
    </row>
    <row r="4" spans="1:80" ht="20.25" customHeight="1">
      <c r="A4" s="397" t="s">
        <v>386</v>
      </c>
      <c r="B4" s="418" t="s">
        <v>387</v>
      </c>
      <c r="C4" s="418" t="s">
        <v>388</v>
      </c>
      <c r="D4" s="398" t="s">
        <v>516</v>
      </c>
      <c r="E4" s="398" t="s">
        <v>192</v>
      </c>
      <c r="F4" s="398" t="s">
        <v>474</v>
      </c>
      <c r="G4" s="398"/>
      <c r="H4" s="398"/>
      <c r="I4" s="398"/>
      <c r="J4" s="398"/>
      <c r="K4" s="398"/>
      <c r="BY4" s="1"/>
      <c r="BZ4" s="1"/>
      <c r="CA4" s="1"/>
      <c r="CB4" s="1"/>
    </row>
    <row r="5" spans="1:80" ht="18" customHeight="1">
      <c r="A5" s="397"/>
      <c r="B5" s="419"/>
      <c r="C5" s="419"/>
      <c r="D5" s="397"/>
      <c r="E5" s="398"/>
      <c r="F5" s="398" t="s">
        <v>514</v>
      </c>
      <c r="G5" s="398" t="s">
        <v>390</v>
      </c>
      <c r="H5" s="398"/>
      <c r="I5" s="398"/>
      <c r="J5" s="16"/>
      <c r="K5" s="398" t="s">
        <v>515</v>
      </c>
      <c r="BY5" s="1"/>
      <c r="BZ5" s="1"/>
      <c r="CA5" s="1"/>
      <c r="CB5" s="1"/>
    </row>
    <row r="6" spans="1:80" ht="69" customHeight="1">
      <c r="A6" s="397"/>
      <c r="B6" s="420"/>
      <c r="C6" s="420"/>
      <c r="D6" s="397"/>
      <c r="E6" s="398"/>
      <c r="F6" s="398"/>
      <c r="G6" s="16" t="s">
        <v>512</v>
      </c>
      <c r="H6" s="16" t="s">
        <v>513</v>
      </c>
      <c r="I6" s="199" t="s">
        <v>191</v>
      </c>
      <c r="J6" s="199" t="s">
        <v>243</v>
      </c>
      <c r="K6" s="398"/>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600</v>
      </c>
      <c r="B8" s="203">
        <v>60014</v>
      </c>
      <c r="C8" s="205">
        <v>2310</v>
      </c>
      <c r="D8" s="155">
        <f>1!E19</f>
        <v>10000</v>
      </c>
      <c r="E8" s="136">
        <f>F8+K8</f>
        <v>10000</v>
      </c>
      <c r="F8" s="136">
        <f>D8</f>
        <v>10000</v>
      </c>
      <c r="G8" s="136"/>
      <c r="H8" s="136"/>
      <c r="I8" s="136"/>
      <c r="J8" s="136"/>
      <c r="K8" s="136"/>
      <c r="BY8" s="1"/>
      <c r="BZ8" s="1"/>
      <c r="CA8" s="1"/>
      <c r="CB8" s="1"/>
    </row>
    <row r="9" spans="1:80" ht="19.5" customHeight="1">
      <c r="A9" s="136"/>
      <c r="B9" s="203"/>
      <c r="C9" s="205">
        <v>6610</v>
      </c>
      <c r="D9" s="155">
        <f>24673</f>
        <v>24673</v>
      </c>
      <c r="E9" s="136">
        <f>F9+K9</f>
        <v>24673</v>
      </c>
      <c r="F9" s="136"/>
      <c r="G9" s="136"/>
      <c r="H9" s="136"/>
      <c r="I9" s="136"/>
      <c r="J9" s="136"/>
      <c r="K9" s="136">
        <v>24673</v>
      </c>
      <c r="BY9" s="1"/>
      <c r="BZ9" s="1"/>
      <c r="CA9" s="1"/>
      <c r="CB9" s="1"/>
    </row>
    <row r="10" spans="1:80" ht="19.5" customHeight="1">
      <c r="A10" s="136">
        <v>803</v>
      </c>
      <c r="B10" s="203">
        <v>80309</v>
      </c>
      <c r="C10" s="205">
        <v>2328</v>
      </c>
      <c r="D10" s="155">
        <v>33898</v>
      </c>
      <c r="E10" s="136">
        <f aca="true" t="shared" si="0" ref="E10:E15">F10+K10</f>
        <v>33898</v>
      </c>
      <c r="F10" s="136">
        <f>33898</f>
        <v>33898</v>
      </c>
      <c r="G10" s="136"/>
      <c r="H10" s="136">
        <f>2!I299+2!I301</f>
        <v>221</v>
      </c>
      <c r="I10" s="136"/>
      <c r="J10" s="136"/>
      <c r="K10" s="136"/>
      <c r="BY10" s="1"/>
      <c r="BZ10" s="1"/>
      <c r="CA10" s="1"/>
      <c r="CB10" s="1"/>
    </row>
    <row r="11" spans="1:80" ht="19.5" customHeight="1">
      <c r="A11" s="136"/>
      <c r="B11" s="203"/>
      <c r="C11" s="205">
        <v>2329</v>
      </c>
      <c r="D11" s="155">
        <v>11299</v>
      </c>
      <c r="E11" s="136">
        <f t="shared" si="0"/>
        <v>11299</v>
      </c>
      <c r="F11" s="136">
        <f>11299</f>
        <v>11299</v>
      </c>
      <c r="G11" s="136"/>
      <c r="H11" s="136">
        <f>2!I300+2!I302</f>
        <v>73</v>
      </c>
      <c r="I11" s="136"/>
      <c r="J11" s="136"/>
      <c r="K11" s="136"/>
      <c r="BY11" s="1"/>
      <c r="BZ11" s="1"/>
      <c r="CA11" s="1"/>
      <c r="CB11" s="1"/>
    </row>
    <row r="12" spans="1:80" ht="19.5" customHeight="1">
      <c r="A12" s="136">
        <v>852</v>
      </c>
      <c r="B12" s="203">
        <v>85201</v>
      </c>
      <c r="C12" s="203">
        <v>2320</v>
      </c>
      <c r="D12" s="136">
        <f>1!E96</f>
        <v>191380</v>
      </c>
      <c r="E12" s="136">
        <f t="shared" si="0"/>
        <v>191380</v>
      </c>
      <c r="F12" s="136">
        <f>D12</f>
        <v>191380</v>
      </c>
      <c r="G12" s="136">
        <f>2!G318*((D12/(2!E314-2!E315)))</f>
        <v>93810.9026411645</v>
      </c>
      <c r="H12" s="136">
        <f>(2!I320+2!I321)*((E12/(2!E314-2!E315)))</f>
        <v>19417.728470040587</v>
      </c>
      <c r="I12" s="136">
        <f>2!H319*((F12/(2!E314-2!E315)))</f>
        <v>6660.223901656329</v>
      </c>
      <c r="J12" s="136"/>
      <c r="K12" s="136"/>
      <c r="BY12" s="1"/>
      <c r="BZ12" s="1"/>
      <c r="CA12" s="1"/>
      <c r="CB12" s="1"/>
    </row>
    <row r="13" spans="1:80" ht="19.5" customHeight="1">
      <c r="A13" s="136"/>
      <c r="B13" s="203">
        <v>85204</v>
      </c>
      <c r="C13" s="203">
        <v>2320</v>
      </c>
      <c r="D13" s="136">
        <f>1!E112</f>
        <v>177047</v>
      </c>
      <c r="E13" s="136">
        <f t="shared" si="0"/>
        <v>177047</v>
      </c>
      <c r="F13" s="136">
        <f>D13</f>
        <v>177047</v>
      </c>
      <c r="G13" s="136"/>
      <c r="H13" s="136"/>
      <c r="I13" s="136"/>
      <c r="J13" s="136"/>
      <c r="K13" s="136"/>
      <c r="BY13" s="1"/>
      <c r="BZ13" s="1"/>
      <c r="CA13" s="1"/>
      <c r="CB13" s="1"/>
    </row>
    <row r="14" spans="1:80" ht="19.5" customHeight="1">
      <c r="A14" s="136">
        <v>854</v>
      </c>
      <c r="B14" s="203">
        <v>85415</v>
      </c>
      <c r="C14" s="204">
        <v>2338</v>
      </c>
      <c r="D14" s="155">
        <v>3934962</v>
      </c>
      <c r="E14" s="136">
        <f t="shared" si="0"/>
        <v>3934962</v>
      </c>
      <c r="F14" s="155">
        <v>3934962</v>
      </c>
      <c r="G14" s="202">
        <f>2!G552</f>
        <v>12063</v>
      </c>
      <c r="H14" s="136">
        <f>2!I554+2!I556</f>
        <v>12117</v>
      </c>
      <c r="I14" s="136"/>
      <c r="J14" s="202">
        <f>2!J546+2!J548</f>
        <v>3698975</v>
      </c>
      <c r="K14" s="136"/>
      <c r="BY14" s="1"/>
      <c r="BZ14" s="1"/>
      <c r="CA14" s="1"/>
      <c r="CB14" s="1"/>
    </row>
    <row r="15" spans="1:80" ht="19.5" customHeight="1">
      <c r="A15" s="136"/>
      <c r="B15" s="136"/>
      <c r="C15" s="204">
        <v>2339</v>
      </c>
      <c r="D15" s="155">
        <v>1847495</v>
      </c>
      <c r="E15" s="136">
        <f t="shared" si="0"/>
        <v>1847495</v>
      </c>
      <c r="F15" s="155">
        <v>1847495</v>
      </c>
      <c r="G15" s="202">
        <f>2!G553</f>
        <v>5664</v>
      </c>
      <c r="H15" s="136">
        <f>2!I555+2!I557</f>
        <v>5689</v>
      </c>
      <c r="I15" s="136"/>
      <c r="J15" s="136">
        <f>2!J547+2!J549</f>
        <v>1736698</v>
      </c>
      <c r="K15" s="136"/>
      <c r="BY15" s="1"/>
      <c r="BZ15" s="1"/>
      <c r="CA15" s="1"/>
      <c r="CB15" s="1"/>
    </row>
    <row r="16" spans="1:80" ht="19.5" customHeight="1">
      <c r="A16" s="136"/>
      <c r="B16" s="136"/>
      <c r="C16" s="136">
        <v>2330</v>
      </c>
      <c r="D16" s="136">
        <f>1!E141</f>
        <v>9000</v>
      </c>
      <c r="E16" s="136">
        <v>9000</v>
      </c>
      <c r="F16" s="136">
        <v>9000</v>
      </c>
      <c r="G16" s="136"/>
      <c r="H16" s="136"/>
      <c r="I16" s="136"/>
      <c r="J16" s="136"/>
      <c r="K16" s="136"/>
      <c r="BY16" s="1"/>
      <c r="BZ16" s="1"/>
      <c r="CA16" s="1"/>
      <c r="CB16" s="1"/>
    </row>
    <row r="17" spans="1:76" s="208" customFormat="1" ht="24.75" customHeight="1">
      <c r="A17" s="423" t="s">
        <v>531</v>
      </c>
      <c r="B17" s="424"/>
      <c r="C17" s="425"/>
      <c r="D17" s="207">
        <f>SUM(D8:D16)</f>
        <v>6239754</v>
      </c>
      <c r="E17" s="207">
        <f aca="true" t="shared" si="1" ref="E17:K17">SUM(E8:E16)</f>
        <v>6239754</v>
      </c>
      <c r="F17" s="207">
        <f t="shared" si="1"/>
        <v>6215081</v>
      </c>
      <c r="G17" s="207">
        <f t="shared" si="1"/>
        <v>111537.9026411645</v>
      </c>
      <c r="H17" s="207">
        <f t="shared" si="1"/>
        <v>37517.72847004059</v>
      </c>
      <c r="I17" s="207">
        <f t="shared" si="1"/>
        <v>6660.223901656329</v>
      </c>
      <c r="J17" s="207">
        <f t="shared" si="1"/>
        <v>5435673</v>
      </c>
      <c r="K17" s="207">
        <f t="shared" si="1"/>
        <v>24673</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sheetData>
  <mergeCells count="11">
    <mergeCell ref="A17:C17"/>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X/60/07
z dnia 5.12.2007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2007-12-07T12:02:00Z</cp:lastPrinted>
  <dcterms:created xsi:type="dcterms:W3CDTF">1998-12-09T13:02:10Z</dcterms:created>
  <dcterms:modified xsi:type="dcterms:W3CDTF">2007-12-07T12:22:55Z</dcterms:modified>
  <cp:category/>
  <cp:version/>
  <cp:contentType/>
  <cp:contentStatus/>
</cp:coreProperties>
</file>