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1"/>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s>
  <definedNames/>
  <calcPr fullCalcOnLoad="1"/>
</workbook>
</file>

<file path=xl/sharedStrings.xml><?xml version="1.0" encoding="utf-8"?>
<sst xmlns="http://schemas.openxmlformats.org/spreadsheetml/2006/main" count="1544" uniqueCount="656">
  <si>
    <t xml:space="preserve">DOCHODY MAJĄTKOWE </t>
  </si>
  <si>
    <t>W   TYM :</t>
  </si>
  <si>
    <t xml:space="preserve">Środki na finansowanie własnych zadań bieżących gmin ( związków gmin), powiatów    ( związków powiatów) , samorządów województw , pozyskane z innych źródeł </t>
  </si>
  <si>
    <t>*** rok 2010 do wykorzystania fakultatywnego</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</si>
  <si>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</si>
  <si>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</si>
  <si>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</si>
  <si>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</si>
  <si>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</si>
  <si>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</si>
  <si>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</si>
  <si>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</si>
  <si>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</si>
  <si>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</si>
  <si>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</si>
  <si>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</si>
  <si>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</si>
  <si>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</si>
  <si>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</si>
  <si>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</si>
  <si>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</si>
  <si>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</si>
  <si>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</si>
  <si>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</si>
  <si>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</si>
  <si>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</si>
  <si>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</si>
  <si>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</si>
  <si>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</si>
  <si>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</si>
  <si>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</si>
  <si>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</si>
  <si>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</si>
  <si>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</si>
  <si>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</si>
  <si>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</si>
  <si>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</si>
  <si>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</si>
  <si>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</si>
  <si>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</si>
  <si>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</si>
  <si>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</si>
  <si>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</si>
  <si>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</si>
  <si>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</si>
  <si>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</si>
  <si>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</si>
  <si>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</si>
  <si>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</si>
  <si>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Dochody i wydatki związane z realizacją zadań wykonywanych na podstawie porozumień (umów) między jednostkami samorządu terytorialnego w 2007 r.</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</si>
  <si>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</si>
  <si>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</si>
  <si>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</si>
  <si>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</si>
  <si>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</si>
  <si>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</si>
  <si>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</si>
  <si>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</si>
  <si>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</si>
  <si>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</si>
  <si>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</si>
  <si>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</si>
  <si>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</si>
  <si>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</si>
  <si>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</si>
  <si>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</si>
  <si>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</si>
  <si>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</si>
  <si>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</si>
  <si>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</si>
  <si>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</si>
  <si>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</si>
  <si>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</si>
  <si>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</si>
  <si>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</si>
  <si>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</si>
  <si>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</si>
  <si>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</si>
  <si>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</si>
  <si>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</si>
  <si>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</si>
  <si>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</si>
  <si>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</si>
  <si>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</si>
  <si>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</si>
  <si>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</si>
  <si>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</si>
  <si>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</si>
  <si>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</si>
  <si>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</si>
  <si>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</si>
  <si>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Oś: 1- Rozwój infrastruktury  technicznej ,Działnie :1.1 - Infrastruktura drogowa, Tytuł projektu : Poprawa bezpieczeństwa  na  drogach pulicznych poprzez wybudowanie dróg rowerowych</t>
  </si>
  <si>
    <t>2011 r</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</si>
  <si>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</si>
  <si>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</si>
  <si>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</si>
  <si>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 xml:space="preserve">Dotacje  przekazane  dla powiatu   na  zadania  bieżące  realizowane  na  podstawie  porozumień (  umów  ) między   j.s.t -  na  realizację   w  partnetstwie  z  powiatami  województwa  kujawsko-pomorskiego  projektu  UE  "Podniesienie atrakcyjności  i  jakości  szkolnictwa   zawodowego   na  terenie   województwa  kujawsko-pomorskiego   w  roku  szkolnym   2008/2009 .
</t>
  </si>
  <si>
    <t>Poprawa  bezpieczeństwa  na   drogach   publicznych  poprzez wybudowanie   dróg  rowerowych .</t>
  </si>
  <si>
    <t>Priorytet  IX -  Rozwój  wykształcenia  i  kompetencji   w  regionach  .  Działanie  9.2  Podniesienie  atrakcyjności  i  jakości  szkolnictwa  zawodowego.  Tytuł  projektu  : Podniesienie  atrakcyjności  i  jakości   szkolnictwa  zawodowego  na  terenie  województwa  kujawsko-pomorskiego   w  roku  szkolnym   2008/2009</t>
  </si>
  <si>
    <t>833-85395</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</si>
  <si>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</si>
  <si>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</si>
  <si>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</si>
  <si>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</si>
  <si>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</si>
  <si>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</si>
  <si>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</si>
  <si>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</si>
  <si>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</si>
  <si>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</si>
  <si>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</si>
  <si>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</si>
  <si>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</si>
  <si>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</si>
  <si>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</si>
  <si>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</si>
  <si>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</si>
  <si>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6050/6060</t>
  </si>
  <si>
    <t xml:space="preserve">Wykonanie  poręczy   i   balustrad ,  zakup  i  montaż  reduktora  ciśnienia ,  zakup   centrali   telefonicznej </t>
  </si>
  <si>
    <t xml:space="preserve">0690 Wpływy   z różnych  opłat </t>
  </si>
  <si>
    <t>\</t>
  </si>
  <si>
    <t xml:space="preserve">Termoizolacja   punku  obsługi bezrobotnych   w  Czernikowie </t>
  </si>
  <si>
    <t>Dobudowa  pionu   sanitarnego -  w  Z.Sz. w  Chełmży  2006-2008</t>
  </si>
  <si>
    <t>Droga2138 Sitno-Mazowsze-Czernikowo od km 6+259 do 16+725 na dł. 10,466 km,</t>
  </si>
  <si>
    <t>Droga 2010 Turzno-Rogówko-Lubicz Dolny od km 5+461 do 9+699 na dł. 4,238 km</t>
  </si>
  <si>
    <t>Droga  2023 Chełmża-Węgorzyn od km 0+000 do 9+652 na dł. 9,652 km</t>
  </si>
  <si>
    <t>Droga 2009 Brzeźno-Młyniec-Lubicz Górny od km 0+000 do 9+590 na dł. 9,590 km</t>
  </si>
  <si>
    <t>2010 Turzno-Rogówko-Lubicz Dolny od km 2+337 do 3+247 na dł. 0,910 km</t>
  </si>
  <si>
    <t>PZD</t>
  </si>
  <si>
    <t>2005 Łubianka-Zamek Bierzgłowski-Czarne Błoto od km 0+000 do km 10+554 na dł. 10,554 km</t>
  </si>
  <si>
    <t>1716 Płużnica-Bocień-Dźwierzno od km 4+809 do km 10+281 na dł 5,472</t>
  </si>
  <si>
    <t>2037 Dobrzejewice-Świętosław-Mazowsze od km 0+000 do km 8+450 na dł.8,450 km</t>
  </si>
  <si>
    <t>Aktualizacja   cen</t>
  </si>
  <si>
    <t>Droga2138 Sitno-Mazowsze-Czernikowo od km 6+259 do 16+725 na dł. 10,466 km, w tym:</t>
  </si>
  <si>
    <t xml:space="preserve">Aktualizacja   cen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</si>
  <si>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</si>
  <si>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</si>
  <si>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</si>
  <si>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</si>
  <si>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</si>
  <si>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</si>
  <si>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</si>
  <si>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Wpływy z róznych dochodów</t>
  </si>
  <si>
    <t>Dotacje otrzymane z funduszy celowych na finansowanie lub dofinansowanie kosztów realizacji inwestycji i zakupów inwestycyjnych j.s.f.p.</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</si>
  <si>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</si>
  <si>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</si>
  <si>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</si>
  <si>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</si>
  <si>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</si>
  <si>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</si>
  <si>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</si>
  <si>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</si>
  <si>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</si>
  <si>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</si>
  <si>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</si>
  <si>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</si>
  <si>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</si>
  <si>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</si>
  <si>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</si>
  <si>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</si>
  <si>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</si>
  <si>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</si>
  <si>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</si>
  <si>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</si>
  <si>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</si>
  <si>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</si>
  <si>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</si>
  <si>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</si>
  <si>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</si>
  <si>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</si>
  <si>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</si>
  <si>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</si>
  <si>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</si>
  <si>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</si>
  <si>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</si>
  <si>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</si>
  <si>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</si>
  <si>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</si>
  <si>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</si>
  <si>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</si>
  <si>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</si>
  <si>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Wydatki budżetu powiatu na  2008 r.</t>
  </si>
  <si>
    <t>Plan
na 2008 r.
(6+13)</t>
  </si>
  <si>
    <t>Dochody budżetu powiatu na 2008 r.</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</si>
  <si>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</si>
  <si>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</si>
  <si>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</si>
  <si>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</si>
  <si>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</si>
  <si>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</si>
  <si>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</si>
  <si>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</si>
  <si>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</si>
  <si>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</si>
  <si>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</si>
  <si>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</si>
  <si>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</si>
  <si>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</si>
  <si>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</si>
  <si>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</si>
  <si>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</si>
  <si>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</si>
  <si>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</si>
  <si>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</si>
  <si>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</si>
  <si>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</si>
  <si>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</si>
  <si>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</si>
  <si>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</si>
  <si>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</si>
  <si>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</si>
  <si>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</si>
  <si>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</si>
  <si>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</si>
  <si>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</si>
  <si>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</si>
  <si>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</si>
  <si>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</si>
  <si>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</si>
  <si>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</si>
  <si>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</si>
  <si>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</si>
  <si>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</si>
  <si>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</si>
  <si>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</si>
  <si>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</si>
  <si>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</si>
  <si>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</si>
  <si>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</si>
  <si>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</si>
  <si>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</si>
  <si>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</si>
  <si>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</si>
  <si>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</si>
  <si>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</si>
  <si>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</si>
  <si>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</si>
  <si>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</si>
  <si>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</si>
  <si>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</si>
  <si>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</si>
  <si>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</si>
  <si>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</si>
  <si>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</si>
  <si>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</si>
  <si>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</si>
  <si>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</si>
  <si>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</si>
  <si>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</si>
  <si>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</si>
  <si>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</si>
  <si>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</si>
  <si>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</si>
  <si>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</si>
  <si>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</si>
  <si>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</si>
  <si>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</si>
  <si>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</si>
  <si>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</si>
  <si>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</si>
  <si>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</si>
  <si>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</si>
  <si>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</si>
  <si>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</si>
  <si>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</si>
  <si>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</si>
  <si>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</si>
  <si>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</si>
  <si>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</si>
  <si>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</si>
  <si>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</si>
  <si>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</si>
  <si>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</si>
  <si>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</si>
  <si>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</si>
  <si>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</si>
  <si>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</si>
  <si>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</si>
  <si>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</si>
  <si>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</si>
  <si>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</si>
  <si>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</si>
  <si>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</si>
  <si>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</si>
  <si>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</si>
  <si>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</si>
  <si>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</si>
  <si>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</si>
  <si>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</si>
  <si>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</si>
  <si>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</si>
  <si>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</si>
  <si>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</si>
  <si>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</si>
  <si>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</si>
  <si>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</si>
  <si>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</si>
  <si>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t>
  </si>
  <si>
    <t>.85203</t>
  </si>
  <si>
    <t>.853</t>
  </si>
  <si>
    <t>.85321</t>
  </si>
  <si>
    <t>-</t>
  </si>
  <si>
    <t>PZD  TORUŃ</t>
  </si>
  <si>
    <t xml:space="preserve">STAROSTWO POWIATOWE </t>
  </si>
  <si>
    <t xml:space="preserve">negatywne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</si>
  <si>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</si>
  <si>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</si>
  <si>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</si>
  <si>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</si>
  <si>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</si>
  <si>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</si>
  <si>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</si>
  <si>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</si>
  <si>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</si>
  <si>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</si>
  <si>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</si>
  <si>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</si>
  <si>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</si>
  <si>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Poprawa  jakości  kształcenia z  Zespole  Szkół  w  Gronowie  poprzez  rozbudowę  bazy  oświatowej</t>
  </si>
  <si>
    <t xml:space="preserve">Z.Sz.CKU  GRONOWO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</si>
  <si>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</si>
  <si>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</si>
  <si>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</si>
  <si>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</si>
  <si>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</si>
  <si>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</si>
  <si>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</si>
  <si>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</si>
  <si>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</si>
  <si>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</si>
  <si>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</si>
  <si>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</si>
  <si>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</si>
  <si>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</si>
  <si>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</si>
  <si>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</si>
  <si>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</si>
  <si>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</si>
  <si>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</si>
  <si>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</si>
  <si>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</si>
  <si>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</si>
  <si>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</si>
  <si>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</si>
  <si>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</si>
  <si>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</si>
  <si>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</si>
  <si>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</si>
  <si>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</si>
  <si>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</si>
  <si>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</si>
  <si>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</si>
  <si>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</si>
  <si>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</si>
  <si>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</si>
  <si>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</si>
  <si>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</si>
  <si>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</si>
  <si>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</si>
  <si>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</si>
  <si>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 xml:space="preserve">PFOŚIGW </t>
  </si>
  <si>
    <t>Opłaty na rzecz budżetu państwa</t>
  </si>
  <si>
    <t xml:space="preserve">Pomoc   dla  repatriantów </t>
  </si>
  <si>
    <t>Zakup materiałów  i  wyposażenia</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</si>
  <si>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</si>
  <si>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</si>
  <si>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</si>
  <si>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</si>
  <si>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</si>
  <si>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</si>
  <si>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</si>
  <si>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</si>
  <si>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</si>
  <si>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</si>
  <si>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</si>
  <si>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</si>
  <si>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</si>
  <si>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r>
      <t xml:space="preserve">rok budżetowy 2008 </t>
    </r>
    <r>
      <rPr>
        <b/>
        <sz val="10"/>
        <rFont val="Arial CE"/>
        <family val="0"/>
      </rPr>
      <t>(8+9+10+11)</t>
    </r>
  </si>
  <si>
    <t xml:space="preserve">Planowane wydatki 2008 </t>
  </si>
  <si>
    <t>z tego: 2008 r.</t>
  </si>
  <si>
    <t>Kwota długu na dzień 31.12.2007</t>
  </si>
  <si>
    <t>2004 rok</t>
  </si>
  <si>
    <t>2007  rok</t>
  </si>
  <si>
    <t>Planowane w roku budżetowym   2008  (bez prefinansowania):</t>
  </si>
  <si>
    <t>Prognoza kwoty długu i spłat na rok 2008 i lata następne</t>
  </si>
  <si>
    <t xml:space="preserve">4270 Zakup usług  remontowych </t>
  </si>
  <si>
    <t xml:space="preserve">4210 Zakup materiałów i  wyposażenia </t>
  </si>
  <si>
    <t>Plan na 2008 r.</t>
  </si>
  <si>
    <t>2.Z.SZ.  CKU  W  GRONOWIE -STOŁÓWKA   SZKOLNA -801-80148</t>
  </si>
  <si>
    <t xml:space="preserve"> oraz dochodów i wydatków dochodów własnych jednostek budżetowych na 2008 r.</t>
  </si>
  <si>
    <t>Plan
2008 r.</t>
  </si>
  <si>
    <t>Dotacje przedmiotowe w 2008 r.</t>
  </si>
  <si>
    <t>Dotacje podmiotowe   w 2008 r.</t>
  </si>
  <si>
    <t>Załącznik nr 17 do Uchwały Rady  Powiatu Toruńskiego   w sprawie   Budżetu Powiatu Toruńskiego na rok 2008</t>
  </si>
  <si>
    <t>Przychody i rozchody budżetu w 2008 r.</t>
  </si>
  <si>
    <t>Kwota
2008 r.</t>
  </si>
  <si>
    <t>Dochody i wydatki związane z realizacją zadań z zakresu administracji rządowej wykonywanych na podstawie porozumień z organami administracji rządowej w 2008 r.</t>
  </si>
  <si>
    <t>Dochody i wydatki związane z realizacją zadań z zakresu administracji rządowej i innych zadań zleconych odrębnymi ustawami w 2008 r.</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</si>
  <si>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</si>
  <si>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</si>
  <si>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</si>
  <si>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</si>
  <si>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na zadania własne powiatu realizowane przez podmioty należące
i nie należące do sektora finansów publicznych w 2008 r.</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</si>
  <si>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</si>
  <si>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</si>
  <si>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</si>
  <si>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Łączne koszty finansowe   (2008-2013)</t>
  </si>
  <si>
    <t xml:space="preserve">Łączne koszty finansowe  zadania </t>
  </si>
  <si>
    <t>DPS BROWINA</t>
  </si>
  <si>
    <t>Wydatki inwestycyjne jednostek budżetowych</t>
  </si>
  <si>
    <t xml:space="preserve">Standardy   w DPS  Browina  </t>
  </si>
  <si>
    <t>Rezerwa celowa   na   realizację  w  DPS i  POW   standardów</t>
  </si>
  <si>
    <t>J.W</t>
  </si>
  <si>
    <t xml:space="preserve">PZD W  TORUNIU </t>
  </si>
  <si>
    <t>6058/6059</t>
  </si>
  <si>
    <t xml:space="preserve">Modernizacja  kotłowni  ,  termomodernizacja   budynków  w    Chełmży  ul.  Hallera </t>
  </si>
  <si>
    <t xml:space="preserve">Sprzęt  do utrzymania  zieleni  -  PZD   w  Toruniu </t>
  </si>
  <si>
    <t xml:space="preserve">Rezerwa celowa na inwestycje  i   zakupy inwestycyjne </t>
  </si>
  <si>
    <t>Droga2021 Świerczynki-Ostaszewo od km 5+321 do 6+822 na dł. 1,501 km</t>
  </si>
  <si>
    <t>Droga2019 Chełmża-Brąchnowo-Pigża od km 7+097 do km 9+197 na dł. 2,100 km</t>
  </si>
  <si>
    <t>Droga 2004 Łążyn-Smolno od km 0+550 do km 1_135 na dł. 0,585 km</t>
  </si>
  <si>
    <t>Droga 2031 Zelgno-Zelgno Bezdół od km 0+000 do km 0+380 na dł.0,380 km</t>
  </si>
  <si>
    <t xml:space="preserve">Rezerwa celowa   na   realizację  w  DPS   standardów </t>
  </si>
  <si>
    <t xml:space="preserve">Pomoc  dla  repatriantów </t>
  </si>
  <si>
    <t>.85334</t>
  </si>
  <si>
    <t>Dotacje otrzymane z funduszy celowych na realizację zadań bieżących jednostek sektora finansów publicznych  </t>
  </si>
  <si>
    <t>Zadania inwestycyjne w 2008 r.</t>
  </si>
  <si>
    <t>środki pochodzące
z innych  źródeł (fundusze powiatu )</t>
  </si>
  <si>
    <t xml:space="preserve">Dokumentacje   techniczne   na   inwestycje    drogowe </t>
  </si>
  <si>
    <t>Modernizacja   systemu   dróg  powiatowych  łączących  się   z  drogami  wyższej  kategorii  szansą   na  poprawę  konkurencyjności  gospodarczej   , wzrost   atrakcyjności  oraz  poziomu   bezpieczeństwa .</t>
  </si>
  <si>
    <t>w tym   :</t>
  </si>
  <si>
    <t>W   TYM   :</t>
  </si>
  <si>
    <t>Modernizacja   systemu   dróg  powiatowych  łączących  się   z  drogami  wyższej  kategorii  szansą   na  poprawę  konkurencyjności  gospodarczej   , wzrost   atrakcyjności  oraz  poziomu   bezpieczeństwa .   Zadanie  składające  się  z  13   dróg (  poniżej  ) .</t>
  </si>
  <si>
    <t xml:space="preserve">RAZEM   -   ZGODNE   Z  ZAŁĄCZNIKIEM  NR   2 </t>
  </si>
  <si>
    <t>Regionalny Program Operacyjny Województwa Kujawsko - Pomorskiego na lata 2007-2013 -</t>
  </si>
  <si>
    <t>2011 r.-2013***</t>
  </si>
  <si>
    <t>2011-2013 r.***</t>
  </si>
  <si>
    <t>60060014/6058/6059</t>
  </si>
  <si>
    <t>Dotacje celowe otrzymane z gminy na inwestycje i zakupy inwestycyjne realizowane na podstawie porozumień (umów) między jednostkami samorządu terytorialnego  </t>
  </si>
  <si>
    <t xml:space="preserve">Sprzęt  informatyczny  z   oprogramowaniem </t>
  </si>
  <si>
    <t>Sprzęt  informatyczny  z   oprogramowaniem ,  inne  biurowe</t>
  </si>
  <si>
    <t xml:space="preserve">Udział w finansowaniu inwestycji w budynku przy ul. Szosa Chełmińska 30/32 , montaż   drzwi  ppoż.  </t>
  </si>
  <si>
    <t xml:space="preserve">RAZEM  INWESTYCJE </t>
  </si>
  <si>
    <t>LP.</t>
  </si>
  <si>
    <t xml:space="preserve">Sprzęt  informatyczny  z   oprogramowaniem ,  inny   biurowy </t>
  </si>
  <si>
    <t xml:space="preserve">Udział w finansowaniu inwestycji w budynku przy ul. Szosa Chełmińska 30/32 , montaż   drzwi  ppoż.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</si>
  <si>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</si>
  <si>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Rozliczenia
z budżetem
z tytułu wpłat nadwyżek środków za 2008 r.</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</si>
  <si>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</si>
  <si>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</si>
  <si>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</si>
  <si>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</si>
  <si>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</si>
  <si>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</si>
  <si>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4018/4019</t>
  </si>
  <si>
    <t>4118/4119</t>
  </si>
  <si>
    <t>4128/4129</t>
  </si>
  <si>
    <t>4448/4449</t>
  </si>
  <si>
    <t>4758/4759</t>
  </si>
  <si>
    <t>833-85333</t>
  </si>
  <si>
    <t>10A</t>
  </si>
  <si>
    <t>Budowa  zaplecza sportowego  dla  Zespołu  Szkół  Średnich   w  Chełmży -2009-2010</t>
  </si>
  <si>
    <t>10b</t>
  </si>
  <si>
    <t>Baza  sportowa  dla  Z.SZ. CKU   w  Gronowie  i  środowiska  lokalnego  oraz  zaplecze gastronomiczne -2011-2014</t>
  </si>
  <si>
    <t xml:space="preserve">Z.SZ.  CKU  GRONOWO </t>
  </si>
  <si>
    <t>2011-2014</t>
  </si>
  <si>
    <t>Limity wydatków na wieloletnie programy inwestycyjne w latach 2008 - 2010 z  uwzględnieniem  planowania   do  2014 r.</t>
  </si>
  <si>
    <t>Modernizacja   systemu   dróg  powiatowych  łączących  się   z  drogami  wyższej  kategorii  szansą   na  poprawę  konkurencyjności  gospodarczej   , wzrost   atrakcyjności  oraz  poziomu   bezpieczeństwa-zgodnie  z  poz. nr    w załączniku  nr   3  .Inwestycje  na   drogach  :2021-Świerczynki  -Ostaszewo, 2138-Sitno-Mazowsze-Czernikowo, 2019-Chełmża-Brąchnowo-Pigża, 2004-Łążyn-Smolno,2031-Zelgno-Zelgno-Bezdół,2010-Turzno-Rogówko-Lubicz Dolny ,2023-Chełmża-Węgorzyn ,  2009-Brzeżno -Młyniec -Lubicz Dolny , 2010-Turzno-Rogówko-Lubicz Dolny,2005-Łubianka -Zamek Bierzgłowski-Czarne  Błoto,1716 Płużnica -Bocień-Dźwierzno,2037-Dobrzejewice -Świętosław-Mazowsze .</t>
  </si>
  <si>
    <t xml:space="preserve">2008  rok </t>
  </si>
  <si>
    <t>Szpitale ogólne</t>
  </si>
  <si>
    <t>Wydatki na zakup i objęcie akcji oraz wniesienie wkładów do spółek prawa handlowego</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</si>
  <si>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</si>
  <si>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</si>
  <si>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</si>
  <si>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</si>
  <si>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</si>
  <si>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</si>
  <si>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</si>
  <si>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</si>
  <si>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</si>
  <si>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</si>
  <si>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</si>
  <si>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</si>
  <si>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</si>
  <si>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</si>
  <si>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Budynek  przy ul. Szosa Chełmińska 30/32- montaż   drzwi  ppoż.,instalacje  klap przeciwdymowych   -  w  tym udział innych   podmiotów  mających  siedzibę   w   budynku.</t>
  </si>
  <si>
    <t>Wniesienie   wkładu  do  spółki prawa   handlowego</t>
  </si>
  <si>
    <t xml:space="preserve">Przebudowa obiektu   w  Chełmży  przy  ul.  Hallera   25  na potrzeby  Placówki  Opiekuńczo-Wychowawczej   w  Głuchowie </t>
  </si>
  <si>
    <t xml:space="preserve">Standardy   w DPS  Wielka Nieszawka </t>
  </si>
  <si>
    <t xml:space="preserve">Przebudowa mostu  drogowego na  przepust  przez  rzekę  Lubianka   w  ciągu  drogi  powiatowej   nr 2132 Sitno-Działyń -Czernikowo   w  km 8+689  w  miejscowości  Kijaszkowo </t>
  </si>
  <si>
    <t xml:space="preserve">Zabezpieczenia   budynku    nr    2  w  Browinie   przed   zalewaniem  (  30.000   zł  )  +   prace   termomodernizacyjne  w  budynku   nr    1    w   Browinie   (   150.000   zł  )  </t>
  </si>
  <si>
    <t>Sprzęt  informatyczny  z   oprogramowaniem ,inny biurowy,licencje ,itp.</t>
  </si>
  <si>
    <t>Budynek  przy ul. Szosa Chełmińska 30/32- montaż   drzwi  ppoż.,instalacje  klap przeciwdymowych   -  w  tym udział innych   podmiotów  mających  siedzibę   w   budynku  .</t>
  </si>
  <si>
    <t>Zakup   nieruchomości    zabudowanej    w Toruniu -</t>
  </si>
  <si>
    <t>PFZGiK</t>
  </si>
  <si>
    <t xml:space="preserve">Standardy   w DPS  Wielka Nieszawka  w   2008 </t>
  </si>
  <si>
    <t>Standardy   w DPS  Browina     w  2008</t>
  </si>
  <si>
    <t xml:space="preserve">Sprzęt  do utrzymania  zieleni w  2008 -  PZD   w  Toruniu </t>
  </si>
  <si>
    <t xml:space="preserve">Zabezpieczenia   budynku    nr    2  w  Browinie   przed   zalewaniem  (  30.000   zł  )  +   prace   termomodernizacyjne  w  budynku   nr    1    w   Browinie   (   150.000   zł  )  -  od  2007  roku </t>
  </si>
  <si>
    <t xml:space="preserve">Wniesienie   wkładu  do  spółki prawa   handlowego(  łącznie   z  aportem  ) </t>
  </si>
  <si>
    <t xml:space="preserve">Kary i odszkodowania wypłacone   na  rzecz  osób  fizycznych </t>
  </si>
  <si>
    <t>Wydatki na  zakupy inwestycyjne jednostek budżetowych</t>
  </si>
  <si>
    <t xml:space="preserve">Filharmonie , orkiestry , chóry ,  kapele </t>
  </si>
  <si>
    <t>Pompa   obiegowa</t>
  </si>
  <si>
    <t>j.w</t>
  </si>
  <si>
    <t xml:space="preserve">pompa  obiegowa </t>
  </si>
  <si>
    <t xml:space="preserve">Powiatowe  Centra Pomocy  Rodzinie </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</si>
  <si>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</si>
  <si>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</si>
  <si>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</si>
  <si>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</si>
  <si>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</si>
  <si>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</si>
  <si>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</si>
  <si>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</si>
  <si>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</si>
  <si>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</si>
  <si>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</si>
  <si>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</si>
  <si>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</si>
  <si>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</si>
  <si>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</si>
  <si>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</si>
  <si>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</si>
  <si>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</si>
  <si>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</si>
  <si>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</si>
  <si>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</si>
  <si>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</si>
  <si>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</si>
  <si>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</si>
  <si>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</si>
  <si>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</si>
  <si>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</si>
  <si>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</si>
  <si>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</si>
  <si>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</si>
  <si>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</si>
  <si>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</si>
  <si>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</si>
  <si>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</si>
  <si>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</si>
  <si>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</si>
  <si>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</si>
  <si>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</si>
  <si>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</si>
  <si>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</si>
  <si>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</si>
  <si>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</si>
  <si>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</si>
  <si>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</si>
  <si>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</si>
  <si>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</si>
  <si>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</si>
  <si>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</si>
  <si>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</si>
  <si>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</si>
  <si>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</si>
  <si>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</si>
  <si>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</si>
  <si>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</si>
  <si>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</si>
  <si>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</si>
  <si>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</si>
  <si>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</si>
  <si>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</si>
  <si>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</si>
  <si>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</si>
  <si>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</si>
  <si>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</si>
  <si>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</si>
  <si>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</si>
  <si>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</si>
  <si>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</si>
  <si>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</si>
  <si>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</si>
  <si>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</si>
  <si>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</si>
  <si>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</si>
  <si>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</si>
  <si>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Nazwa jednostki
 otrzymującej dotację</t>
  </si>
  <si>
    <t>Zakres</t>
  </si>
  <si>
    <t>Planowane wydatki</t>
  </si>
  <si>
    <t>Projekt</t>
  </si>
  <si>
    <t>Kategoria interwencji funduszy strukturalnych</t>
  </si>
  <si>
    <t>Środki z budżetu UE</t>
  </si>
  <si>
    <t>Wydatki razem (9+13)</t>
  </si>
  <si>
    <t>z tego:</t>
  </si>
  <si>
    <t>Środki z budżetu krajowego**</t>
  </si>
  <si>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</si>
  <si>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</si>
  <si>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</si>
  <si>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</si>
  <si>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</si>
  <si>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</si>
  <si>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</si>
  <si>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</si>
  <si>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</si>
  <si>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</si>
  <si>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</si>
  <si>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</si>
  <si>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</si>
  <si>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</si>
  <si>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</si>
  <si>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</si>
  <si>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</si>
  <si>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</si>
  <si>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</si>
  <si>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</si>
  <si>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</si>
  <si>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</si>
  <si>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</si>
  <si>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</si>
  <si>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</si>
  <si>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</si>
  <si>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</si>
  <si>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</si>
  <si>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</si>
  <si>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</si>
  <si>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</si>
  <si>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</si>
  <si>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</si>
  <si>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</si>
  <si>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</si>
  <si>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wynagrodzenia</t>
  </si>
  <si>
    <t>pochodne od wynagrodzeń</t>
  </si>
  <si>
    <t>Wydatki
bieżące</t>
  </si>
  <si>
    <t>Wydatki
majątkowe</t>
  </si>
  <si>
    <t>Dotacje
ogółem</t>
  </si>
  <si>
    <t>kredyty
i pożyczki</t>
  </si>
  <si>
    <t>środki wymienione
w art. 5 ust. 1 pkt 2 i 3 u.f.p.</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</si>
  <si>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</si>
  <si>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</si>
  <si>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</si>
  <si>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</si>
  <si>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</si>
  <si>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</si>
  <si>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</si>
  <si>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</si>
  <si>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</si>
  <si>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</si>
  <si>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</si>
  <si>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</si>
  <si>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</si>
  <si>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</si>
  <si>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</si>
  <si>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</si>
  <si>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</si>
  <si>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</si>
  <si>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</si>
  <si>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</si>
  <si>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2010 r.</t>
  </si>
  <si>
    <t>rok budżetowy 2008 (8+9+10+11)</t>
  </si>
  <si>
    <t xml:space="preserve">Budowa   chodników  przy   drogach  powiatowych   realizowana  od 2005  roku </t>
  </si>
  <si>
    <t>Z.SZ.  W  CHEŁMŻY</t>
  </si>
  <si>
    <t xml:space="preserve">DOCHODY BIEŻĄCE </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</si>
</sst>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s>
  <fonts count="62">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8"/>
      <name val="Times New Roman"/>
      <family val="1"/>
    </font>
    <font>
      <sz val="10"/>
      <name val="Times New Roman"/>
      <family val="1"/>
    </font>
    <font>
      <b/>
      <u val="single"/>
      <sz val="12"/>
      <name val="Times New Roman"/>
      <family val="1"/>
    </font>
    <font>
      <b/>
      <sz val="12"/>
      <name val="Times New Roman"/>
      <family val="1"/>
    </font>
    <font>
      <b/>
      <u val="single"/>
      <sz val="10"/>
      <name val="Times New Roman"/>
      <family val="1"/>
    </font>
    <font>
      <b/>
      <sz val="10"/>
      <name val="Times New Roman"/>
      <family val="1"/>
    </font>
    <font>
      <sz val="9"/>
      <name val="Times New Roman"/>
      <family val="1"/>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hair"/>
      <bottom>
        <color indexed="63"/>
      </bottom>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medium">
        <color indexed="8"/>
      </left>
      <right style="medium">
        <color indexed="8"/>
      </right>
      <top style="medium">
        <color indexed="8"/>
      </top>
      <bottom style="medium">
        <color indexed="8"/>
      </bottom>
    </border>
    <border>
      <left>
        <color indexed="63"/>
      </left>
      <right style="thin"/>
      <top>
        <color indexed="63"/>
      </top>
      <bottom style="thin"/>
    </border>
    <border>
      <left>
        <color indexed="63"/>
      </left>
      <right>
        <color indexed="63"/>
      </right>
      <top style="medium"/>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6" fillId="12"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9" borderId="0" applyNumberFormat="0" applyBorder="0" applyAlignment="0" applyProtection="0"/>
    <xf numFmtId="0" fontId="47" fillId="7" borderId="1" applyNumberFormat="0" applyAlignment="0" applyProtection="0"/>
    <xf numFmtId="0" fontId="48" fillId="20" borderId="2" applyNumberFormat="0" applyAlignment="0" applyProtection="0"/>
    <xf numFmtId="0" fontId="49"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50" fillId="0" borderId="3" applyNumberFormat="0" applyFill="0" applyAlignment="0" applyProtection="0"/>
    <xf numFmtId="0" fontId="51" fillId="21"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22" borderId="0" applyNumberFormat="0" applyBorder="0" applyAlignment="0" applyProtection="0"/>
    <xf numFmtId="0" fontId="10" fillId="0" borderId="0">
      <alignment/>
      <protection/>
    </xf>
    <xf numFmtId="0" fontId="56" fillId="20" borderId="1" applyNumberFormat="0" applyAlignment="0" applyProtection="0"/>
    <xf numFmtId="0" fontId="21" fillId="0" borderId="0" applyNumberFormat="0" applyFill="0" applyBorder="0" applyAlignment="0" applyProtection="0"/>
    <xf numFmtId="9" fontId="0" fillId="0" borderId="0" applyFont="0" applyFill="0" applyBorder="0" applyAlignment="0" applyProtection="0"/>
    <xf numFmtId="0" fontId="57" fillId="0" borderId="8"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 borderId="0" applyNumberFormat="0" applyBorder="0" applyAlignment="0" applyProtection="0"/>
  </cellStyleXfs>
  <cellXfs count="558">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52" applyFont="1">
      <alignment/>
      <protection/>
    </xf>
    <xf numFmtId="0" fontId="13"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0" fillId="0" borderId="11" xfId="0" applyFont="1" applyBorder="1" applyAlignment="1">
      <alignment/>
    </xf>
    <xf numFmtId="0" fontId="4" fillId="0" borderId="10" xfId="0" applyFont="1" applyBorder="1" applyAlignment="1">
      <alignment horizontal="left" vertical="center"/>
    </xf>
    <xf numFmtId="0" fontId="15" fillId="0" borderId="0" xfId="0" applyFont="1" applyAlignment="1">
      <alignment vertical="center"/>
    </xf>
    <xf numFmtId="0" fontId="11" fillId="20" borderId="10" xfId="52" applyFont="1" applyFill="1" applyBorder="1" applyAlignment="1">
      <alignment horizontal="center" vertical="center" wrapText="1"/>
      <protection/>
    </xf>
    <xf numFmtId="0" fontId="11" fillId="0" borderId="10" xfId="52"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0" xfId="0" applyFont="1" applyBorder="1" applyAlignment="1">
      <alignment horizontal="center" vertical="center" wrapText="1"/>
    </xf>
    <xf numFmtId="0" fontId="15" fillId="0" borderId="0" xfId="0" applyFont="1" applyAlignment="1">
      <alignment/>
    </xf>
    <xf numFmtId="0" fontId="19" fillId="0" borderId="14"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11" xfId="52" applyFont="1" applyBorder="1" applyAlignment="1">
      <alignment horizontal="center"/>
      <protection/>
    </xf>
    <xf numFmtId="0" fontId="12" fillId="0" borderId="12" xfId="52" applyFont="1" applyBorder="1">
      <alignment/>
      <protection/>
    </xf>
    <xf numFmtId="0" fontId="11" fillId="0" borderId="12" xfId="52" applyFont="1" applyBorder="1" applyAlignment="1">
      <alignment horizontal="center"/>
      <protection/>
    </xf>
    <xf numFmtId="0" fontId="18" fillId="0" borderId="10" xfId="0" applyFont="1" applyBorder="1" applyAlignment="1">
      <alignment horizontal="center" wrapText="1"/>
    </xf>
    <xf numFmtId="0" fontId="18" fillId="0" borderId="10" xfId="0" applyFont="1" applyBorder="1" applyAlignment="1">
      <alignment horizontal="left" wrapText="1" indent="1"/>
    </xf>
    <xf numFmtId="0" fontId="18" fillId="0" borderId="10" xfId="0" applyFont="1" applyBorder="1" applyAlignment="1">
      <alignment wrapText="1"/>
    </xf>
    <xf numFmtId="0" fontId="15" fillId="0" borderId="10" xfId="0" applyFont="1" applyBorder="1" applyAlignment="1">
      <alignment horizontal="left" wrapText="1" indent="1"/>
    </xf>
    <xf numFmtId="0" fontId="15" fillId="0" borderId="10" xfId="0" applyFont="1" applyBorder="1" applyAlignment="1">
      <alignment horizontal="left" wrapText="1" indent="8"/>
    </xf>
    <xf numFmtId="0" fontId="15" fillId="0" borderId="10" xfId="0" applyFont="1" applyBorder="1" applyAlignment="1">
      <alignment horizontal="center" wrapText="1"/>
    </xf>
    <xf numFmtId="0" fontId="13" fillId="0" borderId="10" xfId="0" applyFont="1" applyBorder="1" applyAlignment="1">
      <alignment horizontal="center" wrapText="1"/>
    </xf>
    <xf numFmtId="0" fontId="13" fillId="0" borderId="0" xfId="0" applyFont="1" applyAlignment="1">
      <alignment/>
    </xf>
    <xf numFmtId="0" fontId="18" fillId="20" borderId="10" xfId="0" applyFont="1" applyFill="1" applyBorder="1" applyAlignment="1">
      <alignment horizontal="center" vertical="center" wrapText="1"/>
    </xf>
    <xf numFmtId="0" fontId="0" fillId="0" borderId="0" xfId="0" applyAlignment="1">
      <alignment horizontal="right" vertical="center"/>
    </xf>
    <xf numFmtId="0" fontId="18"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1" fillId="0" borderId="11" xfId="52" applyFont="1" applyBorder="1">
      <alignment/>
      <protection/>
    </xf>
    <xf numFmtId="0" fontId="11" fillId="0" borderId="0" xfId="52" applyFont="1">
      <alignment/>
      <protection/>
    </xf>
    <xf numFmtId="0" fontId="22" fillId="0" borderId="10"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52" applyFont="1">
      <alignment/>
      <protection/>
    </xf>
    <xf numFmtId="0" fontId="4" fillId="20" borderId="15"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0" xfId="0" applyFont="1" applyBorder="1" applyAlignment="1">
      <alignment wrapText="1"/>
    </xf>
    <xf numFmtId="0" fontId="24" fillId="0" borderId="10" xfId="0" applyFont="1" applyBorder="1" applyAlignment="1">
      <alignment horizontal="center" vertical="center" shrinkToFit="1"/>
    </xf>
    <xf numFmtId="1" fontId="24" fillId="0" borderId="10" xfId="0" applyNumberFormat="1" applyFont="1" applyBorder="1" applyAlignment="1">
      <alignment horizontal="center" vertical="center"/>
    </xf>
    <xf numFmtId="1" fontId="24" fillId="0" borderId="10" xfId="0" applyNumberFormat="1" applyFont="1" applyBorder="1" applyAlignment="1">
      <alignment horizontal="left" vertical="center" wrapText="1" shrinkToFit="1"/>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shrinkToFit="1"/>
    </xf>
    <xf numFmtId="1" fontId="0" fillId="0" borderId="10" xfId="0" applyNumberFormat="1" applyFont="1" applyBorder="1" applyAlignment="1">
      <alignment vertical="center" wrapText="1" shrinkToFit="1"/>
    </xf>
    <xf numFmtId="1" fontId="4" fillId="0" borderId="10" xfId="0" applyNumberFormat="1" applyFont="1" applyBorder="1" applyAlignment="1">
      <alignment horizontal="center" vertical="center"/>
    </xf>
    <xf numFmtId="0" fontId="24" fillId="0" borderId="10" xfId="0" applyFont="1" applyBorder="1" applyAlignment="1">
      <alignment shrinkToFit="1"/>
    </xf>
    <xf numFmtId="1" fontId="0" fillId="0" borderId="10" xfId="0" applyNumberFormat="1" applyFont="1" applyBorder="1" applyAlignment="1">
      <alignment/>
    </xf>
    <xf numFmtId="1" fontId="0" fillId="0" borderId="10" xfId="0" applyNumberFormat="1" applyFont="1" applyBorder="1" applyAlignment="1">
      <alignment wrapText="1" shrinkToFit="1"/>
    </xf>
    <xf numFmtId="1" fontId="4" fillId="0" borderId="10" xfId="0" applyNumberFormat="1" applyFont="1" applyBorder="1" applyAlignment="1">
      <alignment vertical="center" wrapText="1" shrinkToFit="1"/>
    </xf>
    <xf numFmtId="1" fontId="24" fillId="0" borderId="10" xfId="0" applyNumberFormat="1" applyFont="1" applyBorder="1" applyAlignment="1">
      <alignment vertical="center" wrapText="1" shrinkToFit="1"/>
    </xf>
    <xf numFmtId="0" fontId="0" fillId="0" borderId="10" xfId="0" applyFont="1" applyBorder="1" applyAlignment="1">
      <alignment horizontal="center" vertical="center"/>
    </xf>
    <xf numFmtId="1" fontId="0" fillId="0" borderId="10" xfId="0" applyNumberFormat="1" applyFont="1" applyBorder="1" applyAlignment="1">
      <alignment horizontal="left" vertical="center" wrapText="1"/>
    </xf>
    <xf numFmtId="0" fontId="24" fillId="0" borderId="10" xfId="0" applyFont="1" applyFill="1" applyBorder="1" applyAlignment="1">
      <alignment horizontal="center" vertical="center" shrinkToFit="1"/>
    </xf>
    <xf numFmtId="0" fontId="24" fillId="0" borderId="10" xfId="0" applyFont="1" applyBorder="1" applyAlignment="1">
      <alignment horizontal="center" vertical="center"/>
    </xf>
    <xf numFmtId="0" fontId="24" fillId="0" borderId="10" xfId="0" applyFont="1" applyBorder="1" applyAlignment="1">
      <alignment vertical="center" wrapText="1"/>
    </xf>
    <xf numFmtId="0" fontId="4" fillId="0" borderId="10" xfId="0" applyFont="1" applyBorder="1" applyAlignment="1">
      <alignment vertical="center" wrapText="1"/>
    </xf>
    <xf numFmtId="3" fontId="0" fillId="0" borderId="10" xfId="0" applyNumberFormat="1" applyFont="1" applyBorder="1" applyAlignment="1">
      <alignment vertical="center" wrapText="1"/>
    </xf>
    <xf numFmtId="1" fontId="9" fillId="0" borderId="10" xfId="0" applyNumberFormat="1" applyFont="1" applyBorder="1" applyAlignment="1">
      <alignment vertical="center" wrapText="1" shrinkToFit="1"/>
    </xf>
    <xf numFmtId="0" fontId="25" fillId="0" borderId="10" xfId="0" applyFont="1" applyBorder="1" applyAlignment="1">
      <alignment wrapText="1"/>
    </xf>
    <xf numFmtId="0" fontId="4" fillId="0" borderId="10" xfId="0" applyFont="1" applyBorder="1" applyAlignment="1">
      <alignment wrapText="1"/>
    </xf>
    <xf numFmtId="1" fontId="4" fillId="0" borderId="10" xfId="0" applyNumberFormat="1" applyFont="1" applyBorder="1" applyAlignment="1">
      <alignment vertical="center" wrapText="1" shrinkToFit="1"/>
    </xf>
    <xf numFmtId="0" fontId="0" fillId="0" borderId="10" xfId="0" applyBorder="1" applyAlignment="1">
      <alignment/>
    </xf>
    <xf numFmtId="3" fontId="18" fillId="20" borderId="10"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14"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0" fontId="26" fillId="0" borderId="0" xfId="0" applyFont="1" applyAlignment="1">
      <alignment/>
    </xf>
    <xf numFmtId="0" fontId="24" fillId="0" borderId="10" xfId="0" applyFont="1" applyBorder="1" applyAlignment="1">
      <alignment horizontal="center" vertical="center" shrinkToFit="1"/>
    </xf>
    <xf numFmtId="0" fontId="4" fillId="0" borderId="10" xfId="0" applyFont="1" applyBorder="1" applyAlignment="1">
      <alignment/>
    </xf>
    <xf numFmtId="3" fontId="9"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0" xfId="0" applyNumberFormat="1" applyFont="1" applyBorder="1" applyAlignment="1">
      <alignment horizontal="center" vertical="center"/>
    </xf>
    <xf numFmtId="0" fontId="4" fillId="0" borderId="10" xfId="0" applyFont="1" applyFill="1" applyBorder="1" applyAlignment="1">
      <alignment/>
    </xf>
    <xf numFmtId="0" fontId="4" fillId="0" borderId="10" xfId="0" applyFont="1" applyFill="1" applyBorder="1" applyAlignment="1">
      <alignment wrapText="1"/>
    </xf>
    <xf numFmtId="0" fontId="25" fillId="0" borderId="10" xfId="0" applyFont="1" applyFill="1" applyBorder="1" applyAlignment="1">
      <alignment wrapText="1"/>
    </xf>
    <xf numFmtId="3" fontId="0" fillId="0" borderId="10" xfId="0" applyNumberFormat="1" applyBorder="1" applyAlignment="1">
      <alignment vertical="center"/>
    </xf>
    <xf numFmtId="0" fontId="24" fillId="0" borderId="10" xfId="0" applyFont="1" applyBorder="1" applyAlignment="1">
      <alignment/>
    </xf>
    <xf numFmtId="0" fontId="24" fillId="0" borderId="10" xfId="0" applyFont="1" applyBorder="1" applyAlignment="1">
      <alignment wrapText="1"/>
    </xf>
    <xf numFmtId="0" fontId="27" fillId="0" borderId="10" xfId="0" applyFont="1" applyBorder="1" applyAlignment="1">
      <alignment wrapText="1"/>
    </xf>
    <xf numFmtId="3" fontId="24" fillId="0" borderId="10" xfId="0" applyNumberFormat="1" applyFont="1" applyBorder="1" applyAlignment="1">
      <alignment vertical="center"/>
    </xf>
    <xf numFmtId="0" fontId="24" fillId="0" borderId="0" xfId="0" applyFont="1" applyAlignment="1">
      <alignment/>
    </xf>
    <xf numFmtId="0" fontId="4" fillId="0" borderId="10" xfId="0" applyFont="1" applyBorder="1" applyAlignment="1">
      <alignment/>
    </xf>
    <xf numFmtId="3" fontId="4" fillId="0" borderId="10" xfId="0" applyNumberFormat="1" applyFont="1" applyBorder="1" applyAlignment="1">
      <alignment vertical="center"/>
    </xf>
    <xf numFmtId="0" fontId="4" fillId="0" borderId="0" xfId="0" applyFont="1" applyAlignment="1">
      <alignment/>
    </xf>
    <xf numFmtId="0" fontId="0" fillId="0" borderId="10" xfId="0" applyFont="1" applyBorder="1" applyAlignment="1">
      <alignment/>
    </xf>
    <xf numFmtId="0" fontId="0" fillId="0" borderId="10" xfId="0" applyFont="1" applyBorder="1" applyAlignment="1">
      <alignment wrapText="1"/>
    </xf>
    <xf numFmtId="0" fontId="9" fillId="0" borderId="10" xfId="0" applyFont="1" applyBorder="1" applyAlignment="1">
      <alignment wrapText="1"/>
    </xf>
    <xf numFmtId="3" fontId="0" fillId="0" borderId="10" xfId="0" applyNumberFormat="1" applyFont="1" applyBorder="1" applyAlignment="1">
      <alignment vertical="center"/>
    </xf>
    <xf numFmtId="0" fontId="0" fillId="0" borderId="10" xfId="0" applyFont="1" applyBorder="1" applyAlignment="1">
      <alignment horizontal="right"/>
    </xf>
    <xf numFmtId="3" fontId="0" fillId="0" borderId="10" xfId="0" applyNumberFormat="1" applyBorder="1" applyAlignment="1">
      <alignment/>
    </xf>
    <xf numFmtId="3" fontId="24" fillId="0" borderId="10" xfId="0" applyNumberFormat="1" applyFont="1" applyBorder="1" applyAlignment="1">
      <alignment/>
    </xf>
    <xf numFmtId="3" fontId="4" fillId="0" borderId="10" xfId="0" applyNumberFormat="1" applyFont="1" applyBorder="1" applyAlignment="1">
      <alignment/>
    </xf>
    <xf numFmtId="0" fontId="0" fillId="0" borderId="15" xfId="0" applyFont="1" applyBorder="1" applyAlignment="1">
      <alignment/>
    </xf>
    <xf numFmtId="0" fontId="0" fillId="0" borderId="15" xfId="0" applyFont="1" applyBorder="1" applyAlignment="1">
      <alignment wrapText="1"/>
    </xf>
    <xf numFmtId="0" fontId="9" fillId="0" borderId="15" xfId="0" applyFont="1" applyBorder="1" applyAlignment="1">
      <alignment wrapText="1"/>
    </xf>
    <xf numFmtId="3" fontId="0" fillId="0" borderId="15" xfId="0" applyNumberFormat="1" applyBorder="1" applyAlignment="1">
      <alignment/>
    </xf>
    <xf numFmtId="0" fontId="24" fillId="0" borderId="0" xfId="0" applyFont="1" applyBorder="1" applyAlignment="1">
      <alignment/>
    </xf>
    <xf numFmtId="0" fontId="4" fillId="0" borderId="10" xfId="0" applyFont="1" applyBorder="1" applyAlignment="1">
      <alignment horizontal="right"/>
    </xf>
    <xf numFmtId="1" fontId="9" fillId="0" borderId="10" xfId="0" applyNumberFormat="1" applyFont="1" applyBorder="1" applyAlignment="1">
      <alignment vertical="center" wrapText="1" shrinkToFit="1"/>
    </xf>
    <xf numFmtId="0" fontId="24" fillId="0" borderId="10" xfId="0" applyFont="1" applyBorder="1" applyAlignment="1">
      <alignment horizontal="right"/>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0" fontId="15" fillId="0" borderId="14"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0" fontId="0" fillId="0" borderId="10" xfId="0" applyBorder="1" applyAlignment="1">
      <alignment horizontal="center" vertical="center"/>
    </xf>
    <xf numFmtId="168" fontId="9" fillId="0" borderId="10" xfId="0" applyNumberFormat="1" applyFont="1" applyBorder="1" applyAlignment="1">
      <alignment wrapText="1"/>
    </xf>
    <xf numFmtId="3" fontId="3" fillId="0" borderId="0" xfId="0" applyNumberFormat="1" applyFont="1" applyAlignment="1">
      <alignment horizontal="center" vertical="center" wrapText="1"/>
    </xf>
    <xf numFmtId="3" fontId="0" fillId="0" borderId="10" xfId="0" applyNumberFormat="1" applyBorder="1" applyAlignment="1">
      <alignment vertical="center" wrapText="1"/>
    </xf>
    <xf numFmtId="0" fontId="0" fillId="0" borderId="10" xfId="0" applyBorder="1" applyAlignment="1">
      <alignment vertical="center" wrapText="1"/>
    </xf>
    <xf numFmtId="0" fontId="28" fillId="0" borderId="10" xfId="0" applyFont="1" applyBorder="1" applyAlignment="1">
      <alignment wrapText="1"/>
    </xf>
    <xf numFmtId="3" fontId="9" fillId="0" borderId="0" xfId="0" applyNumberFormat="1" applyFont="1" applyAlignment="1">
      <alignment horizontal="right" vertical="top"/>
    </xf>
    <xf numFmtId="3" fontId="22"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0" borderId="10" xfId="0" applyNumberFormat="1" applyFont="1" applyFill="1" applyBorder="1" applyAlignment="1">
      <alignment horizontal="center"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5"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3" fontId="15" fillId="0" borderId="10" xfId="0" applyNumberFormat="1" applyFont="1" applyBorder="1" applyAlignment="1">
      <alignment vertical="top" wrapText="1"/>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3" fontId="11" fillId="20" borderId="10" xfId="0" applyNumberFormat="1" applyFont="1" applyFill="1" applyBorder="1" applyAlignment="1">
      <alignment horizontal="center" vertical="center" wrapText="1"/>
    </xf>
    <xf numFmtId="3" fontId="26" fillId="0" borderId="10" xfId="0" applyNumberFormat="1" applyFont="1" applyBorder="1" applyAlignment="1">
      <alignment vertical="top" wrapText="1"/>
    </xf>
    <xf numFmtId="3" fontId="18" fillId="0" borderId="10" xfId="0" applyNumberFormat="1" applyFont="1" applyBorder="1" applyAlignment="1">
      <alignment vertical="top" wrapText="1"/>
    </xf>
    <xf numFmtId="0" fontId="15" fillId="0" borderId="10" xfId="0" applyFont="1" applyBorder="1" applyAlignment="1">
      <alignment/>
    </xf>
    <xf numFmtId="3" fontId="4" fillId="0" borderId="10" xfId="0" applyNumberFormat="1" applyFont="1" applyBorder="1" applyAlignment="1">
      <alignment vertical="top" wrapText="1"/>
    </xf>
    <xf numFmtId="0" fontId="15" fillId="0" borderId="17" xfId="0" applyFont="1" applyBorder="1" applyAlignment="1">
      <alignment horizontal="left" wrapText="1" indent="1"/>
    </xf>
    <xf numFmtId="3" fontId="15" fillId="0" borderId="10" xfId="0" applyNumberFormat="1" applyFont="1" applyBorder="1" applyAlignment="1">
      <alignment horizontal="right" vertical="top" wrapText="1"/>
    </xf>
    <xf numFmtId="3" fontId="15"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8" fillId="0" borderId="10" xfId="0" applyNumberFormat="1" applyFont="1" applyBorder="1" applyAlignment="1">
      <alignment horizontal="right" wrapText="1"/>
    </xf>
    <xf numFmtId="3" fontId="15"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5" fillId="0" borderId="18" xfId="0" applyNumberFormat="1" applyFont="1" applyBorder="1" applyAlignment="1">
      <alignment horizontal="right" vertical="top" wrapText="1"/>
    </xf>
    <xf numFmtId="3" fontId="9" fillId="0" borderId="10" xfId="0" applyNumberFormat="1" applyFont="1" applyBorder="1" applyAlignment="1">
      <alignment horizontal="right" shrinkToFit="1"/>
    </xf>
    <xf numFmtId="3" fontId="0" fillId="0" borderId="10" xfId="0" applyNumberFormat="1" applyBorder="1" applyAlignment="1">
      <alignment horizontal="right"/>
    </xf>
    <xf numFmtId="3" fontId="18" fillId="0" borderId="10" xfId="0" applyNumberFormat="1" applyFont="1" applyBorder="1" applyAlignment="1">
      <alignment horizontal="right" vertical="top" wrapText="1"/>
    </xf>
    <xf numFmtId="10" fontId="15"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2" fillId="0" borderId="19" xfId="52" applyFont="1" applyBorder="1">
      <alignment/>
      <protection/>
    </xf>
    <xf numFmtId="0" fontId="12" fillId="0" borderId="20" xfId="52" applyFont="1" applyBorder="1">
      <alignment/>
      <protection/>
    </xf>
    <xf numFmtId="0" fontId="12" fillId="0" borderId="10" xfId="52" applyFont="1" applyBorder="1">
      <alignment/>
      <protection/>
    </xf>
    <xf numFmtId="0" fontId="12" fillId="0" borderId="10" xfId="52" applyFont="1" applyBorder="1" applyAlignment="1">
      <alignment wrapText="1"/>
      <protection/>
    </xf>
    <xf numFmtId="3" fontId="12" fillId="0" borderId="10" xfId="52" applyNumberFormat="1" applyFont="1" applyBorder="1">
      <alignment/>
      <protection/>
    </xf>
    <xf numFmtId="0" fontId="12" fillId="0" borderId="10" xfId="52" applyFont="1" applyBorder="1" applyAlignment="1">
      <alignment/>
      <protection/>
    </xf>
    <xf numFmtId="3" fontId="11" fillId="0" borderId="10" xfId="52" applyNumberFormat="1" applyFont="1" applyBorder="1">
      <alignment/>
      <protection/>
    </xf>
    <xf numFmtId="0" fontId="12" fillId="0" borderId="0" xfId="52" applyFont="1" applyBorder="1">
      <alignment/>
      <protection/>
    </xf>
    <xf numFmtId="0" fontId="11" fillId="0" borderId="0" xfId="52" applyFont="1" applyBorder="1">
      <alignment/>
      <protection/>
    </xf>
    <xf numFmtId="3" fontId="15" fillId="0" borderId="21" xfId="0" applyNumberFormat="1" applyFont="1" applyBorder="1" applyAlignment="1">
      <alignment horizontal="right" vertical="top" wrapText="1"/>
    </xf>
    <xf numFmtId="0" fontId="30" fillId="0" borderId="10" xfId="52" applyFont="1" applyBorder="1">
      <alignment/>
      <protection/>
    </xf>
    <xf numFmtId="0" fontId="15" fillId="0" borderId="0" xfId="0" applyFont="1" applyAlignment="1">
      <alignment wrapText="1"/>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7" fillId="0" borderId="0" xfId="0" applyFont="1" applyAlignment="1">
      <alignment shrinkToFit="1"/>
    </xf>
    <xf numFmtId="1" fontId="31" fillId="0" borderId="0" xfId="0" applyNumberFormat="1" applyFont="1" applyBorder="1" applyAlignment="1">
      <alignment shrinkToFit="1"/>
    </xf>
    <xf numFmtId="1" fontId="7" fillId="0" borderId="0" xfId="0" applyNumberFormat="1" applyFont="1" applyAlignment="1">
      <alignment/>
    </xf>
    <xf numFmtId="3" fontId="32"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4" fillId="0" borderId="0" xfId="0" applyFont="1" applyBorder="1" applyAlignment="1">
      <alignment horizontal="center"/>
    </xf>
    <xf numFmtId="0" fontId="0" fillId="0" borderId="0" xfId="0" applyFont="1" applyBorder="1" applyAlignment="1">
      <alignment horizontal="center"/>
    </xf>
    <xf numFmtId="0" fontId="24"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31" fillId="0" borderId="10" xfId="0" applyFont="1" applyBorder="1" applyAlignment="1">
      <alignment horizontal="center" shrinkToFit="1"/>
    </xf>
    <xf numFmtId="1" fontId="31" fillId="0" borderId="10" xfId="0" applyNumberFormat="1" applyFont="1" applyBorder="1" applyAlignment="1">
      <alignment horizontal="center"/>
    </xf>
    <xf numFmtId="1" fontId="24" fillId="0" borderId="10" xfId="0" applyNumberFormat="1" applyFont="1" applyBorder="1" applyAlignment="1">
      <alignment horizontal="left" wrapText="1"/>
    </xf>
    <xf numFmtId="3" fontId="33" fillId="0" borderId="10" xfId="0" applyNumberFormat="1" applyFont="1" applyBorder="1" applyAlignment="1">
      <alignment horizontal="right" shrinkToFit="1"/>
    </xf>
    <xf numFmtId="0" fontId="7" fillId="0" borderId="10" xfId="0" applyFont="1" applyBorder="1" applyAlignment="1">
      <alignment horizontal="center" shrinkToFit="1"/>
    </xf>
    <xf numFmtId="0" fontId="34" fillId="0" borderId="10" xfId="0" applyFont="1" applyBorder="1" applyAlignment="1">
      <alignment horizontal="center" shrinkToFit="1"/>
    </xf>
    <xf numFmtId="1" fontId="7"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32" fillId="0" borderId="10" xfId="0" applyNumberFormat="1" applyFont="1" applyBorder="1" applyAlignment="1">
      <alignment horizontal="right" shrinkToFit="1"/>
    </xf>
    <xf numFmtId="0" fontId="31" fillId="0" borderId="10" xfId="0" applyFont="1" applyBorder="1" applyAlignment="1">
      <alignment shrinkToFit="1"/>
    </xf>
    <xf numFmtId="1" fontId="31" fillId="0" borderId="10" xfId="0" applyNumberFormat="1" applyFont="1" applyBorder="1" applyAlignment="1">
      <alignment/>
    </xf>
    <xf numFmtId="1" fontId="24" fillId="0" borderId="10" xfId="0" applyNumberFormat="1" applyFont="1" applyBorder="1" applyAlignment="1">
      <alignment wrapText="1"/>
    </xf>
    <xf numFmtId="3" fontId="33" fillId="0" borderId="10" xfId="0" applyNumberFormat="1" applyFont="1" applyBorder="1" applyAlignment="1">
      <alignment shrinkToFit="1"/>
    </xf>
    <xf numFmtId="0" fontId="34" fillId="0" borderId="10" xfId="0" applyFont="1" applyBorder="1" applyAlignment="1">
      <alignment shrinkToFit="1"/>
    </xf>
    <xf numFmtId="1" fontId="34"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0" borderId="10" xfId="0" applyFont="1" applyBorder="1" applyAlignment="1">
      <alignment shrinkToFit="1"/>
    </xf>
    <xf numFmtId="1" fontId="7" fillId="0" borderId="10" xfId="0" applyNumberFormat="1" applyFont="1" applyBorder="1" applyAlignment="1">
      <alignment/>
    </xf>
    <xf numFmtId="1" fontId="0" fillId="0" borderId="10" xfId="0" applyNumberFormat="1" applyFont="1" applyBorder="1" applyAlignment="1">
      <alignment wrapText="1"/>
    </xf>
    <xf numFmtId="3" fontId="32" fillId="0" borderId="10" xfId="0" applyNumberFormat="1" applyFont="1" applyBorder="1" applyAlignment="1">
      <alignment shrinkToFit="1"/>
    </xf>
    <xf numFmtId="0" fontId="34" fillId="0" borderId="10" xfId="0" applyFont="1" applyBorder="1" applyAlignment="1">
      <alignment shrinkToFit="1"/>
    </xf>
    <xf numFmtId="1" fontId="34"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24" borderId="22" xfId="0" applyFont="1" applyFill="1" applyBorder="1" applyAlignment="1">
      <alignment shrinkToFit="1"/>
    </xf>
    <xf numFmtId="0" fontId="7" fillId="24" borderId="23" xfId="0" applyFont="1" applyFill="1" applyBorder="1" applyAlignment="1">
      <alignment shrinkToFit="1"/>
    </xf>
    <xf numFmtId="1" fontId="7" fillId="24" borderId="23" xfId="0" applyNumberFormat="1" applyFont="1" applyFill="1" applyBorder="1" applyAlignment="1">
      <alignment/>
    </xf>
    <xf numFmtId="1" fontId="0" fillId="24" borderId="24" xfId="0" applyNumberFormat="1" applyFont="1" applyFill="1" applyBorder="1" applyAlignment="1">
      <alignment wrapText="1"/>
    </xf>
    <xf numFmtId="3" fontId="7" fillId="24" borderId="23" xfId="0" applyNumberFormat="1" applyFont="1" applyFill="1" applyBorder="1" applyAlignment="1">
      <alignment wrapText="1" shrinkToFit="1"/>
    </xf>
    <xf numFmtId="0" fontId="0" fillId="0" borderId="15" xfId="0" applyBorder="1" applyAlignment="1">
      <alignment vertical="center"/>
    </xf>
    <xf numFmtId="0" fontId="9" fillId="0" borderId="0" xfId="0" applyFont="1" applyAlignment="1">
      <alignment vertical="center"/>
    </xf>
    <xf numFmtId="0" fontId="9" fillId="0" borderId="15" xfId="0" applyFont="1" applyBorder="1" applyAlignment="1">
      <alignment vertical="center"/>
    </xf>
    <xf numFmtId="3" fontId="0" fillId="0" borderId="10" xfId="0" applyNumberFormat="1" applyFont="1" applyBorder="1" applyAlignment="1">
      <alignment vertical="top" wrapText="1"/>
    </xf>
    <xf numFmtId="3"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wrapText="1"/>
    </xf>
    <xf numFmtId="0" fontId="9" fillId="0" borderId="10" xfId="0" applyFont="1" applyBorder="1" applyAlignment="1">
      <alignment wrapText="1"/>
    </xf>
    <xf numFmtId="3" fontId="35" fillId="20" borderId="10" xfId="0" applyNumberFormat="1" applyFont="1" applyFill="1" applyBorder="1" applyAlignment="1">
      <alignment horizontal="center" vertical="center" wrapText="1"/>
    </xf>
    <xf numFmtId="3" fontId="11" fillId="25" borderId="20" xfId="52" applyNumberFormat="1" applyFont="1" applyFill="1" applyBorder="1">
      <alignment/>
      <protection/>
    </xf>
    <xf numFmtId="3" fontId="11" fillId="25" borderId="15" xfId="52" applyNumberFormat="1" applyFont="1" applyFill="1" applyBorder="1">
      <alignment/>
      <protection/>
    </xf>
    <xf numFmtId="3" fontId="0" fillId="25" borderId="18" xfId="0" applyNumberFormat="1" applyFill="1" applyBorder="1" applyAlignment="1">
      <alignment vertical="center"/>
    </xf>
    <xf numFmtId="3" fontId="4" fillId="25" borderId="10" xfId="0" applyNumberFormat="1" applyFont="1" applyFill="1" applyBorder="1" applyAlignment="1">
      <alignment vertical="center"/>
    </xf>
    <xf numFmtId="3" fontId="0" fillId="25" borderId="18" xfId="0" applyNumberFormat="1" applyFont="1" applyFill="1" applyBorder="1" applyAlignment="1">
      <alignment horizontal="center" vertical="center"/>
    </xf>
    <xf numFmtId="0" fontId="7" fillId="0" borderId="10" xfId="0" applyFont="1" applyBorder="1" applyAlignment="1">
      <alignment vertical="center" wrapText="1"/>
    </xf>
    <xf numFmtId="0" fontId="4" fillId="20" borderId="16" xfId="0" applyFont="1" applyFill="1" applyBorder="1" applyAlignment="1">
      <alignment horizontal="center" vertical="center"/>
    </xf>
    <xf numFmtId="0" fontId="4" fillId="20" borderId="14" xfId="0" applyFont="1" applyFill="1" applyBorder="1" applyAlignment="1">
      <alignment horizontal="center" vertical="center"/>
    </xf>
    <xf numFmtId="3" fontId="4" fillId="20" borderId="14" xfId="0" applyNumberFormat="1" applyFont="1" applyFill="1" applyBorder="1" applyAlignment="1">
      <alignment horizontal="center" vertical="center"/>
    </xf>
    <xf numFmtId="3" fontId="4" fillId="20" borderId="14" xfId="0" applyNumberFormat="1" applyFont="1" applyFill="1" applyBorder="1" applyAlignment="1">
      <alignment horizontal="center" vertical="center" wrapText="1"/>
    </xf>
    <xf numFmtId="3" fontId="25" fillId="2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28" fillId="0" borderId="10" xfId="0" applyFont="1" applyBorder="1" applyAlignment="1">
      <alignment horizontal="center" wrapText="1"/>
    </xf>
    <xf numFmtId="0" fontId="18" fillId="0" borderId="10" xfId="0" applyFont="1" applyBorder="1" applyAlignment="1">
      <alignment/>
    </xf>
    <xf numFmtId="0" fontId="0" fillId="0" borderId="20" xfId="0" applyBorder="1" applyAlignment="1">
      <alignment horizontal="center" vertical="center"/>
    </xf>
    <xf numFmtId="0" fontId="0" fillId="0" borderId="20" xfId="0" applyBorder="1" applyAlignment="1">
      <alignment vertical="center" wrapText="1"/>
    </xf>
    <xf numFmtId="3" fontId="0" fillId="0" borderId="20" xfId="0" applyNumberFormat="1" applyBorder="1" applyAlignment="1">
      <alignment vertical="center"/>
    </xf>
    <xf numFmtId="3" fontId="0" fillId="0" borderId="20" xfId="0" applyNumberFormat="1" applyBorder="1" applyAlignment="1">
      <alignment horizontal="center" vertical="center"/>
    </xf>
    <xf numFmtId="0" fontId="0" fillId="0" borderId="19" xfId="0" applyBorder="1" applyAlignment="1">
      <alignment vertical="center"/>
    </xf>
    <xf numFmtId="0" fontId="0" fillId="0" borderId="19" xfId="0" applyBorder="1" applyAlignment="1">
      <alignment horizontal="left" vertical="center" indent="1"/>
    </xf>
    <xf numFmtId="3" fontId="0" fillId="0" borderId="19" xfId="0" applyNumberFormat="1" applyBorder="1" applyAlignment="1">
      <alignment vertical="center"/>
    </xf>
    <xf numFmtId="3" fontId="0" fillId="0" borderId="19" xfId="0" applyNumberForma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vertical="center" wrapText="1"/>
    </xf>
    <xf numFmtId="3" fontId="4" fillId="0" borderId="26" xfId="0" applyNumberFormat="1" applyFont="1" applyBorder="1" applyAlignment="1">
      <alignment vertical="center"/>
    </xf>
    <xf numFmtId="3" fontId="4" fillId="0" borderId="26" xfId="0" applyNumberFormat="1" applyFont="1" applyBorder="1" applyAlignment="1">
      <alignment horizontal="center" vertical="center"/>
    </xf>
    <xf numFmtId="3" fontId="4" fillId="0" borderId="27" xfId="0" applyNumberFormat="1" applyFont="1" applyBorder="1" applyAlignment="1">
      <alignment vertical="center"/>
    </xf>
    <xf numFmtId="0" fontId="1" fillId="0" borderId="15" xfId="0" applyFont="1" applyBorder="1" applyAlignment="1">
      <alignment horizontal="center" vertical="center"/>
    </xf>
    <xf numFmtId="0" fontId="0" fillId="0" borderId="19"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9" fillId="0" borderId="0" xfId="0" applyNumberFormat="1" applyFont="1" applyAlignment="1">
      <alignment horizontal="left"/>
    </xf>
    <xf numFmtId="3" fontId="1" fillId="20" borderId="10" xfId="0" applyNumberFormat="1" applyFont="1" applyFill="1" applyBorder="1" applyAlignment="1">
      <alignment horizontal="center" vertical="center"/>
    </xf>
    <xf numFmtId="3" fontId="0" fillId="20" borderId="10" xfId="0" applyNumberFormat="1" applyFill="1" applyBorder="1" applyAlignment="1">
      <alignment vertical="center"/>
    </xf>
    <xf numFmtId="3" fontId="4" fillId="20" borderId="10" xfId="0" applyNumberFormat="1" applyFont="1" applyFill="1" applyBorder="1" applyAlignment="1">
      <alignment vertical="center"/>
    </xf>
    <xf numFmtId="0" fontId="7" fillId="0" borderId="10" xfId="0" applyFont="1" applyBorder="1" applyAlignment="1">
      <alignment horizontal="center" vertical="center"/>
    </xf>
    <xf numFmtId="0" fontId="9" fillId="0" borderId="10" xfId="0" applyFont="1" applyBorder="1" applyAlignment="1">
      <alignment vertical="center" wrapText="1"/>
    </xf>
    <xf numFmtId="0" fontId="1" fillId="20" borderId="10" xfId="0" applyFont="1" applyFill="1" applyBorder="1" applyAlignment="1">
      <alignment horizontal="center" vertical="center"/>
    </xf>
    <xf numFmtId="0" fontId="3" fillId="0" borderId="0" xfId="0" applyFont="1" applyAlignment="1">
      <alignment horizontal="left" vertical="center"/>
    </xf>
    <xf numFmtId="0" fontId="0" fillId="0" borderId="10" xfId="0" applyFont="1" applyBorder="1" applyAlignment="1">
      <alignment vertical="center" wrapText="1"/>
    </xf>
    <xf numFmtId="0" fontId="25" fillId="0" borderId="0" xfId="0" applyFont="1" applyAlignment="1">
      <alignment horizontal="center" vertical="center" wrapText="1"/>
    </xf>
    <xf numFmtId="0" fontId="9" fillId="0" borderId="10" xfId="0" applyFont="1" applyBorder="1" applyAlignment="1">
      <alignment horizontal="center" vertical="center"/>
    </xf>
    <xf numFmtId="3" fontId="9" fillId="0" borderId="10" xfId="0" applyNumberFormat="1" applyFont="1" applyBorder="1" applyAlignment="1">
      <alignment horizontal="center" vertical="center"/>
    </xf>
    <xf numFmtId="3" fontId="9" fillId="0" borderId="10" xfId="0" applyNumberFormat="1" applyFont="1" applyBorder="1" applyAlignment="1">
      <alignment vertical="center"/>
    </xf>
    <xf numFmtId="0" fontId="9" fillId="0" borderId="0" xfId="0" applyFont="1" applyAlignment="1">
      <alignment vertical="center"/>
    </xf>
    <xf numFmtId="0" fontId="1" fillId="0" borderId="10" xfId="0" applyFont="1" applyBorder="1" applyAlignment="1">
      <alignment vertical="center" wrapText="1"/>
    </xf>
    <xf numFmtId="0" fontId="36" fillId="0" borderId="0" xfId="0" applyFont="1" applyAlignment="1">
      <alignment horizontal="center" vertical="center" wrapText="1"/>
    </xf>
    <xf numFmtId="0" fontId="1" fillId="0" borderId="10"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32" fillId="0" borderId="10" xfId="0" applyFont="1" applyBorder="1" applyAlignment="1">
      <alignment horizontal="center" vertical="center"/>
    </xf>
    <xf numFmtId="0" fontId="32" fillId="20" borderId="10" xfId="0" applyFont="1" applyFill="1" applyBorder="1" applyAlignment="1">
      <alignment horizontal="center" vertical="center"/>
    </xf>
    <xf numFmtId="0" fontId="32" fillId="0" borderId="0" xfId="0" applyFont="1" applyAlignment="1">
      <alignment vertical="center"/>
    </xf>
    <xf numFmtId="0" fontId="12" fillId="0" borderId="10" xfId="0" applyFont="1" applyBorder="1" applyAlignment="1">
      <alignment wrapText="1"/>
    </xf>
    <xf numFmtId="3" fontId="32"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8" xfId="0" applyBorder="1" applyAlignment="1">
      <alignment vertical="center"/>
    </xf>
    <xf numFmtId="0" fontId="0" fillId="0" borderId="28" xfId="0" applyBorder="1" applyAlignment="1">
      <alignment vertical="center"/>
    </xf>
    <xf numFmtId="0" fontId="32" fillId="0" borderId="18" xfId="0" applyFont="1" applyBorder="1" applyAlignment="1">
      <alignment horizontal="center" vertical="center"/>
    </xf>
    <xf numFmtId="0" fontId="1" fillId="0" borderId="10" xfId="0" applyFont="1" applyBorder="1" applyAlignment="1">
      <alignment vertical="center"/>
    </xf>
    <xf numFmtId="3" fontId="32" fillId="20" borderId="10" xfId="0" applyNumberFormat="1" applyFont="1" applyFill="1" applyBorder="1" applyAlignment="1">
      <alignment horizontal="center" vertical="center"/>
    </xf>
    <xf numFmtId="3" fontId="9" fillId="0" borderId="10" xfId="0" applyNumberFormat="1" applyFont="1" applyBorder="1" applyAlignment="1">
      <alignment vertical="center"/>
    </xf>
    <xf numFmtId="3" fontId="12" fillId="0" borderId="10" xfId="0" applyNumberFormat="1" applyFont="1" applyBorder="1" applyAlignment="1">
      <alignment horizontal="right" vertical="top" wrapText="1"/>
    </xf>
    <xf numFmtId="0" fontId="19" fillId="0" borderId="10" xfId="52" applyFont="1" applyBorder="1" applyAlignment="1">
      <alignment wrapText="1"/>
      <protection/>
    </xf>
    <xf numFmtId="0" fontId="12" fillId="20" borderId="10" xfId="52" applyFont="1" applyFill="1" applyBorder="1">
      <alignment/>
      <protection/>
    </xf>
    <xf numFmtId="0" fontId="12" fillId="20" borderId="10" xfId="52" applyFont="1" applyFill="1" applyBorder="1" applyAlignment="1">
      <alignment/>
      <protection/>
    </xf>
    <xf numFmtId="3" fontId="15" fillId="20" borderId="10" xfId="0" applyNumberFormat="1" applyFont="1" applyFill="1" applyBorder="1" applyAlignment="1">
      <alignment horizontal="right" vertical="top" wrapText="1"/>
    </xf>
    <xf numFmtId="3" fontId="12" fillId="20" borderId="10" xfId="52" applyNumberFormat="1" applyFont="1" applyFill="1" applyBorder="1">
      <alignment/>
      <protection/>
    </xf>
    <xf numFmtId="3" fontId="12" fillId="20" borderId="10" xfId="52" applyNumberFormat="1" applyFont="1" applyFill="1" applyBorder="1" applyAlignment="1">
      <alignment/>
      <protection/>
    </xf>
    <xf numFmtId="3" fontId="4" fillId="0" borderId="10" xfId="0" applyNumberFormat="1" applyFont="1" applyBorder="1" applyAlignment="1">
      <alignment/>
    </xf>
    <xf numFmtId="3" fontId="18" fillId="0" borderId="10" xfId="0" applyNumberFormat="1" applyFont="1" applyBorder="1" applyAlignment="1">
      <alignment horizontal="right" vertical="center" wrapText="1"/>
    </xf>
    <xf numFmtId="0" fontId="27" fillId="0" borderId="10" xfId="0" applyFont="1" applyBorder="1" applyAlignment="1">
      <alignment horizontal="center" vertical="center" wrapText="1" shrinkToFit="1"/>
    </xf>
    <xf numFmtId="1" fontId="9" fillId="0" borderId="10" xfId="0" applyNumberFormat="1" applyFont="1" applyBorder="1" applyAlignment="1">
      <alignment horizontal="center" vertical="center" wrapText="1"/>
    </xf>
    <xf numFmtId="1" fontId="0" fillId="0" borderId="0" xfId="0" applyNumberFormat="1" applyFont="1" applyBorder="1" applyAlignment="1">
      <alignment vertical="center" wrapText="1" shrinkToFit="1"/>
    </xf>
    <xf numFmtId="1" fontId="27" fillId="0" borderId="10" xfId="0" applyNumberFormat="1" applyFont="1" applyBorder="1" applyAlignment="1">
      <alignment vertical="center" wrapText="1" shrinkToFit="1"/>
    </xf>
    <xf numFmtId="1" fontId="25" fillId="0" borderId="10" xfId="0" applyNumberFormat="1" applyFont="1" applyBorder="1" applyAlignment="1">
      <alignment vertical="center" wrapText="1" shrinkToFit="1"/>
    </xf>
    <xf numFmtId="3" fontId="24" fillId="0" borderId="10" xfId="0" applyNumberFormat="1" applyFont="1" applyBorder="1" applyAlignment="1">
      <alignment vertical="center"/>
    </xf>
    <xf numFmtId="0" fontId="0" fillId="0" borderId="20" xfId="0" applyFill="1" applyBorder="1" applyAlignment="1">
      <alignment horizontal="center" vertical="center"/>
    </xf>
    <xf numFmtId="0" fontId="15" fillId="0" borderId="0" xfId="0" applyFont="1" applyFill="1" applyAlignment="1">
      <alignment wrapText="1"/>
    </xf>
    <xf numFmtId="3" fontId="0" fillId="0" borderId="20" xfId="0" applyNumberFormat="1" applyFill="1" applyBorder="1" applyAlignment="1">
      <alignment vertical="center"/>
    </xf>
    <xf numFmtId="3" fontId="0" fillId="0" borderId="20" xfId="0" applyNumberFormat="1" applyFill="1" applyBorder="1" applyAlignment="1">
      <alignment horizontal="center" vertical="center"/>
    </xf>
    <xf numFmtId="0" fontId="0" fillId="0" borderId="0" xfId="0" applyFill="1" applyAlignment="1">
      <alignment/>
    </xf>
    <xf numFmtId="0" fontId="38" fillId="0" borderId="10" xfId="0" applyFont="1" applyBorder="1" applyAlignment="1">
      <alignment wrapText="1"/>
    </xf>
    <xf numFmtId="0" fontId="9" fillId="0" borderId="15" xfId="0" applyFont="1" applyBorder="1" applyAlignment="1">
      <alignment vertical="center" wrapText="1"/>
    </xf>
    <xf numFmtId="1" fontId="25" fillId="0" borderId="10" xfId="0" applyNumberFormat="1" applyFont="1" applyBorder="1" applyAlignment="1">
      <alignment vertical="center" wrapText="1" shrinkToFit="1"/>
    </xf>
    <xf numFmtId="0" fontId="32" fillId="0" borderId="10" xfId="0" applyFont="1" applyBorder="1" applyAlignment="1">
      <alignment vertical="center"/>
    </xf>
    <xf numFmtId="0" fontId="32" fillId="0" borderId="18" xfId="0" applyFont="1" applyBorder="1" applyAlignment="1">
      <alignment horizontal="center" vertical="center"/>
    </xf>
    <xf numFmtId="0" fontId="32" fillId="0" borderId="0" xfId="0" applyFont="1" applyAlignment="1">
      <alignment vertical="center"/>
    </xf>
    <xf numFmtId="3" fontId="12" fillId="0" borderId="10" xfId="52" applyNumberFormat="1" applyFont="1" applyBorder="1" applyAlignment="1">
      <alignment/>
      <protection/>
    </xf>
    <xf numFmtId="0" fontId="12" fillId="0" borderId="10" xfId="52" applyFont="1" applyBorder="1" applyAlignment="1">
      <alignment wrapText="1"/>
      <protection/>
    </xf>
    <xf numFmtId="18" fontId="0" fillId="0" borderId="10" xfId="0" applyNumberFormat="1" applyBorder="1" applyAlignment="1">
      <alignment vertical="center"/>
    </xf>
    <xf numFmtId="0" fontId="15" fillId="0" borderId="0" xfId="0" applyFont="1" applyAlignment="1">
      <alignment wrapText="1"/>
    </xf>
    <xf numFmtId="3" fontId="7" fillId="0" borderId="10" xfId="0" applyNumberFormat="1" applyFont="1" applyFill="1" applyBorder="1" applyAlignment="1">
      <alignment vertical="center" shrinkToFit="1"/>
    </xf>
    <xf numFmtId="3" fontId="32" fillId="0" borderId="10" xfId="0" applyNumberFormat="1" applyFont="1" applyFill="1" applyBorder="1" applyAlignment="1">
      <alignment vertical="center" shrinkToFit="1"/>
    </xf>
    <xf numFmtId="3" fontId="31" fillId="0" borderId="0" xfId="0" applyNumberFormat="1" applyFont="1" applyFill="1" applyBorder="1" applyAlignment="1">
      <alignment/>
    </xf>
    <xf numFmtId="1" fontId="0" fillId="0" borderId="10" xfId="0" applyNumberFormat="1" applyFont="1" applyBorder="1" applyAlignment="1">
      <alignment horizontal="right" vertical="center"/>
    </xf>
    <xf numFmtId="3" fontId="29" fillId="0" borderId="10" xfId="0" applyNumberFormat="1" applyFont="1" applyFill="1" applyBorder="1" applyAlignment="1">
      <alignment/>
    </xf>
    <xf numFmtId="0" fontId="39" fillId="0" borderId="10" xfId="0" applyFont="1" applyBorder="1" applyAlignment="1">
      <alignment horizontal="center" vertical="center" shrinkToFit="1"/>
    </xf>
    <xf numFmtId="1" fontId="39" fillId="0" borderId="10" xfId="0" applyNumberFormat="1" applyFont="1" applyBorder="1" applyAlignment="1">
      <alignment horizontal="center" vertical="center"/>
    </xf>
    <xf numFmtId="3" fontId="40" fillId="0" borderId="10" xfId="0" applyNumberFormat="1" applyFont="1" applyFill="1" applyBorder="1" applyAlignment="1">
      <alignment horizontal="right" vertical="center"/>
    </xf>
    <xf numFmtId="0" fontId="40" fillId="0" borderId="10" xfId="0" applyFont="1" applyBorder="1" applyAlignment="1">
      <alignment horizontal="center" vertical="center" shrinkToFit="1"/>
    </xf>
    <xf numFmtId="1" fontId="40" fillId="0" borderId="10" xfId="0" applyNumberFormat="1" applyFont="1" applyBorder="1" applyAlignment="1">
      <alignment horizontal="center" vertical="center"/>
    </xf>
    <xf numFmtId="3" fontId="29" fillId="0" borderId="10" xfId="0" applyNumberFormat="1" applyFont="1" applyFill="1" applyBorder="1" applyAlignment="1">
      <alignment horizontal="right" vertical="center"/>
    </xf>
    <xf numFmtId="0" fontId="9" fillId="0" borderId="10" xfId="0" applyFont="1" applyBorder="1" applyAlignment="1">
      <alignment/>
    </xf>
    <xf numFmtId="1" fontId="41" fillId="0" borderId="10" xfId="0" applyNumberFormat="1" applyFont="1" applyBorder="1" applyAlignment="1">
      <alignment vertical="center" wrapText="1" shrinkToFit="1"/>
    </xf>
    <xf numFmtId="0" fontId="42" fillId="0" borderId="10" xfId="0" applyFont="1" applyBorder="1" applyAlignment="1">
      <alignment horizontal="right" vertical="center" shrinkToFit="1"/>
    </xf>
    <xf numFmtId="0" fontId="41" fillId="0" borderId="10" xfId="0" applyFont="1" applyBorder="1" applyAlignment="1">
      <alignment horizontal="right" vertical="center" shrinkToFit="1"/>
    </xf>
    <xf numFmtId="1" fontId="42" fillId="0" borderId="10" xfId="0" applyNumberFormat="1" applyFont="1" applyBorder="1" applyAlignment="1">
      <alignment vertical="center" wrapText="1" shrinkToFit="1"/>
    </xf>
    <xf numFmtId="0" fontId="28" fillId="0" borderId="0" xfId="0" applyFont="1" applyAlignment="1">
      <alignment wrapText="1"/>
    </xf>
    <xf numFmtId="0" fontId="9" fillId="0" borderId="10" xfId="0" applyFont="1" applyBorder="1" applyAlignment="1">
      <alignment horizontal="right"/>
    </xf>
    <xf numFmtId="1" fontId="29" fillId="0" borderId="10" xfId="0" applyNumberFormat="1" applyFont="1" applyBorder="1" applyAlignment="1">
      <alignment vertical="center" wrapText="1" shrinkToFit="1"/>
    </xf>
    <xf numFmtId="1" fontId="25" fillId="0" borderId="10" xfId="0" applyNumberFormat="1" applyFont="1" applyBorder="1" applyAlignment="1">
      <alignment horizontal="center" vertical="center"/>
    </xf>
    <xf numFmtId="1" fontId="40" fillId="0" borderId="10" xfId="0" applyNumberFormat="1" applyFont="1" applyBorder="1" applyAlignment="1">
      <alignment vertical="center" wrapText="1" shrinkToFit="1"/>
    </xf>
    <xf numFmtId="1" fontId="37" fillId="0" borderId="10" xfId="0" applyNumberFormat="1" applyFont="1" applyBorder="1" applyAlignment="1">
      <alignment horizontal="center" vertical="center"/>
    </xf>
    <xf numFmtId="1" fontId="43" fillId="0" borderId="10" xfId="0" applyNumberFormat="1" applyFont="1" applyBorder="1" applyAlignment="1">
      <alignment horizontal="center" vertical="center"/>
    </xf>
    <xf numFmtId="1" fontId="43" fillId="0" borderId="10" xfId="0" applyNumberFormat="1" applyFont="1" applyBorder="1" applyAlignment="1">
      <alignment vertical="center" wrapText="1" shrinkToFit="1"/>
    </xf>
    <xf numFmtId="3" fontId="15" fillId="0" borderId="10" xfId="0" applyNumberFormat="1" applyFont="1" applyBorder="1" applyAlignment="1">
      <alignment/>
    </xf>
    <xf numFmtId="0" fontId="35" fillId="20" borderId="10" xfId="52" applyFont="1" applyFill="1" applyBorder="1" applyAlignment="1">
      <alignment horizontal="center" vertical="center" wrapText="1"/>
      <protection/>
    </xf>
    <xf numFmtId="3" fontId="28" fillId="0" borderId="10" xfId="0" applyNumberFormat="1" applyFont="1" applyBorder="1" applyAlignment="1">
      <alignment horizontal="right" vertical="top" wrapText="1"/>
    </xf>
    <xf numFmtId="0" fontId="15" fillId="0" borderId="29" xfId="0" applyFont="1" applyBorder="1" applyAlignment="1">
      <alignment horizontal="justify" vertical="top" wrapText="1"/>
    </xf>
    <xf numFmtId="0" fontId="0" fillId="0" borderId="10" xfId="0" applyFont="1" applyBorder="1" applyAlignment="1">
      <alignment vertical="center"/>
    </xf>
    <xf numFmtId="0" fontId="0" fillId="0" borderId="0" xfId="0" applyFont="1" applyAlignment="1">
      <alignment vertical="center"/>
    </xf>
    <xf numFmtId="0" fontId="12" fillId="0" borderId="10" xfId="0" applyFont="1" applyBorder="1" applyAlignment="1">
      <alignment wrapText="1"/>
    </xf>
    <xf numFmtId="3" fontId="0" fillId="20" borderId="10" xfId="0" applyNumberFormat="1" applyFont="1" applyFill="1" applyBorder="1" applyAlignment="1">
      <alignment vertical="center"/>
    </xf>
    <xf numFmtId="0" fontId="0" fillId="0" borderId="10" xfId="0" applyFont="1" applyBorder="1" applyAlignment="1">
      <alignment horizontal="center" vertical="center"/>
    </xf>
    <xf numFmtId="0" fontId="0" fillId="0" borderId="18" xfId="0" applyBorder="1" applyAlignment="1">
      <alignment horizontal="center" vertical="center"/>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right"/>
    </xf>
    <xf numFmtId="49" fontId="0" fillId="0" borderId="10" xfId="0" applyNumberFormat="1" applyFont="1" applyBorder="1" applyAlignment="1">
      <alignment/>
    </xf>
    <xf numFmtId="3" fontId="0" fillId="0" borderId="10" xfId="0" applyNumberFormat="1" applyFont="1" applyBorder="1" applyAlignment="1">
      <alignment/>
    </xf>
    <xf numFmtId="3" fontId="40" fillId="0" borderId="10" xfId="0" applyNumberFormat="1" applyFont="1" applyFill="1" applyBorder="1" applyAlignment="1">
      <alignment/>
    </xf>
    <xf numFmtId="0" fontId="12" fillId="0" borderId="12" xfId="52" applyFont="1" applyBorder="1" applyAlignment="1">
      <alignment horizontal="center" vertical="center"/>
      <protection/>
    </xf>
    <xf numFmtId="0" fontId="12" fillId="26" borderId="10" xfId="52" applyFont="1" applyFill="1" applyBorder="1">
      <alignment/>
      <protection/>
    </xf>
    <xf numFmtId="0" fontId="12" fillId="26" borderId="10" xfId="52" applyFont="1" applyFill="1" applyBorder="1" applyAlignment="1">
      <alignment/>
      <protection/>
    </xf>
    <xf numFmtId="3" fontId="12" fillId="26" borderId="10" xfId="52" applyNumberFormat="1" applyFont="1" applyFill="1" applyBorder="1">
      <alignment/>
      <protection/>
    </xf>
    <xf numFmtId="3" fontId="12" fillId="26" borderId="10" xfId="52" applyNumberFormat="1" applyFont="1" applyFill="1" applyBorder="1" applyAlignment="1">
      <alignment/>
      <protection/>
    </xf>
    <xf numFmtId="0" fontId="25" fillId="0" borderId="10" xfId="0" applyFont="1" applyBorder="1" applyAlignment="1">
      <alignment/>
    </xf>
    <xf numFmtId="0" fontId="2" fillId="0" borderId="10" xfId="0" applyFont="1" applyBorder="1" applyAlignment="1">
      <alignment wrapText="1"/>
    </xf>
    <xf numFmtId="3" fontId="40" fillId="0" borderId="10" xfId="0" applyNumberFormat="1" applyFont="1" applyFill="1" applyBorder="1" applyAlignment="1">
      <alignment/>
    </xf>
    <xf numFmtId="0" fontId="32" fillId="0" borderId="10" xfId="0" applyFont="1" applyBorder="1" applyAlignment="1">
      <alignment wrapText="1"/>
    </xf>
    <xf numFmtId="0" fontId="0" fillId="0" borderId="10" xfId="0" applyFont="1" applyBorder="1" applyAlignment="1">
      <alignment/>
    </xf>
    <xf numFmtId="0" fontId="3" fillId="0" borderId="10" xfId="0" applyFont="1" applyBorder="1" applyAlignment="1">
      <alignment/>
    </xf>
    <xf numFmtId="0" fontId="7" fillId="0" borderId="10" xfId="0" applyFont="1" applyBorder="1" applyAlignment="1">
      <alignment horizontal="center"/>
    </xf>
    <xf numFmtId="1" fontId="5" fillId="0" borderId="10" xfId="0" applyNumberFormat="1" applyFont="1" applyBorder="1" applyAlignment="1">
      <alignment vertical="center" wrapText="1" shrinkToFit="1"/>
    </xf>
    <xf numFmtId="0" fontId="7" fillId="0" borderId="10" xfId="0" applyFont="1" applyBorder="1" applyAlignment="1">
      <alignment/>
    </xf>
    <xf numFmtId="1" fontId="8" fillId="0" borderId="10" xfId="0" applyNumberFormat="1" applyFont="1" applyBorder="1" applyAlignment="1">
      <alignment vertical="center" wrapText="1" shrinkToFit="1"/>
    </xf>
    <xf numFmtId="1" fontId="7" fillId="0" borderId="10" xfId="0" applyNumberFormat="1" applyFont="1" applyBorder="1" applyAlignment="1">
      <alignment horizontal="center" vertical="center"/>
    </xf>
    <xf numFmtId="3" fontId="44" fillId="0" borderId="10" xfId="0" applyNumberFormat="1" applyFont="1" applyBorder="1" applyAlignment="1">
      <alignment vertical="top" wrapText="1"/>
    </xf>
    <xf numFmtId="3" fontId="28" fillId="0" borderId="10" xfId="0" applyNumberFormat="1" applyFont="1" applyBorder="1" applyAlignment="1">
      <alignment vertical="top" wrapText="1"/>
    </xf>
    <xf numFmtId="3" fontId="7" fillId="0" borderId="10" xfId="0" applyNumberFormat="1" applyFont="1" applyFill="1" applyBorder="1" applyAlignment="1">
      <alignment/>
    </xf>
    <xf numFmtId="0" fontId="4" fillId="0" borderId="10" xfId="0" applyFont="1" applyBorder="1" applyAlignment="1">
      <alignment vertical="center"/>
    </xf>
    <xf numFmtId="1" fontId="7" fillId="0" borderId="10" xfId="0" applyNumberFormat="1" applyFont="1" applyBorder="1" applyAlignment="1">
      <alignment vertical="center" wrapText="1" shrinkToFit="1"/>
    </xf>
    <xf numFmtId="0" fontId="9" fillId="0" borderId="10" xfId="0" applyFont="1" applyBorder="1" applyAlignment="1">
      <alignment vertical="center"/>
    </xf>
    <xf numFmtId="18" fontId="9" fillId="0" borderId="10" xfId="0" applyNumberFormat="1" applyFont="1" applyBorder="1" applyAlignment="1">
      <alignment vertical="center"/>
    </xf>
    <xf numFmtId="0" fontId="12" fillId="0" borderId="16" xfId="52" applyFont="1" applyBorder="1" applyAlignment="1">
      <alignment horizontal="center" vertical="center"/>
      <protection/>
    </xf>
    <xf numFmtId="3" fontId="11" fillId="25" borderId="10" xfId="52" applyNumberFormat="1" applyFont="1" applyFill="1" applyBorder="1">
      <alignment/>
      <protection/>
    </xf>
    <xf numFmtId="3" fontId="30" fillId="25" borderId="10" xfId="52" applyNumberFormat="1" applyFont="1" applyFill="1" applyBorder="1">
      <alignment/>
      <protection/>
    </xf>
    <xf numFmtId="0" fontId="0" fillId="20" borderId="15" xfId="0" applyFont="1" applyFill="1" applyBorder="1" applyAlignment="1">
      <alignment horizontal="center" vertical="center"/>
    </xf>
    <xf numFmtId="0" fontId="0" fillId="20" borderId="16" xfId="0" applyFont="1" applyFill="1" applyBorder="1" applyAlignment="1">
      <alignment horizontal="center" vertical="center"/>
    </xf>
    <xf numFmtId="0" fontId="0" fillId="20" borderId="14" xfId="0" applyFont="1" applyFill="1" applyBorder="1" applyAlignment="1">
      <alignment horizontal="center" vertical="center"/>
    </xf>
    <xf numFmtId="3" fontId="4" fillId="20" borderId="10" xfId="0" applyNumberFormat="1" applyFont="1" applyFill="1" applyBorder="1" applyAlignment="1">
      <alignment horizontal="center" vertical="center" wrapText="1"/>
    </xf>
    <xf numFmtId="0" fontId="36" fillId="20" borderId="10" xfId="0" applyFont="1" applyFill="1" applyBorder="1" applyAlignment="1">
      <alignment horizontal="center" vertical="center"/>
    </xf>
    <xf numFmtId="3" fontId="25" fillId="20" borderId="10" xfId="0" applyNumberFormat="1" applyFont="1" applyFill="1" applyBorder="1" applyAlignment="1">
      <alignment horizontal="center" vertical="center" wrapText="1"/>
    </xf>
    <xf numFmtId="0" fontId="9" fillId="20" borderId="16" xfId="0" applyFont="1" applyFill="1" applyBorder="1" applyAlignment="1">
      <alignment horizontal="center" vertical="center"/>
    </xf>
    <xf numFmtId="0" fontId="9" fillId="20" borderId="14" xfId="0" applyFont="1" applyFill="1" applyBorder="1" applyAlignment="1">
      <alignment horizontal="center" vertical="center"/>
    </xf>
    <xf numFmtId="0" fontId="4" fillId="0" borderId="30" xfId="0" applyFont="1" applyBorder="1" applyAlignment="1">
      <alignment horizontal="left" vertical="center"/>
    </xf>
    <xf numFmtId="0" fontId="4" fillId="0" borderId="14" xfId="0" applyFont="1" applyBorder="1" applyAlignment="1">
      <alignment horizontal="left" vertical="center"/>
    </xf>
    <xf numFmtId="0" fontId="4" fillId="20" borderId="10" xfId="0" applyFont="1" applyFill="1" applyBorder="1" applyAlignment="1">
      <alignment horizontal="center" vertical="center"/>
    </xf>
    <xf numFmtId="0" fontId="25" fillId="25" borderId="31" xfId="0" applyFont="1" applyFill="1" applyBorder="1" applyAlignment="1">
      <alignment horizontal="center" vertical="center"/>
    </xf>
    <xf numFmtId="0" fontId="25" fillId="25" borderId="32" xfId="0" applyFont="1" applyFill="1" applyBorder="1" applyAlignment="1">
      <alignment horizontal="center" vertical="center"/>
    </xf>
    <xf numFmtId="0" fontId="5" fillId="0" borderId="0" xfId="0" applyFont="1" applyAlignment="1">
      <alignment horizontal="center" vertical="center" wrapText="1"/>
    </xf>
    <xf numFmtId="0" fontId="25" fillId="20" borderId="18" xfId="0" applyFont="1" applyFill="1" applyBorder="1" applyAlignment="1">
      <alignment horizontal="center" vertical="center"/>
    </xf>
    <xf numFmtId="0" fontId="25"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25" fillId="20" borderId="10" xfId="0" applyFont="1" applyFill="1" applyBorder="1" applyAlignment="1">
      <alignment horizontal="center" vertical="center" wrapText="1"/>
    </xf>
    <xf numFmtId="0" fontId="9" fillId="20" borderId="15" xfId="0" applyFont="1" applyFill="1" applyBorder="1" applyAlignment="1">
      <alignment horizontal="center" vertical="center"/>
    </xf>
    <xf numFmtId="3" fontId="4" fillId="20" borderId="33" xfId="0" applyNumberFormat="1" applyFont="1" applyFill="1" applyBorder="1" applyAlignment="1">
      <alignment horizontal="center" vertical="center" wrapText="1"/>
    </xf>
    <xf numFmtId="0" fontId="0" fillId="0" borderId="34" xfId="0"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8" xfId="0" applyBorder="1" applyAlignment="1">
      <alignment horizontal="center" vertical="center"/>
    </xf>
    <xf numFmtId="0" fontId="3" fillId="0" borderId="0" xfId="0" applyFont="1" applyAlignment="1">
      <alignment horizont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4" fillId="20" borderId="14" xfId="0" applyFont="1" applyFill="1" applyBorder="1" applyAlignment="1">
      <alignment horizontal="center" vertical="center"/>
    </xf>
    <xf numFmtId="0" fontId="18" fillId="0" borderId="17" xfId="0" applyFont="1" applyBorder="1" applyAlignment="1">
      <alignment horizontal="center" vertical="center" wrapText="1"/>
    </xf>
    <xf numFmtId="0" fontId="18" fillId="0" borderId="36" xfId="0" applyFont="1" applyBorder="1" applyAlignment="1">
      <alignment horizontal="center" vertical="center" wrapText="1"/>
    </xf>
    <xf numFmtId="0" fontId="18" fillId="0" borderId="18" xfId="0" applyFont="1" applyBorder="1" applyAlignment="1">
      <alignment horizontal="center" vertical="center" wrapText="1"/>
    </xf>
    <xf numFmtId="0" fontId="3" fillId="0" borderId="0" xfId="0" applyFont="1" applyAlignment="1">
      <alignment horizontal="center" vertical="center"/>
    </xf>
    <xf numFmtId="3" fontId="18" fillId="20" borderId="10" xfId="0" applyNumberFormat="1" applyFont="1" applyFill="1" applyBorder="1" applyAlignment="1">
      <alignment horizontal="center" vertical="center" wrapText="1"/>
    </xf>
    <xf numFmtId="0" fontId="18" fillId="20" borderId="10" xfId="0" applyFont="1" applyFill="1" applyBorder="1" applyAlignment="1">
      <alignment horizontal="center" vertical="center" wrapText="1"/>
    </xf>
    <xf numFmtId="0" fontId="25" fillId="20" borderId="15" xfId="0" applyFont="1" applyFill="1" applyBorder="1" applyAlignment="1">
      <alignment horizontal="center" vertical="center" wrapText="1"/>
    </xf>
    <xf numFmtId="0" fontId="25" fillId="20" borderId="16" xfId="0" applyFont="1" applyFill="1" applyBorder="1" applyAlignment="1">
      <alignment horizontal="center" vertical="center" wrapText="1"/>
    </xf>
    <xf numFmtId="0" fontId="25" fillId="20" borderId="14" xfId="0" applyFont="1" applyFill="1" applyBorder="1" applyAlignment="1">
      <alignment horizontal="center" vertical="center" wrapText="1"/>
    </xf>
    <xf numFmtId="0" fontId="4" fillId="20" borderId="18" xfId="0" applyFont="1" applyFill="1" applyBorder="1" applyAlignment="1">
      <alignment horizontal="center" vertical="center"/>
    </xf>
    <xf numFmtId="0" fontId="23" fillId="0" borderId="0" xfId="52" applyFont="1" applyAlignment="1">
      <alignment horizontal="left"/>
      <protection/>
    </xf>
    <xf numFmtId="0" fontId="12" fillId="0" borderId="12" xfId="52" applyFont="1" applyBorder="1" applyAlignment="1">
      <alignment horizontal="center" vertical="center"/>
      <protection/>
    </xf>
    <xf numFmtId="0" fontId="18" fillId="0" borderId="10" xfId="0" applyFont="1" applyBorder="1" applyAlignment="1">
      <alignment horizontal="center" wrapText="1"/>
    </xf>
    <xf numFmtId="0" fontId="11" fillId="0" borderId="10" xfId="52" applyFont="1" applyBorder="1" applyAlignment="1">
      <alignment horizontal="center"/>
      <protection/>
    </xf>
    <xf numFmtId="0" fontId="40" fillId="0" borderId="33" xfId="0" applyFont="1" applyBorder="1" applyAlignment="1">
      <alignment horizontal="center" wrapText="1"/>
    </xf>
    <xf numFmtId="0" fontId="40" fillId="0" borderId="34" xfId="0" applyFont="1" applyBorder="1" applyAlignment="1">
      <alignment horizontal="center" wrapText="1"/>
    </xf>
    <xf numFmtId="0" fontId="40" fillId="0" borderId="28" xfId="0" applyFont="1" applyBorder="1" applyAlignment="1">
      <alignment horizontal="center" wrapText="1"/>
    </xf>
    <xf numFmtId="0" fontId="40" fillId="0" borderId="37" xfId="0" applyFont="1" applyBorder="1" applyAlignment="1">
      <alignment horizontal="center" wrapText="1"/>
    </xf>
    <xf numFmtId="0" fontId="40" fillId="0" borderId="0" xfId="0" applyFont="1" applyBorder="1" applyAlignment="1">
      <alignment horizontal="center" wrapText="1"/>
    </xf>
    <xf numFmtId="0" fontId="40" fillId="0" borderId="38" xfId="0" applyFont="1" applyBorder="1" applyAlignment="1">
      <alignment horizontal="center" wrapText="1"/>
    </xf>
    <xf numFmtId="0" fontId="40" fillId="0" borderId="21" xfId="0" applyFont="1" applyBorder="1" applyAlignment="1">
      <alignment horizontal="center" wrapText="1"/>
    </xf>
    <xf numFmtId="0" fontId="40" fillId="0" borderId="35" xfId="0" applyFont="1" applyBorder="1" applyAlignment="1">
      <alignment horizontal="center" wrapText="1"/>
    </xf>
    <xf numFmtId="0" fontId="40" fillId="0" borderId="30" xfId="0" applyFont="1" applyBorder="1" applyAlignment="1">
      <alignment horizontal="center" wrapText="1"/>
    </xf>
    <xf numFmtId="0" fontId="11" fillId="20" borderId="10" xfId="52" applyFont="1" applyFill="1" applyBorder="1" applyAlignment="1">
      <alignment horizontal="center" vertical="center" wrapText="1"/>
      <protection/>
    </xf>
    <xf numFmtId="0" fontId="11" fillId="0" borderId="39" xfId="52" applyFont="1" applyBorder="1" applyAlignment="1">
      <alignment horizontal="center"/>
      <protection/>
    </xf>
    <xf numFmtId="0" fontId="11" fillId="0" borderId="40" xfId="52" applyFont="1" applyBorder="1" applyAlignment="1">
      <alignment horizontal="center"/>
      <protection/>
    </xf>
    <xf numFmtId="0" fontId="11" fillId="0" borderId="33" xfId="52" applyFont="1" applyBorder="1" applyAlignment="1">
      <alignment horizontal="center"/>
      <protection/>
    </xf>
    <xf numFmtId="0" fontId="11" fillId="0" borderId="28" xfId="52" applyFont="1" applyBorder="1" applyAlignment="1">
      <alignment horizontal="center"/>
      <protection/>
    </xf>
    <xf numFmtId="0" fontId="11" fillId="20" borderId="10" xfId="52" applyFont="1" applyFill="1" applyBorder="1" applyAlignment="1">
      <alignment horizontal="center" vertical="center"/>
      <protection/>
    </xf>
    <xf numFmtId="0" fontId="18" fillId="0" borderId="0" xfId="52" applyFont="1" applyAlignment="1">
      <alignment horizontal="center"/>
      <protection/>
    </xf>
    <xf numFmtId="0" fontId="4"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4" fillId="20" borderId="14" xfId="0" applyFont="1" applyFill="1" applyBorder="1" applyAlignment="1">
      <alignment horizontal="center" vertical="center"/>
    </xf>
    <xf numFmtId="0" fontId="2" fillId="0" borderId="17" xfId="0" applyFont="1" applyBorder="1" applyAlignment="1">
      <alignment horizontal="center" vertical="center"/>
    </xf>
    <xf numFmtId="0" fontId="2" fillId="0" borderId="36" xfId="0" applyFont="1" applyBorder="1" applyAlignment="1">
      <alignment horizontal="center" vertical="center"/>
    </xf>
    <xf numFmtId="3" fontId="2" fillId="0" borderId="17" xfId="0" applyNumberFormat="1" applyFont="1" applyBorder="1" applyAlignment="1">
      <alignment horizontal="center" vertical="center"/>
    </xf>
    <xf numFmtId="3" fontId="2" fillId="0" borderId="36"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5" borderId="10" xfId="0" applyFont="1" applyFill="1" applyBorder="1" applyAlignment="1">
      <alignment horizontal="center" vertical="center"/>
    </xf>
    <xf numFmtId="0" fontId="14"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36"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5"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20" borderId="17" xfId="0" applyFont="1" applyFill="1" applyBorder="1" applyAlignment="1">
      <alignment horizontal="center" vertical="center"/>
    </xf>
    <xf numFmtId="0" fontId="4" fillId="20" borderId="36" xfId="0" applyFont="1" applyFill="1" applyBorder="1" applyAlignment="1">
      <alignment horizontal="center" vertical="center"/>
    </xf>
    <xf numFmtId="0" fontId="4" fillId="20" borderId="18" xfId="0" applyFont="1" applyFill="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5" xfId="0" applyNumberFormat="1" applyBorder="1" applyAlignment="1">
      <alignment horizontal="right"/>
    </xf>
    <xf numFmtId="4" fontId="0" fillId="0" borderId="14" xfId="0" applyNumberFormat="1" applyBorder="1" applyAlignment="1">
      <alignment horizontal="right"/>
    </xf>
    <xf numFmtId="0" fontId="15" fillId="0" borderId="10" xfId="0" applyFont="1" applyBorder="1" applyAlignment="1">
      <alignment horizontal="center" vertical="top"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0" fontId="15" fillId="0" borderId="14" xfId="0" applyFont="1" applyBorder="1" applyAlignment="1">
      <alignment horizontal="right" vertical="top" wrapText="1"/>
    </xf>
    <xf numFmtId="0" fontId="18" fillId="20" borderId="15" xfId="0" applyFont="1" applyFill="1" applyBorder="1" applyAlignment="1">
      <alignment horizontal="center" vertical="center" wrapText="1"/>
    </xf>
    <xf numFmtId="0" fontId="18" fillId="20" borderId="14" xfId="0" applyFont="1" applyFill="1" applyBorder="1" applyAlignment="1">
      <alignment horizontal="center" vertical="center" wrapText="1"/>
    </xf>
    <xf numFmtId="0" fontId="18" fillId="20" borderId="10" xfId="0" applyFont="1" applyFill="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tarostwo\Ustawienia%20lokalne\Temporary%20Internet%20Files\Content.IE5\3UBCOR2M\za&#322;2-24.04.08-skr&#243;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20">
          <cell r="K20">
            <v>1208</v>
          </cell>
        </row>
        <row r="40">
          <cell r="K40">
            <v>6080</v>
          </cell>
        </row>
        <row r="41">
          <cell r="K41">
            <v>1040</v>
          </cell>
        </row>
        <row r="43">
          <cell r="K43">
            <v>4380</v>
          </cell>
        </row>
        <row r="44">
          <cell r="K44">
            <v>116681</v>
          </cell>
        </row>
        <row r="45">
          <cell r="K45">
            <v>17890</v>
          </cell>
        </row>
        <row r="46">
          <cell r="K46">
            <v>2820</v>
          </cell>
        </row>
        <row r="48">
          <cell r="K48">
            <v>14040</v>
          </cell>
        </row>
        <row r="49">
          <cell r="K49">
            <v>228970</v>
          </cell>
        </row>
        <row r="50">
          <cell r="K50">
            <v>37090</v>
          </cell>
        </row>
        <row r="51">
          <cell r="K51">
            <v>5910</v>
          </cell>
        </row>
        <row r="52">
          <cell r="K52">
            <v>223</v>
          </cell>
        </row>
        <row r="56">
          <cell r="K56">
            <v>42550</v>
          </cell>
        </row>
        <row r="57">
          <cell r="K57">
            <v>6260</v>
          </cell>
        </row>
        <row r="58">
          <cell r="K58">
            <v>1190</v>
          </cell>
        </row>
        <row r="60">
          <cell r="K60">
            <v>23040</v>
          </cell>
        </row>
        <row r="61">
          <cell r="K61">
            <v>3300</v>
          </cell>
        </row>
        <row r="62">
          <cell r="K62">
            <v>560</v>
          </cell>
        </row>
        <row r="267">
          <cell r="K267">
            <v>3953</v>
          </cell>
        </row>
        <row r="268">
          <cell r="K268">
            <v>1054</v>
          </cell>
        </row>
        <row r="280">
          <cell r="L280">
            <v>1453</v>
          </cell>
        </row>
        <row r="281">
          <cell r="L281">
            <v>436</v>
          </cell>
        </row>
        <row r="282">
          <cell r="L282">
            <v>42</v>
          </cell>
        </row>
        <row r="285">
          <cell r="K285">
            <v>5632</v>
          </cell>
        </row>
        <row r="286">
          <cell r="K286">
            <v>1521</v>
          </cell>
        </row>
        <row r="287">
          <cell r="K287">
            <v>241</v>
          </cell>
        </row>
        <row r="288">
          <cell r="K288">
            <v>4856</v>
          </cell>
        </row>
        <row r="289">
          <cell r="K289">
            <v>4083</v>
          </cell>
        </row>
        <row r="301">
          <cell r="K301">
            <v>7350</v>
          </cell>
        </row>
        <row r="303">
          <cell r="K303">
            <v>180</v>
          </cell>
        </row>
        <row r="305">
          <cell r="K305">
            <v>24180</v>
          </cell>
        </row>
        <row r="307">
          <cell r="K307">
            <v>580</v>
          </cell>
        </row>
        <row r="310">
          <cell r="K310">
            <v>38480</v>
          </cell>
        </row>
        <row r="311">
          <cell r="K311">
            <v>6175</v>
          </cell>
        </row>
        <row r="312">
          <cell r="K312">
            <v>987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18"/>
  <sheetViews>
    <sheetView zoomScale="85" zoomScaleNormal="85" zoomScalePageLayoutView="0" workbookViewId="0" topLeftCell="A100">
      <selection activeCell="A125" sqref="A125"/>
    </sheetView>
  </sheetViews>
  <sheetFormatPr defaultColWidth="9.00390625" defaultRowHeight="12.75"/>
  <cols>
    <col min="1" max="1" width="7.125" style="0" customWidth="1"/>
    <col min="2" max="2" width="8.875" style="0" bestFit="1" customWidth="1"/>
    <col min="3" max="3" width="6.00390625" style="0" customWidth="1"/>
    <col min="4" max="4" width="53.00390625" style="0" customWidth="1"/>
    <col min="5" max="5" width="14.125" style="0" customWidth="1"/>
    <col min="6" max="6" width="14.625" style="0" customWidth="1"/>
    <col min="7" max="7" width="10.125" style="0" customWidth="1"/>
  </cols>
  <sheetData>
    <row r="1" spans="2:5" ht="18">
      <c r="B1" s="479" t="s">
        <v>183</v>
      </c>
      <c r="C1" s="479"/>
      <c r="D1" s="479"/>
      <c r="E1" s="479"/>
    </row>
    <row r="2" spans="2:7" ht="18">
      <c r="B2" s="120"/>
      <c r="C2" s="120"/>
      <c r="D2" s="120"/>
      <c r="E2" s="121"/>
      <c r="F2" s="121"/>
      <c r="G2" s="121"/>
    </row>
    <row r="3" spans="5:7" ht="12.75">
      <c r="E3" s="122" t="s">
        <v>565</v>
      </c>
      <c r="F3" s="122"/>
      <c r="G3" s="122"/>
    </row>
    <row r="4" spans="1:7" s="123" customFormat="1" ht="15" customHeight="1">
      <c r="A4" s="480" t="s">
        <v>510</v>
      </c>
      <c r="B4" s="480" t="s">
        <v>511</v>
      </c>
      <c r="C4" s="480" t="s">
        <v>512</v>
      </c>
      <c r="D4" s="480" t="s">
        <v>644</v>
      </c>
      <c r="E4" s="470" t="s">
        <v>390</v>
      </c>
      <c r="F4" s="471"/>
      <c r="G4" s="472"/>
    </row>
    <row r="5" spans="1:7" s="123" customFormat="1" ht="15" customHeight="1">
      <c r="A5" s="481"/>
      <c r="B5" s="481"/>
      <c r="C5" s="482"/>
      <c r="D5" s="482"/>
      <c r="E5" s="473"/>
      <c r="F5" s="474"/>
      <c r="G5" s="475"/>
    </row>
    <row r="6" spans="1:7" s="123" customFormat="1" ht="15" customHeight="1">
      <c r="A6" s="297"/>
      <c r="B6" s="297"/>
      <c r="C6" s="302"/>
      <c r="D6" s="302"/>
      <c r="E6" s="476" t="s">
        <v>1</v>
      </c>
      <c r="F6" s="477"/>
      <c r="G6" s="478"/>
    </row>
    <row r="7" spans="1:7" s="123" customFormat="1" ht="33.75">
      <c r="A7" s="297"/>
      <c r="B7" s="297"/>
      <c r="C7" s="298"/>
      <c r="D7" s="298"/>
      <c r="E7" s="299"/>
      <c r="F7" s="300" t="s">
        <v>655</v>
      </c>
      <c r="G7" s="301" t="s">
        <v>0</v>
      </c>
    </row>
    <row r="8" spans="1:7" s="48" customFormat="1" ht="7.5" customHeight="1">
      <c r="A8" s="23">
        <v>1</v>
      </c>
      <c r="B8" s="23">
        <v>2</v>
      </c>
      <c r="C8" s="23">
        <v>3</v>
      </c>
      <c r="D8" s="23">
        <v>4</v>
      </c>
      <c r="E8" s="124">
        <v>5</v>
      </c>
      <c r="F8" s="124">
        <v>6</v>
      </c>
      <c r="G8" s="124">
        <v>7</v>
      </c>
    </row>
    <row r="9" spans="1:7" ht="19.5" customHeight="1">
      <c r="A9" s="125" t="s">
        <v>238</v>
      </c>
      <c r="B9" s="126" t="s">
        <v>239</v>
      </c>
      <c r="C9" s="125" t="s">
        <v>240</v>
      </c>
      <c r="D9" s="127" t="s">
        <v>241</v>
      </c>
      <c r="E9" s="128"/>
      <c r="F9" s="128"/>
      <c r="G9" s="128"/>
    </row>
    <row r="10" spans="1:7" s="133" customFormat="1" ht="19.5" customHeight="1">
      <c r="A10" s="129" t="s">
        <v>50</v>
      </c>
      <c r="B10" s="130"/>
      <c r="C10" s="129"/>
      <c r="D10" s="131" t="s">
        <v>51</v>
      </c>
      <c r="E10" s="132">
        <f>SUM(E11)</f>
        <v>45000</v>
      </c>
      <c r="F10" s="132">
        <f>SUM(F11)</f>
        <v>45000</v>
      </c>
      <c r="G10" s="132">
        <f>SUM(G11)</f>
        <v>0</v>
      </c>
    </row>
    <row r="11" spans="1:7" s="136" customFormat="1" ht="19.5" customHeight="1">
      <c r="A11" s="134"/>
      <c r="B11" s="101" t="s">
        <v>52</v>
      </c>
      <c r="C11" s="134"/>
      <c r="D11" s="100" t="s">
        <v>242</v>
      </c>
      <c r="E11" s="135">
        <f>E12</f>
        <v>45000</v>
      </c>
      <c r="F11" s="135">
        <f>F12</f>
        <v>45000</v>
      </c>
      <c r="G11" s="135">
        <f>G12</f>
        <v>0</v>
      </c>
    </row>
    <row r="12" spans="1:7" s="64" customFormat="1" ht="33.75">
      <c r="A12" s="137"/>
      <c r="B12" s="138"/>
      <c r="C12" s="137">
        <v>2110</v>
      </c>
      <c r="D12" s="139" t="s">
        <v>243</v>
      </c>
      <c r="E12" s="140">
        <v>45000</v>
      </c>
      <c r="F12" s="140">
        <f>E12</f>
        <v>45000</v>
      </c>
      <c r="G12" s="140"/>
    </row>
    <row r="13" spans="1:7" s="133" customFormat="1" ht="12.75">
      <c r="A13" s="129" t="s">
        <v>55</v>
      </c>
      <c r="B13" s="130"/>
      <c r="C13" s="129"/>
      <c r="D13" s="131" t="s">
        <v>56</v>
      </c>
      <c r="E13" s="132">
        <f aca="true" t="shared" si="0" ref="E13:G14">E14</f>
        <v>265000</v>
      </c>
      <c r="F13" s="132">
        <f t="shared" si="0"/>
        <v>265000</v>
      </c>
      <c r="G13" s="132">
        <f t="shared" si="0"/>
        <v>0</v>
      </c>
    </row>
    <row r="14" spans="1:7" s="136" customFormat="1" ht="12.75">
      <c r="A14" s="129"/>
      <c r="B14" s="101" t="s">
        <v>57</v>
      </c>
      <c r="C14" s="134"/>
      <c r="D14" s="100" t="s">
        <v>58</v>
      </c>
      <c r="E14" s="135">
        <f t="shared" si="0"/>
        <v>265000</v>
      </c>
      <c r="F14" s="135">
        <f t="shared" si="0"/>
        <v>265000</v>
      </c>
      <c r="G14" s="135">
        <f t="shared" si="0"/>
        <v>0</v>
      </c>
    </row>
    <row r="15" spans="1:7" ht="33.75">
      <c r="A15" s="137"/>
      <c r="B15" s="138"/>
      <c r="C15" s="141">
        <v>2700</v>
      </c>
      <c r="D15" s="139" t="s">
        <v>2</v>
      </c>
      <c r="E15" s="128">
        <v>265000</v>
      </c>
      <c r="F15" s="128">
        <f>E15</f>
        <v>265000</v>
      </c>
      <c r="G15" s="128"/>
    </row>
    <row r="16" spans="1:7" ht="12.75">
      <c r="A16" s="78">
        <v>600</v>
      </c>
      <c r="B16" s="78"/>
      <c r="C16" s="79"/>
      <c r="D16" s="366" t="s">
        <v>63</v>
      </c>
      <c r="E16" s="368">
        <f>SUM(E17)</f>
        <v>232500</v>
      </c>
      <c r="F16" s="368">
        <f>SUM(F17)</f>
        <v>100000</v>
      </c>
      <c r="G16" s="128">
        <f>SUM(G17)</f>
        <v>132500</v>
      </c>
    </row>
    <row r="17" spans="1:7" ht="12.75">
      <c r="A17" s="83"/>
      <c r="B17" s="83">
        <v>60014</v>
      </c>
      <c r="C17" s="86"/>
      <c r="D17" s="367" t="s">
        <v>64</v>
      </c>
      <c r="E17" s="186">
        <f>SUM(E18:E20)</f>
        <v>232500</v>
      </c>
      <c r="F17" s="186">
        <f>SUM(F18:F20)</f>
        <v>100000</v>
      </c>
      <c r="G17" s="186">
        <f>SUM(G18:G20)</f>
        <v>132500</v>
      </c>
    </row>
    <row r="18" spans="1:7" ht="38.25">
      <c r="A18" s="81"/>
      <c r="B18" s="81"/>
      <c r="C18" s="82">
        <v>2310</v>
      </c>
      <c r="D18" s="77" t="s">
        <v>480</v>
      </c>
      <c r="E18" s="128">
        <v>100000</v>
      </c>
      <c r="F18" s="128">
        <f>E18</f>
        <v>100000</v>
      </c>
      <c r="G18" s="128"/>
    </row>
    <row r="19" spans="1:8" s="123" customFormat="1" ht="38.25">
      <c r="A19" s="81"/>
      <c r="B19" s="81"/>
      <c r="C19" s="82">
        <v>6610</v>
      </c>
      <c r="D19" s="383" t="s">
        <v>438</v>
      </c>
      <c r="E19" s="384">
        <v>25000</v>
      </c>
      <c r="F19" s="385"/>
      <c r="G19" s="384">
        <f>E19</f>
        <v>25000</v>
      </c>
      <c r="H19" s="386"/>
    </row>
    <row r="20" spans="1:8" s="123" customFormat="1" ht="38.25">
      <c r="A20" s="81"/>
      <c r="B20" s="81"/>
      <c r="C20" s="82">
        <v>6610</v>
      </c>
      <c r="D20" s="77" t="s">
        <v>438</v>
      </c>
      <c r="E20" s="384">
        <v>107500</v>
      </c>
      <c r="F20" s="385"/>
      <c r="G20" s="384">
        <f>E20</f>
        <v>107500</v>
      </c>
      <c r="H20" s="386"/>
    </row>
    <row r="21" spans="1:7" s="133" customFormat="1" ht="12.75">
      <c r="A21" s="129">
        <v>700</v>
      </c>
      <c r="B21" s="130"/>
      <c r="C21" s="129"/>
      <c r="D21" s="131" t="s">
        <v>87</v>
      </c>
      <c r="E21" s="132">
        <f>E22</f>
        <v>213306</v>
      </c>
      <c r="F21" s="132">
        <f>F22</f>
        <v>213306</v>
      </c>
      <c r="G21" s="132">
        <f>G22</f>
        <v>0</v>
      </c>
    </row>
    <row r="22" spans="1:7" s="136" customFormat="1" ht="12.75">
      <c r="A22" s="134"/>
      <c r="B22" s="101">
        <v>70005</v>
      </c>
      <c r="C22" s="134"/>
      <c r="D22" s="100" t="s">
        <v>88</v>
      </c>
      <c r="E22" s="135">
        <f>SUM(E23:E25)</f>
        <v>213306</v>
      </c>
      <c r="F22" s="135">
        <f>SUM(F23:F25)</f>
        <v>213306</v>
      </c>
      <c r="G22" s="135">
        <f>SUM(G23:G25)</f>
        <v>0</v>
      </c>
    </row>
    <row r="23" spans="1:7" ht="45">
      <c r="A23" s="137"/>
      <c r="B23" s="138"/>
      <c r="C23" s="137" t="s">
        <v>247</v>
      </c>
      <c r="D23" s="139" t="s">
        <v>248</v>
      </c>
      <c r="E23" s="142">
        <v>37000</v>
      </c>
      <c r="F23" s="142">
        <f>E23</f>
        <v>37000</v>
      </c>
      <c r="G23" s="142"/>
    </row>
    <row r="24" spans="1:7" ht="33.75">
      <c r="A24" s="137"/>
      <c r="B24" s="138"/>
      <c r="C24" s="137">
        <v>2110</v>
      </c>
      <c r="D24" s="139" t="s">
        <v>243</v>
      </c>
      <c r="E24" s="142">
        <v>44306</v>
      </c>
      <c r="F24" s="142">
        <f>E24</f>
        <v>44306</v>
      </c>
      <c r="G24" s="142"/>
    </row>
    <row r="25" spans="1:7" ht="33.75">
      <c r="A25" s="137"/>
      <c r="B25" s="138"/>
      <c r="C25" s="137">
        <v>2360</v>
      </c>
      <c r="D25" s="139" t="s">
        <v>245</v>
      </c>
      <c r="E25" s="142">
        <v>132000</v>
      </c>
      <c r="F25" s="142">
        <f>E25</f>
        <v>132000</v>
      </c>
      <c r="G25" s="142"/>
    </row>
    <row r="26" spans="1:7" s="133" customFormat="1" ht="12.75">
      <c r="A26" s="129">
        <v>710</v>
      </c>
      <c r="B26" s="130"/>
      <c r="C26" s="129"/>
      <c r="D26" s="131" t="s">
        <v>100</v>
      </c>
      <c r="E26" s="143">
        <f>SUM(E27+E29+E31)</f>
        <v>490800</v>
      </c>
      <c r="F26" s="143">
        <f>SUM(F27+F29+F31)</f>
        <v>490800</v>
      </c>
      <c r="G26" s="143">
        <f>SUM(G27+G29+G31)</f>
        <v>0</v>
      </c>
    </row>
    <row r="27" spans="1:7" s="136" customFormat="1" ht="12.75">
      <c r="A27" s="134"/>
      <c r="B27" s="101">
        <v>71013</v>
      </c>
      <c r="C27" s="134"/>
      <c r="D27" s="100" t="s">
        <v>249</v>
      </c>
      <c r="E27" s="144">
        <f>E28</f>
        <v>50000</v>
      </c>
      <c r="F27" s="144">
        <f>F28</f>
        <v>50000</v>
      </c>
      <c r="G27" s="144">
        <f>G28</f>
        <v>0</v>
      </c>
    </row>
    <row r="28" spans="1:7" ht="33.75">
      <c r="A28" s="137"/>
      <c r="B28" s="138"/>
      <c r="C28" s="137">
        <v>2110</v>
      </c>
      <c r="D28" s="139" t="s">
        <v>243</v>
      </c>
      <c r="E28" s="142">
        <f>20000+30000</f>
        <v>50000</v>
      </c>
      <c r="F28" s="142">
        <f>E28</f>
        <v>50000</v>
      </c>
      <c r="G28" s="142"/>
    </row>
    <row r="29" spans="1:7" s="136" customFormat="1" ht="12" customHeight="1">
      <c r="A29" s="134"/>
      <c r="B29" s="101">
        <v>71014</v>
      </c>
      <c r="C29" s="134"/>
      <c r="D29" s="100" t="s">
        <v>250</v>
      </c>
      <c r="E29" s="144">
        <f>E30</f>
        <v>4200</v>
      </c>
      <c r="F29" s="144">
        <f>F30</f>
        <v>4200</v>
      </c>
      <c r="G29" s="144">
        <f>G30</f>
        <v>0</v>
      </c>
    </row>
    <row r="30" spans="1:7" ht="33.75">
      <c r="A30" s="137"/>
      <c r="B30" s="138"/>
      <c r="C30" s="137">
        <v>2110</v>
      </c>
      <c r="D30" s="139" t="s">
        <v>243</v>
      </c>
      <c r="E30" s="142">
        <v>4200</v>
      </c>
      <c r="F30" s="142">
        <f>E30</f>
        <v>4200</v>
      </c>
      <c r="G30" s="142"/>
    </row>
    <row r="31" spans="1:7" s="136" customFormat="1" ht="12.75">
      <c r="A31" s="134"/>
      <c r="B31" s="101">
        <v>71015</v>
      </c>
      <c r="C31" s="134"/>
      <c r="D31" s="100" t="s">
        <v>103</v>
      </c>
      <c r="E31" s="144">
        <f>E32</f>
        <v>436600</v>
      </c>
      <c r="F31" s="144">
        <f>F32</f>
        <v>436600</v>
      </c>
      <c r="G31" s="144">
        <f>G32</f>
        <v>0</v>
      </c>
    </row>
    <row r="32" spans="1:7" ht="33.75">
      <c r="A32" s="134"/>
      <c r="B32" s="101"/>
      <c r="C32" s="137">
        <v>2110</v>
      </c>
      <c r="D32" s="139" t="s">
        <v>243</v>
      </c>
      <c r="E32" s="142">
        <v>436600</v>
      </c>
      <c r="F32" s="142">
        <f>E32</f>
        <v>436600</v>
      </c>
      <c r="G32" s="142"/>
    </row>
    <row r="33" spans="1:7" s="133" customFormat="1" ht="12.75">
      <c r="A33" s="129">
        <v>750</v>
      </c>
      <c r="B33" s="130"/>
      <c r="C33" s="129"/>
      <c r="D33" s="131" t="s">
        <v>251</v>
      </c>
      <c r="E33" s="143">
        <f>SUM(E34+E36+E41)</f>
        <v>2532082</v>
      </c>
      <c r="F33" s="143">
        <f>SUM(F34+F36+F41)</f>
        <v>2532082</v>
      </c>
      <c r="G33" s="143">
        <f>SUM(G34+G36+G41)</f>
        <v>0</v>
      </c>
    </row>
    <row r="34" spans="1:7" s="136" customFormat="1" ht="12.75">
      <c r="A34" s="134"/>
      <c r="B34" s="101">
        <v>75011</v>
      </c>
      <c r="C34" s="134"/>
      <c r="D34" s="100" t="s">
        <v>252</v>
      </c>
      <c r="E34" s="144">
        <f>E35</f>
        <v>269379</v>
      </c>
      <c r="F34" s="144">
        <f>F35</f>
        <v>269379</v>
      </c>
      <c r="G34" s="144">
        <f>G35</f>
        <v>0</v>
      </c>
    </row>
    <row r="35" spans="1:7" ht="33.75">
      <c r="A35" s="137"/>
      <c r="B35" s="138"/>
      <c r="C35" s="137">
        <v>2110</v>
      </c>
      <c r="D35" s="139" t="s">
        <v>243</v>
      </c>
      <c r="E35" s="142">
        <f>231200+38179</f>
        <v>269379</v>
      </c>
      <c r="F35" s="142">
        <f>E35</f>
        <v>269379</v>
      </c>
      <c r="G35" s="142"/>
    </row>
    <row r="36" spans="1:7" s="136" customFormat="1" ht="12.75">
      <c r="A36" s="134"/>
      <c r="B36" s="101">
        <v>75020</v>
      </c>
      <c r="C36" s="134"/>
      <c r="D36" s="100" t="s">
        <v>222</v>
      </c>
      <c r="E36" s="144">
        <f>SUM(E37:E40)</f>
        <v>2199703</v>
      </c>
      <c r="F36" s="144">
        <f>SUM(F37:F40)</f>
        <v>2199703</v>
      </c>
      <c r="G36" s="144">
        <f>SUM(G37:G40)</f>
        <v>0</v>
      </c>
    </row>
    <row r="37" spans="1:7" ht="12.75">
      <c r="A37" s="137"/>
      <c r="B37" s="138"/>
      <c r="C37" s="137" t="s">
        <v>253</v>
      </c>
      <c r="D37" s="139" t="s">
        <v>254</v>
      </c>
      <c r="E37" s="142">
        <v>1780000</v>
      </c>
      <c r="F37" s="142">
        <f aca="true" t="shared" si="1" ref="F37:F43">E37</f>
        <v>1780000</v>
      </c>
      <c r="G37" s="142"/>
    </row>
    <row r="38" spans="1:7" ht="12.75">
      <c r="A38" s="137"/>
      <c r="B38" s="138"/>
      <c r="C38" s="137" t="s">
        <v>255</v>
      </c>
      <c r="D38" s="139" t="s">
        <v>256</v>
      </c>
      <c r="E38" s="142">
        <v>25000</v>
      </c>
      <c r="F38" s="142">
        <f t="shared" si="1"/>
        <v>25000</v>
      </c>
      <c r="G38" s="142"/>
    </row>
    <row r="39" spans="1:7" ht="45">
      <c r="A39" s="137"/>
      <c r="B39" s="138"/>
      <c r="C39" s="137" t="s">
        <v>247</v>
      </c>
      <c r="D39" s="139" t="s">
        <v>248</v>
      </c>
      <c r="E39" s="142">
        <f>340000+17000+1200+400+21103</f>
        <v>379703</v>
      </c>
      <c r="F39" s="142">
        <f t="shared" si="1"/>
        <v>379703</v>
      </c>
      <c r="G39" s="142"/>
    </row>
    <row r="40" spans="1:7" ht="12.75">
      <c r="A40" s="137"/>
      <c r="B40" s="138"/>
      <c r="C40" s="137" t="s">
        <v>471</v>
      </c>
      <c r="D40" s="139" t="s">
        <v>472</v>
      </c>
      <c r="E40" s="142">
        <v>15000</v>
      </c>
      <c r="F40" s="142">
        <f t="shared" si="1"/>
        <v>15000</v>
      </c>
      <c r="G40" s="142"/>
    </row>
    <row r="41" spans="1:7" s="136" customFormat="1" ht="12.75">
      <c r="A41" s="134"/>
      <c r="B41" s="101">
        <v>75045</v>
      </c>
      <c r="C41" s="134"/>
      <c r="D41" s="100" t="s">
        <v>148</v>
      </c>
      <c r="E41" s="144">
        <f>SUM(E42:E43)</f>
        <v>63000</v>
      </c>
      <c r="F41" s="361">
        <f t="shared" si="1"/>
        <v>63000</v>
      </c>
      <c r="G41" s="144">
        <f>SUM(G42:G43)</f>
        <v>0</v>
      </c>
    </row>
    <row r="42" spans="1:7" ht="33.75">
      <c r="A42" s="137"/>
      <c r="B42" s="138"/>
      <c r="C42" s="137">
        <v>2110</v>
      </c>
      <c r="D42" s="139" t="s">
        <v>243</v>
      </c>
      <c r="E42" s="142">
        <v>39000</v>
      </c>
      <c r="F42" s="142">
        <f t="shared" si="1"/>
        <v>39000</v>
      </c>
      <c r="G42" s="142"/>
    </row>
    <row r="43" spans="1:7" ht="33.75">
      <c r="A43" s="145"/>
      <c r="B43" s="146"/>
      <c r="C43" s="145">
        <v>2120</v>
      </c>
      <c r="D43" s="147" t="s">
        <v>259</v>
      </c>
      <c r="E43" s="148">
        <v>24000</v>
      </c>
      <c r="F43" s="142">
        <f t="shared" si="1"/>
        <v>24000</v>
      </c>
      <c r="G43" s="148"/>
    </row>
    <row r="44" spans="1:7" s="149" customFormat="1" ht="22.5">
      <c r="A44" s="129">
        <v>756</v>
      </c>
      <c r="B44" s="130"/>
      <c r="C44" s="129"/>
      <c r="D44" s="131" t="s">
        <v>260</v>
      </c>
      <c r="E44" s="143">
        <f>E45</f>
        <v>8047500</v>
      </c>
      <c r="F44" s="143">
        <f>F45</f>
        <v>8047500</v>
      </c>
      <c r="G44" s="143">
        <f>G45</f>
        <v>0</v>
      </c>
    </row>
    <row r="45" spans="1:7" s="136" customFormat="1" ht="12.75">
      <c r="A45" s="134"/>
      <c r="B45" s="101">
        <v>75622</v>
      </c>
      <c r="C45" s="134"/>
      <c r="D45" s="100" t="s">
        <v>261</v>
      </c>
      <c r="E45" s="144">
        <f>SUM(E46:E48)</f>
        <v>8047500</v>
      </c>
      <c r="F45" s="144">
        <f>SUM(F46:F48)</f>
        <v>8047500</v>
      </c>
      <c r="G45" s="144">
        <f>SUM(G46:G48)</f>
        <v>0</v>
      </c>
    </row>
    <row r="46" spans="1:7" ht="12.75">
      <c r="A46" s="134"/>
      <c r="B46" s="101"/>
      <c r="C46" s="134"/>
      <c r="D46" s="100" t="s">
        <v>262</v>
      </c>
      <c r="E46" s="142"/>
      <c r="F46" s="142"/>
      <c r="G46" s="142"/>
    </row>
    <row r="47" spans="1:7" ht="12.75">
      <c r="A47" s="137"/>
      <c r="B47" s="138"/>
      <c r="C47" s="137" t="s">
        <v>263</v>
      </c>
      <c r="D47" s="139" t="s">
        <v>264</v>
      </c>
      <c r="E47" s="142">
        <f>7700000+100000+107500</f>
        <v>7907500</v>
      </c>
      <c r="F47" s="142">
        <f>E47</f>
        <v>7907500</v>
      </c>
      <c r="G47" s="142"/>
    </row>
    <row r="48" spans="1:7" ht="12.75">
      <c r="A48" s="137"/>
      <c r="B48" s="138"/>
      <c r="C48" s="137" t="s">
        <v>265</v>
      </c>
      <c r="D48" s="139" t="s">
        <v>266</v>
      </c>
      <c r="E48" s="142">
        <v>140000</v>
      </c>
      <c r="F48" s="142">
        <f>E48</f>
        <v>140000</v>
      </c>
      <c r="G48" s="142"/>
    </row>
    <row r="49" spans="1:7" s="133" customFormat="1" ht="12.75">
      <c r="A49" s="129">
        <v>758</v>
      </c>
      <c r="B49" s="130"/>
      <c r="C49" s="129"/>
      <c r="D49" s="131" t="s">
        <v>157</v>
      </c>
      <c r="E49" s="143">
        <f>SUM(E50+E52+E54+E56+E58)</f>
        <v>21824426</v>
      </c>
      <c r="F49" s="143">
        <f>SUM(F50+F52+F54+F56+F58)</f>
        <v>21824426</v>
      </c>
      <c r="G49" s="143">
        <f>SUM(G50+G54+G56+G58)</f>
        <v>0</v>
      </c>
    </row>
    <row r="50" spans="1:7" s="136" customFormat="1" ht="22.5">
      <c r="A50" s="134"/>
      <c r="B50" s="101">
        <v>75801</v>
      </c>
      <c r="C50" s="134"/>
      <c r="D50" s="100" t="s">
        <v>267</v>
      </c>
      <c r="E50" s="144">
        <f>E51</f>
        <v>14192721</v>
      </c>
      <c r="F50" s="144">
        <f>F51</f>
        <v>14192721</v>
      </c>
      <c r="G50" s="144">
        <f>G51</f>
        <v>0</v>
      </c>
    </row>
    <row r="51" spans="1:7" ht="12.75">
      <c r="A51" s="137"/>
      <c r="B51" s="138"/>
      <c r="C51" s="137">
        <v>2920</v>
      </c>
      <c r="D51" s="139" t="s">
        <v>268</v>
      </c>
      <c r="E51" s="142">
        <f>13521560+671161</f>
        <v>14192721</v>
      </c>
      <c r="F51" s="142">
        <f>E51</f>
        <v>14192721</v>
      </c>
      <c r="G51" s="142"/>
    </row>
    <row r="52" spans="1:7" ht="12.75">
      <c r="A52" s="137"/>
      <c r="B52" s="101">
        <v>75802</v>
      </c>
      <c r="C52" s="137"/>
      <c r="D52" s="100" t="s">
        <v>138</v>
      </c>
      <c r="E52" s="144">
        <f>E53</f>
        <v>386000</v>
      </c>
      <c r="F52" s="144">
        <f>F53</f>
        <v>386000</v>
      </c>
      <c r="G52" s="144">
        <f>G53</f>
        <v>0</v>
      </c>
    </row>
    <row r="53" spans="1:7" ht="33.75">
      <c r="A53" s="137"/>
      <c r="B53" s="138"/>
      <c r="C53" s="420">
        <v>6180</v>
      </c>
      <c r="D53" s="139" t="s">
        <v>139</v>
      </c>
      <c r="E53" s="142">
        <v>386000</v>
      </c>
      <c r="F53" s="142">
        <f>E53</f>
        <v>386000</v>
      </c>
      <c r="G53" s="142"/>
    </row>
    <row r="54" spans="1:7" s="136" customFormat="1" ht="12.75">
      <c r="A54" s="134"/>
      <c r="B54" s="101">
        <v>75803</v>
      </c>
      <c r="C54" s="134"/>
      <c r="D54" s="100" t="s">
        <v>269</v>
      </c>
      <c r="E54" s="144">
        <f>E55</f>
        <v>6698199</v>
      </c>
      <c r="F54" s="144">
        <f>F55</f>
        <v>6698199</v>
      </c>
      <c r="G54" s="144">
        <f>G55</f>
        <v>0</v>
      </c>
    </row>
    <row r="55" spans="1:7" ht="12.75">
      <c r="A55" s="137"/>
      <c r="B55" s="138"/>
      <c r="C55" s="137">
        <v>2920</v>
      </c>
      <c r="D55" s="139" t="s">
        <v>268</v>
      </c>
      <c r="E55" s="142">
        <v>6698199</v>
      </c>
      <c r="F55" s="142">
        <f>E55</f>
        <v>6698199</v>
      </c>
      <c r="G55" s="142"/>
    </row>
    <row r="56" spans="1:7" s="136" customFormat="1" ht="12.75">
      <c r="A56" s="134"/>
      <c r="B56" s="101">
        <v>75832</v>
      </c>
      <c r="C56" s="134"/>
      <c r="D56" s="100" t="s">
        <v>270</v>
      </c>
      <c r="E56" s="144">
        <f>E57</f>
        <v>339576</v>
      </c>
      <c r="F56" s="144">
        <f>F57</f>
        <v>339576</v>
      </c>
      <c r="G56" s="144">
        <f>G57</f>
        <v>0</v>
      </c>
    </row>
    <row r="57" spans="1:7" ht="12.75">
      <c r="A57" s="137"/>
      <c r="B57" s="138"/>
      <c r="C57" s="137">
        <v>2920</v>
      </c>
      <c r="D57" s="139" t="s">
        <v>268</v>
      </c>
      <c r="E57" s="142">
        <f>333450+6126</f>
        <v>339576</v>
      </c>
      <c r="F57" s="142">
        <f>E57</f>
        <v>339576</v>
      </c>
      <c r="G57" s="142"/>
    </row>
    <row r="58" spans="1:7" s="136" customFormat="1" ht="12.75">
      <c r="A58" s="134"/>
      <c r="B58" s="101">
        <v>75814</v>
      </c>
      <c r="C58" s="134"/>
      <c r="D58" s="100" t="s">
        <v>271</v>
      </c>
      <c r="E58" s="144">
        <f>SUM(E59:E61)</f>
        <v>207930</v>
      </c>
      <c r="F58" s="144">
        <f>SUM(F59:F61)</f>
        <v>207930</v>
      </c>
      <c r="G58" s="144">
        <f>SUM(G59:G61)</f>
        <v>0</v>
      </c>
    </row>
    <row r="59" spans="1:7" s="136" customFormat="1" ht="22.5">
      <c r="A59" s="287"/>
      <c r="B59" s="288"/>
      <c r="C59" s="287" t="s">
        <v>358</v>
      </c>
      <c r="D59" s="289" t="s">
        <v>475</v>
      </c>
      <c r="E59" s="286">
        <f>50000+50000</f>
        <v>100000</v>
      </c>
      <c r="F59" s="142">
        <f>E59</f>
        <v>100000</v>
      </c>
      <c r="G59" s="286"/>
    </row>
    <row r="60" spans="1:7" s="136" customFormat="1" ht="12.75">
      <c r="A60" s="287"/>
      <c r="B60" s="288"/>
      <c r="C60" s="137" t="s">
        <v>476</v>
      </c>
      <c r="D60" s="139" t="s">
        <v>477</v>
      </c>
      <c r="E60" s="286">
        <f>55000+2930</f>
        <v>57930</v>
      </c>
      <c r="F60" s="142">
        <f>E60</f>
        <v>57930</v>
      </c>
      <c r="G60" s="286"/>
    </row>
    <row r="61" spans="1:7" s="136" customFormat="1" ht="12.75">
      <c r="A61" s="287"/>
      <c r="B61" s="288"/>
      <c r="C61" s="137" t="s">
        <v>471</v>
      </c>
      <c r="D61" s="139" t="s">
        <v>478</v>
      </c>
      <c r="E61" s="286">
        <v>50000</v>
      </c>
      <c r="F61" s="286">
        <v>50000</v>
      </c>
      <c r="G61" s="286"/>
    </row>
    <row r="62" spans="1:7" s="133" customFormat="1" ht="12.75">
      <c r="A62" s="129">
        <v>801</v>
      </c>
      <c r="B62" s="130"/>
      <c r="C62" s="129"/>
      <c r="D62" s="131" t="s">
        <v>160</v>
      </c>
      <c r="E62" s="143">
        <f>SUM(E63+E65+E69)</f>
        <v>64337</v>
      </c>
      <c r="F62" s="143">
        <f>SUM(F63+F65+F69)</f>
        <v>64337</v>
      </c>
      <c r="G62" s="143">
        <f>SUM(G63+G65+G69)</f>
        <v>0</v>
      </c>
    </row>
    <row r="63" spans="1:7" s="136" customFormat="1" ht="12.75">
      <c r="A63" s="134"/>
      <c r="B63" s="101">
        <v>80120</v>
      </c>
      <c r="C63" s="134"/>
      <c r="D63" s="100" t="s">
        <v>168</v>
      </c>
      <c r="E63" s="144">
        <f>SUM(E64:E64)</f>
        <v>6000</v>
      </c>
      <c r="F63" s="144">
        <f>SUM(F64:F64)</f>
        <v>6000</v>
      </c>
      <c r="G63" s="144">
        <f>SUM(G64:G64)</f>
        <v>0</v>
      </c>
    </row>
    <row r="64" spans="1:7" ht="45">
      <c r="A64" s="137"/>
      <c r="B64" s="138"/>
      <c r="C64" s="141" t="s">
        <v>247</v>
      </c>
      <c r="D64" s="139" t="s">
        <v>248</v>
      </c>
      <c r="E64" s="142">
        <v>6000</v>
      </c>
      <c r="F64" s="142">
        <f>E64</f>
        <v>6000</v>
      </c>
      <c r="G64" s="142"/>
    </row>
    <row r="65" spans="1:7" s="136" customFormat="1" ht="12.75">
      <c r="A65" s="134"/>
      <c r="B65" s="101">
        <v>80130</v>
      </c>
      <c r="C65" s="134"/>
      <c r="D65" s="100" t="s">
        <v>273</v>
      </c>
      <c r="E65" s="144">
        <f>SUM(E66:E68)</f>
        <v>24987</v>
      </c>
      <c r="F65" s="144">
        <f>SUM(F66:F68)</f>
        <v>24987</v>
      </c>
      <c r="G65" s="144">
        <f>SUM(G67:G67)</f>
        <v>0</v>
      </c>
    </row>
    <row r="66" spans="1:7" s="136" customFormat="1" ht="12.75">
      <c r="A66" s="134"/>
      <c r="B66" s="101"/>
      <c r="C66" s="422" t="s">
        <v>140</v>
      </c>
      <c r="D66" s="100" t="s">
        <v>272</v>
      </c>
      <c r="E66" s="423">
        <v>15247</v>
      </c>
      <c r="F66" s="142">
        <f>E66</f>
        <v>15247</v>
      </c>
      <c r="G66" s="144"/>
    </row>
    <row r="67" spans="1:7" ht="45">
      <c r="A67" s="137"/>
      <c r="B67" s="138"/>
      <c r="C67" s="421" t="s">
        <v>247</v>
      </c>
      <c r="D67" s="139" t="s">
        <v>248</v>
      </c>
      <c r="E67" s="142">
        <v>8000</v>
      </c>
      <c r="F67" s="142">
        <f>E67</f>
        <v>8000</v>
      </c>
      <c r="G67" s="142"/>
    </row>
    <row r="68" spans="1:7" ht="12.75">
      <c r="A68" s="137"/>
      <c r="B68" s="138"/>
      <c r="C68" s="421" t="s">
        <v>141</v>
      </c>
      <c r="D68" s="139" t="s">
        <v>142</v>
      </c>
      <c r="E68" s="142">
        <v>1740</v>
      </c>
      <c r="F68" s="142">
        <f>E68</f>
        <v>1740</v>
      </c>
      <c r="G68" s="142"/>
    </row>
    <row r="69" spans="1:7" s="136" customFormat="1" ht="12.75">
      <c r="A69" s="134"/>
      <c r="B69" s="101">
        <v>80132</v>
      </c>
      <c r="C69" s="150"/>
      <c r="D69" s="100" t="s">
        <v>175</v>
      </c>
      <c r="E69" s="144">
        <f>SUM(E70:E70)</f>
        <v>33350</v>
      </c>
      <c r="F69" s="144">
        <f>SUM(F70:F70)</f>
        <v>33350</v>
      </c>
      <c r="G69" s="144">
        <f>SUM(G70:G70)</f>
        <v>0</v>
      </c>
    </row>
    <row r="70" spans="1:7" ht="33.75">
      <c r="A70" s="137"/>
      <c r="B70" s="138"/>
      <c r="C70" s="137">
        <v>2710</v>
      </c>
      <c r="D70" s="139" t="s">
        <v>274</v>
      </c>
      <c r="E70" s="142">
        <v>33350</v>
      </c>
      <c r="F70" s="142">
        <f>E70</f>
        <v>33350</v>
      </c>
      <c r="G70" s="142"/>
    </row>
    <row r="71" spans="1:7" s="133" customFormat="1" ht="12.75">
      <c r="A71" s="129">
        <v>851</v>
      </c>
      <c r="B71" s="130"/>
      <c r="C71" s="129"/>
      <c r="D71" s="131" t="s">
        <v>187</v>
      </c>
      <c r="E71" s="143">
        <f>SUM(E72)</f>
        <v>1174000</v>
      </c>
      <c r="F71" s="143">
        <f>SUM(F72)</f>
        <v>1174000</v>
      </c>
      <c r="G71" s="143">
        <f>SUM(G72)</f>
        <v>0</v>
      </c>
    </row>
    <row r="72" spans="1:7" s="136" customFormat="1" ht="22.5">
      <c r="A72" s="134"/>
      <c r="B72" s="101">
        <v>85156</v>
      </c>
      <c r="C72" s="134"/>
      <c r="D72" s="100" t="s">
        <v>276</v>
      </c>
      <c r="E72" s="144">
        <f>E73</f>
        <v>1174000</v>
      </c>
      <c r="F72" s="144">
        <f>F73</f>
        <v>1174000</v>
      </c>
      <c r="G72" s="144">
        <f>G73</f>
        <v>0</v>
      </c>
    </row>
    <row r="73" spans="1:7" ht="33.75">
      <c r="A73" s="137"/>
      <c r="B73" s="138"/>
      <c r="C73" s="137">
        <v>2110</v>
      </c>
      <c r="D73" s="139" t="s">
        <v>243</v>
      </c>
      <c r="E73" s="142">
        <v>1174000</v>
      </c>
      <c r="F73" s="142">
        <f>E73</f>
        <v>1174000</v>
      </c>
      <c r="G73" s="142"/>
    </row>
    <row r="74" spans="1:7" s="133" customFormat="1" ht="12.75">
      <c r="A74" s="129">
        <v>852</v>
      </c>
      <c r="B74" s="130"/>
      <c r="C74" s="129"/>
      <c r="D74" s="131" t="s">
        <v>277</v>
      </c>
      <c r="E74" s="143">
        <f>SUM(E75+E77+E82+E84+E86)</f>
        <v>9488200</v>
      </c>
      <c r="F74" s="143">
        <f>SUM(F75+F77+F82+F84+F86)</f>
        <v>9488200</v>
      </c>
      <c r="G74" s="143">
        <f>SUM(G75+G77+G82+G84)</f>
        <v>0</v>
      </c>
    </row>
    <row r="75" spans="1:7" s="136" customFormat="1" ht="12.75">
      <c r="A75" s="134"/>
      <c r="B75" s="101">
        <v>85201</v>
      </c>
      <c r="C75" s="134"/>
      <c r="D75" s="100" t="s">
        <v>278</v>
      </c>
      <c r="E75" s="144">
        <f>SUM(E76:E76)</f>
        <v>131200</v>
      </c>
      <c r="F75" s="144">
        <f>SUM(F76:F76)</f>
        <v>131200</v>
      </c>
      <c r="G75" s="144">
        <f>SUM(G76:G76)</f>
        <v>0</v>
      </c>
    </row>
    <row r="76" spans="1:7" ht="33.75">
      <c r="A76" s="137"/>
      <c r="B76" s="138"/>
      <c r="C76" s="141">
        <v>2320</v>
      </c>
      <c r="D76" s="151" t="s">
        <v>275</v>
      </c>
      <c r="E76" s="142">
        <v>131200</v>
      </c>
      <c r="F76" s="142">
        <f>E76</f>
        <v>131200</v>
      </c>
      <c r="G76" s="142"/>
    </row>
    <row r="77" spans="1:7" s="136" customFormat="1" ht="12.75">
      <c r="A77" s="134"/>
      <c r="B77" s="101">
        <v>85202</v>
      </c>
      <c r="C77" s="134"/>
      <c r="D77" s="100" t="s">
        <v>279</v>
      </c>
      <c r="E77" s="144">
        <f>SUM(E78:E81)</f>
        <v>8462000</v>
      </c>
      <c r="F77" s="144">
        <f>SUM(F78:F81)</f>
        <v>8462000</v>
      </c>
      <c r="G77" s="144">
        <f>SUM(G78:G81)</f>
        <v>0</v>
      </c>
    </row>
    <row r="78" spans="1:7" ht="45">
      <c r="A78" s="137"/>
      <c r="B78" s="138"/>
      <c r="C78" s="137" t="s">
        <v>247</v>
      </c>
      <c r="D78" s="139" t="s">
        <v>248</v>
      </c>
      <c r="E78" s="142">
        <v>60000</v>
      </c>
      <c r="F78" s="142">
        <f>E78</f>
        <v>60000</v>
      </c>
      <c r="G78" s="142"/>
    </row>
    <row r="79" spans="1:7" ht="12.75">
      <c r="A79" s="137"/>
      <c r="B79" s="138"/>
      <c r="C79" s="141" t="s">
        <v>257</v>
      </c>
      <c r="D79" s="139" t="s">
        <v>272</v>
      </c>
      <c r="E79" s="142">
        <f>3000000+53000+284000</f>
        <v>3337000</v>
      </c>
      <c r="F79" s="142">
        <f>E79</f>
        <v>3337000</v>
      </c>
      <c r="G79" s="142"/>
    </row>
    <row r="80" spans="1:7" ht="33.75">
      <c r="A80" s="137"/>
      <c r="B80" s="138"/>
      <c r="C80" s="141">
        <v>6260</v>
      </c>
      <c r="D80" s="139" t="s">
        <v>143</v>
      </c>
      <c r="E80" s="142">
        <v>50000</v>
      </c>
      <c r="F80" s="142">
        <f>E80</f>
        <v>50000</v>
      </c>
      <c r="G80" s="142"/>
    </row>
    <row r="81" spans="1:7" ht="22.5">
      <c r="A81" s="137"/>
      <c r="B81" s="138"/>
      <c r="C81" s="137">
        <v>2130</v>
      </c>
      <c r="D81" s="139" t="s">
        <v>280</v>
      </c>
      <c r="E81" s="142">
        <v>5015000</v>
      </c>
      <c r="F81" s="142">
        <f>E81</f>
        <v>5015000</v>
      </c>
      <c r="G81" s="142"/>
    </row>
    <row r="82" spans="1:7" s="136" customFormat="1" ht="13.5" customHeight="1">
      <c r="A82" s="134"/>
      <c r="B82" s="101">
        <v>85203</v>
      </c>
      <c r="C82" s="134"/>
      <c r="D82" s="102" t="s">
        <v>203</v>
      </c>
      <c r="E82" s="144">
        <f>SUM(E83:E83)</f>
        <v>697000</v>
      </c>
      <c r="F82" s="144">
        <f>SUM(F83:F83)</f>
        <v>697000</v>
      </c>
      <c r="G82" s="144">
        <f>SUM(G83:G83)</f>
        <v>0</v>
      </c>
    </row>
    <row r="83" spans="1:7" ht="33.75">
      <c r="A83" s="137"/>
      <c r="B83" s="138"/>
      <c r="C83" s="137">
        <v>2110</v>
      </c>
      <c r="D83" s="139" t="s">
        <v>243</v>
      </c>
      <c r="E83" s="142">
        <v>697000</v>
      </c>
      <c r="F83" s="142">
        <f>E83</f>
        <v>697000</v>
      </c>
      <c r="G83" s="142"/>
    </row>
    <row r="84" spans="1:7" s="136" customFormat="1" ht="12.75">
      <c r="A84" s="134"/>
      <c r="B84" s="101">
        <v>85204</v>
      </c>
      <c r="C84" s="134"/>
      <c r="D84" s="100" t="s">
        <v>204</v>
      </c>
      <c r="E84" s="144">
        <f>SUM(E85:E85)</f>
        <v>195000</v>
      </c>
      <c r="F84" s="144">
        <f>SUM(F85:F85)</f>
        <v>195000</v>
      </c>
      <c r="G84" s="144">
        <f>SUM(G85:G85)</f>
        <v>0</v>
      </c>
    </row>
    <row r="85" spans="1:7" ht="33.75">
      <c r="A85" s="137"/>
      <c r="B85" s="138"/>
      <c r="C85" s="141">
        <v>2320</v>
      </c>
      <c r="D85" s="151" t="s">
        <v>275</v>
      </c>
      <c r="E85" s="142">
        <v>195000</v>
      </c>
      <c r="F85" s="142">
        <f>E85</f>
        <v>195000</v>
      </c>
      <c r="G85" s="142"/>
    </row>
    <row r="86" spans="1:7" s="136" customFormat="1" ht="13.5" customHeight="1">
      <c r="A86" s="134"/>
      <c r="B86" s="101">
        <v>85218</v>
      </c>
      <c r="C86" s="134"/>
      <c r="D86" s="376" t="s">
        <v>506</v>
      </c>
      <c r="E86" s="144">
        <f>SUM(E87:E87)</f>
        <v>3000</v>
      </c>
      <c r="F86" s="144">
        <f>SUM(F87:F87)</f>
        <v>3000</v>
      </c>
      <c r="G86" s="144">
        <f>SUM(G87:G87)</f>
        <v>0</v>
      </c>
    </row>
    <row r="87" spans="1:7" ht="22.5">
      <c r="A87" s="137"/>
      <c r="B87" s="138"/>
      <c r="C87" s="137">
        <v>2130</v>
      </c>
      <c r="D87" s="139" t="s">
        <v>280</v>
      </c>
      <c r="E87" s="142">
        <v>3000</v>
      </c>
      <c r="F87" s="142">
        <f>E87</f>
        <v>3000</v>
      </c>
      <c r="G87" s="142"/>
    </row>
    <row r="88" spans="1:7" s="133" customFormat="1" ht="12.75">
      <c r="A88" s="129">
        <v>853</v>
      </c>
      <c r="B88" s="130"/>
      <c r="C88" s="152"/>
      <c r="D88" s="131" t="s">
        <v>281</v>
      </c>
      <c r="E88" s="143">
        <f>SUM(E89+E91+E95+E97)</f>
        <v>2001806</v>
      </c>
      <c r="F88" s="143">
        <f>SUM(F89+F91+F95+F97)</f>
        <v>2001806</v>
      </c>
      <c r="G88" s="143">
        <f>SUM(G89+G91)</f>
        <v>0</v>
      </c>
    </row>
    <row r="89" spans="1:7" s="136" customFormat="1" ht="12.75">
      <c r="A89" s="134"/>
      <c r="B89" s="101">
        <v>85321</v>
      </c>
      <c r="C89" s="134"/>
      <c r="D89" s="100" t="s">
        <v>76</v>
      </c>
      <c r="E89" s="144">
        <f>E90</f>
        <v>109000</v>
      </c>
      <c r="F89" s="144">
        <f>F90</f>
        <v>109000</v>
      </c>
      <c r="G89" s="144">
        <f>G90</f>
        <v>0</v>
      </c>
    </row>
    <row r="90" spans="1:7" ht="33.75">
      <c r="A90" s="137"/>
      <c r="B90" s="138"/>
      <c r="C90" s="137">
        <v>2110</v>
      </c>
      <c r="D90" s="139" t="s">
        <v>243</v>
      </c>
      <c r="E90" s="142">
        <v>109000</v>
      </c>
      <c r="F90" s="142">
        <f>E90</f>
        <v>109000</v>
      </c>
      <c r="G90" s="142"/>
    </row>
    <row r="91" spans="1:7" s="136" customFormat="1" ht="16.5" customHeight="1">
      <c r="A91" s="134"/>
      <c r="B91" s="101">
        <v>85333</v>
      </c>
      <c r="C91" s="134"/>
      <c r="D91" s="100" t="s">
        <v>282</v>
      </c>
      <c r="E91" s="144">
        <f>SUM(E92:E94)</f>
        <v>875134</v>
      </c>
      <c r="F91" s="144">
        <f>SUM(F92:F94)</f>
        <v>875134</v>
      </c>
      <c r="G91" s="144">
        <f>SUM(G92:G94)</f>
        <v>0</v>
      </c>
    </row>
    <row r="92" spans="1:7" s="136" customFormat="1" ht="45">
      <c r="A92" s="134"/>
      <c r="B92" s="101"/>
      <c r="C92" s="137" t="s">
        <v>247</v>
      </c>
      <c r="D92" s="139" t="s">
        <v>248</v>
      </c>
      <c r="E92" s="286">
        <f>9000+5250</f>
        <v>14250</v>
      </c>
      <c r="F92" s="142">
        <f>E92</f>
        <v>14250</v>
      </c>
      <c r="G92" s="144"/>
    </row>
    <row r="93" spans="1:7" s="136" customFormat="1" ht="29.25">
      <c r="A93" s="134"/>
      <c r="B93" s="101"/>
      <c r="C93" s="395">
        <v>2008</v>
      </c>
      <c r="D93" s="433" t="s">
        <v>93</v>
      </c>
      <c r="E93" s="388">
        <v>153184</v>
      </c>
      <c r="F93" s="142">
        <f>E93</f>
        <v>153184</v>
      </c>
      <c r="G93" s="144"/>
    </row>
    <row r="94" spans="1:7" ht="33.75">
      <c r="A94" s="137"/>
      <c r="B94" s="138"/>
      <c r="C94" s="141">
        <v>2690</v>
      </c>
      <c r="D94" s="139" t="s">
        <v>364</v>
      </c>
      <c r="E94" s="142">
        <f>637700+70000</f>
        <v>707700</v>
      </c>
      <c r="F94" s="142">
        <f>E94</f>
        <v>707700</v>
      </c>
      <c r="G94" s="142"/>
    </row>
    <row r="95" spans="1:7" s="136" customFormat="1" ht="12.75">
      <c r="A95" s="134"/>
      <c r="B95" s="101">
        <v>85334</v>
      </c>
      <c r="C95" s="134"/>
      <c r="D95" s="100" t="s">
        <v>423</v>
      </c>
      <c r="E95" s="144">
        <f>E96</f>
        <v>6538</v>
      </c>
      <c r="F95" s="144">
        <f>F96</f>
        <v>6538</v>
      </c>
      <c r="G95" s="144">
        <f>G96</f>
        <v>0</v>
      </c>
    </row>
    <row r="96" spans="1:7" ht="34.5">
      <c r="A96" s="137"/>
      <c r="B96" s="138"/>
      <c r="C96" s="137">
        <v>2110</v>
      </c>
      <c r="D96" s="139" t="s">
        <v>243</v>
      </c>
      <c r="E96" s="388">
        <v>6538</v>
      </c>
      <c r="F96" s="142">
        <f>E96</f>
        <v>6538</v>
      </c>
      <c r="G96" s="142"/>
    </row>
    <row r="97" spans="1:7" ht="15.75">
      <c r="A97" s="430"/>
      <c r="B97" s="100">
        <v>83395</v>
      </c>
      <c r="C97" s="430"/>
      <c r="D97" s="431" t="s">
        <v>152</v>
      </c>
      <c r="E97" s="432">
        <f>SUM(E98:E100)</f>
        <v>1011134</v>
      </c>
      <c r="F97" s="432">
        <f>SUM(F98:F100)</f>
        <v>1011134</v>
      </c>
      <c r="G97" s="142"/>
    </row>
    <row r="98" spans="1:7" ht="29.25">
      <c r="A98" s="395"/>
      <c r="B98" s="139"/>
      <c r="C98" s="395">
        <v>2008</v>
      </c>
      <c r="D98" s="433" t="s">
        <v>93</v>
      </c>
      <c r="E98" s="388">
        <v>861955</v>
      </c>
      <c r="F98" s="388">
        <f>E98</f>
        <v>861955</v>
      </c>
      <c r="G98" s="142"/>
    </row>
    <row r="99" spans="1:7" ht="29.25">
      <c r="A99" s="395"/>
      <c r="B99" s="139"/>
      <c r="C99" s="401">
        <v>2009</v>
      </c>
      <c r="D99" s="433" t="s">
        <v>93</v>
      </c>
      <c r="E99" s="388">
        <v>29708</v>
      </c>
      <c r="F99" s="388">
        <f>E99</f>
        <v>29708</v>
      </c>
      <c r="G99" s="142"/>
    </row>
    <row r="100" spans="1:7" ht="26.25">
      <c r="A100" s="395"/>
      <c r="B100" s="139"/>
      <c r="C100" s="434">
        <v>2320</v>
      </c>
      <c r="D100" s="138" t="s">
        <v>94</v>
      </c>
      <c r="E100" s="388">
        <v>119471</v>
      </c>
      <c r="F100" s="388">
        <f>E100</f>
        <v>119471</v>
      </c>
      <c r="G100" s="142"/>
    </row>
    <row r="101" spans="1:7" s="133" customFormat="1" ht="12.75">
      <c r="A101" s="129">
        <v>854</v>
      </c>
      <c r="B101" s="130"/>
      <c r="C101" s="129"/>
      <c r="D101" s="131" t="s">
        <v>215</v>
      </c>
      <c r="E101" s="143">
        <f>SUM(E102+E105+E107)</f>
        <v>271682</v>
      </c>
      <c r="F101" s="143">
        <f>SUM(F102+F105+F107)</f>
        <v>271682</v>
      </c>
      <c r="G101" s="143">
        <f>SUM(G102)</f>
        <v>0</v>
      </c>
    </row>
    <row r="102" spans="1:7" s="136" customFormat="1" ht="12.75">
      <c r="A102" s="134"/>
      <c r="B102" s="101">
        <v>85410</v>
      </c>
      <c r="C102" s="134"/>
      <c r="D102" s="100" t="s">
        <v>283</v>
      </c>
      <c r="E102" s="144">
        <f>SUM(E103:E104)</f>
        <v>31082</v>
      </c>
      <c r="F102" s="144">
        <f>SUM(F103:F104)</f>
        <v>31082</v>
      </c>
      <c r="G102" s="144">
        <f>SUM(G103:G104)</f>
        <v>0</v>
      </c>
    </row>
    <row r="103" spans="1:7" ht="45">
      <c r="A103" s="137"/>
      <c r="B103" s="138"/>
      <c r="C103" s="137" t="s">
        <v>247</v>
      </c>
      <c r="D103" s="139" t="s">
        <v>248</v>
      </c>
      <c r="E103" s="142">
        <f>3000+9000</f>
        <v>12000</v>
      </c>
      <c r="F103" s="142">
        <f>E103</f>
        <v>12000</v>
      </c>
      <c r="G103" s="142"/>
    </row>
    <row r="104" spans="1:7" ht="15.75">
      <c r="A104" s="137"/>
      <c r="B104" s="138"/>
      <c r="C104" s="401" t="s">
        <v>471</v>
      </c>
      <c r="D104" s="139" t="s">
        <v>478</v>
      </c>
      <c r="E104" s="388">
        <v>19082</v>
      </c>
      <c r="F104" s="142">
        <f>E104</f>
        <v>19082</v>
      </c>
      <c r="G104" s="142"/>
    </row>
    <row r="105" spans="1:7" ht="15.75">
      <c r="A105" s="137"/>
      <c r="B105" s="101">
        <v>85413</v>
      </c>
      <c r="C105" s="401"/>
      <c r="D105" s="100" t="s">
        <v>137</v>
      </c>
      <c r="E105" s="424">
        <f>E106</f>
        <v>226800</v>
      </c>
      <c r="F105" s="424">
        <f>F106</f>
        <v>226800</v>
      </c>
      <c r="G105" s="144">
        <f>G106</f>
        <v>0</v>
      </c>
    </row>
    <row r="106" spans="1:7" ht="34.5">
      <c r="A106" s="137"/>
      <c r="B106" s="138"/>
      <c r="C106" s="401">
        <v>2700</v>
      </c>
      <c r="D106" s="139" t="s">
        <v>2</v>
      </c>
      <c r="E106" s="388">
        <v>226800</v>
      </c>
      <c r="F106" s="142">
        <f>E106</f>
        <v>226800</v>
      </c>
      <c r="G106" s="142"/>
    </row>
    <row r="107" spans="1:7" s="136" customFormat="1" ht="12.75">
      <c r="A107" s="134"/>
      <c r="B107" s="101">
        <v>85415</v>
      </c>
      <c r="C107" s="134"/>
      <c r="D107" s="100" t="s">
        <v>473</v>
      </c>
      <c r="E107" s="144">
        <f>SUM(E108:E109)</f>
        <v>13800</v>
      </c>
      <c r="F107" s="144">
        <f>SUM(F108:F109)</f>
        <v>13800</v>
      </c>
      <c r="G107" s="144">
        <f>SUM(G108:G109)</f>
        <v>0</v>
      </c>
    </row>
    <row r="108" spans="1:7" s="136" customFormat="1" ht="22.5">
      <c r="A108" s="134"/>
      <c r="B108" s="101"/>
      <c r="C108" s="287">
        <v>2130</v>
      </c>
      <c r="D108" s="139" t="s">
        <v>280</v>
      </c>
      <c r="E108" s="286">
        <v>4800</v>
      </c>
      <c r="F108" s="142">
        <f>E108</f>
        <v>4800</v>
      </c>
      <c r="G108" s="144"/>
    </row>
    <row r="109" spans="1:7" ht="22.5">
      <c r="A109" s="137"/>
      <c r="B109" s="138"/>
      <c r="C109" s="141">
        <v>2330</v>
      </c>
      <c r="D109" s="139" t="s">
        <v>474</v>
      </c>
      <c r="E109" s="142">
        <v>9000</v>
      </c>
      <c r="F109" s="142">
        <f>E109</f>
        <v>9000</v>
      </c>
      <c r="G109" s="142"/>
    </row>
    <row r="110" spans="1:7" ht="15.75">
      <c r="A110" s="398">
        <v>921</v>
      </c>
      <c r="B110" s="389"/>
      <c r="C110" s="390"/>
      <c r="D110" s="396" t="s">
        <v>223</v>
      </c>
      <c r="E110" s="391">
        <f>E111</f>
        <v>2000</v>
      </c>
      <c r="F110" s="391">
        <f>F111</f>
        <v>2000</v>
      </c>
      <c r="G110" s="391">
        <f>G111</f>
        <v>0</v>
      </c>
    </row>
    <row r="111" spans="1:7" ht="15.75">
      <c r="A111" s="392"/>
      <c r="B111" s="397">
        <v>92116</v>
      </c>
      <c r="C111" s="393"/>
      <c r="D111" s="399" t="s">
        <v>224</v>
      </c>
      <c r="E111" s="394">
        <f>SUM(E112)</f>
        <v>2000</v>
      </c>
      <c r="F111" s="394">
        <f>SUM(F112)</f>
        <v>2000</v>
      </c>
      <c r="G111" s="142">
        <f>SUM(G112)</f>
        <v>0</v>
      </c>
    </row>
    <row r="112" spans="1:7" ht="24">
      <c r="A112" s="395"/>
      <c r="B112" s="139"/>
      <c r="C112" s="395">
        <v>2440</v>
      </c>
      <c r="D112" s="400" t="s">
        <v>425</v>
      </c>
      <c r="E112" s="394">
        <v>2000</v>
      </c>
      <c r="F112" s="142">
        <f>E112</f>
        <v>2000</v>
      </c>
      <c r="G112" s="142"/>
    </row>
    <row r="113" spans="1:7" ht="12.75">
      <c r="A113" s="129"/>
      <c r="B113" s="130"/>
      <c r="C113" s="129"/>
      <c r="D113" s="131" t="s">
        <v>284</v>
      </c>
      <c r="E113" s="144">
        <f>SUM(E10+E13+E21+E26+E33+E44+E49+E62+E71+E74+E88+E101+E16+E110)</f>
        <v>46652639</v>
      </c>
      <c r="F113" s="144">
        <f>SUM(F10+F13+F21+F26+F33+F44+F49+F62+F71+F74+F88+F101+F16+F110)</f>
        <v>46520139</v>
      </c>
      <c r="G113" s="144">
        <f>SUM(G10+G13+G21+G26+G33+G44+G49+G62+G71+G74+G88+G101+G16+G110)</f>
        <v>132500</v>
      </c>
    </row>
    <row r="118" ht="12.75">
      <c r="E118" s="121"/>
    </row>
  </sheetData>
  <sheetProtection/>
  <mergeCells count="7">
    <mergeCell ref="E4:G5"/>
    <mergeCell ref="E6:G6"/>
    <mergeCell ref="B1:E1"/>
    <mergeCell ref="A4:A5"/>
    <mergeCell ref="B4:B5"/>
    <mergeCell ref="C4:C5"/>
    <mergeCell ref="D4:D5"/>
  </mergeCells>
  <printOptions horizontalCentered="1"/>
  <pageMargins left="0.5511811023622047" right="0.5511811023622047" top="2.0078740157480315" bottom="0.5905511811023623" header="0.5118110236220472" footer="0.5118110236220472"/>
  <pageSetup horizontalDpi="300" verticalDpi="300" orientation="portrait" paperSize="9" scale="80" r:id="rId1"/>
  <headerFooter alignWithMargins="0">
    <oddHeader>&amp;R&amp;9Załącznik nr 1
do uchwały Rady Powiatu
 nr XIV/101/08
z dnia 16.06.2008 r.</oddHeader>
  </headerFooter>
</worksheet>
</file>

<file path=xl/worksheets/sheet10.xml><?xml version="1.0" encoding="utf-8"?>
<worksheet xmlns="http://schemas.openxmlformats.org/spreadsheetml/2006/main" xmlns:r="http://schemas.openxmlformats.org/officeDocument/2006/relationships">
  <dimension ref="A1:K25"/>
  <sheetViews>
    <sheetView zoomScalePageLayoutView="0" workbookViewId="0" topLeftCell="A1">
      <selection activeCell="H3" sqref="H3"/>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526" t="s">
        <v>567</v>
      </c>
      <c r="B1" s="526"/>
      <c r="C1" s="526"/>
      <c r="D1" s="526"/>
      <c r="E1" s="526"/>
      <c r="F1" s="526"/>
      <c r="G1" s="526"/>
      <c r="H1" s="526"/>
      <c r="I1" s="526"/>
      <c r="J1" s="526"/>
    </row>
    <row r="2" spans="1:10" ht="16.5">
      <c r="A2" s="526" t="s">
        <v>389</v>
      </c>
      <c r="B2" s="526"/>
      <c r="C2" s="526"/>
      <c r="D2" s="526"/>
      <c r="E2" s="526"/>
      <c r="F2" s="526"/>
      <c r="G2" s="526"/>
      <c r="H2" s="526"/>
      <c r="I2" s="526"/>
      <c r="J2" s="526"/>
    </row>
    <row r="3" spans="1:10" ht="6" customHeight="1">
      <c r="A3" s="6"/>
      <c r="B3" s="6"/>
      <c r="C3" s="6"/>
      <c r="D3" s="6"/>
      <c r="E3" s="6"/>
      <c r="F3" s="6"/>
      <c r="G3" s="6"/>
      <c r="H3" s="6"/>
      <c r="I3" s="6"/>
      <c r="J3" s="6"/>
    </row>
    <row r="4" spans="1:11" ht="12.75">
      <c r="A4" s="1"/>
      <c r="B4" s="1"/>
      <c r="C4" s="1"/>
      <c r="D4" s="1"/>
      <c r="E4" s="1"/>
      <c r="F4" s="1"/>
      <c r="G4" s="1"/>
      <c r="H4" s="1"/>
      <c r="I4" s="1"/>
      <c r="K4" s="9" t="s">
        <v>549</v>
      </c>
    </row>
    <row r="5" spans="1:11" ht="15" customHeight="1">
      <c r="A5" s="461" t="s">
        <v>568</v>
      </c>
      <c r="B5" s="461" t="s">
        <v>508</v>
      </c>
      <c r="C5" s="467" t="s">
        <v>10</v>
      </c>
      <c r="D5" s="527" t="s">
        <v>579</v>
      </c>
      <c r="E5" s="528"/>
      <c r="F5" s="528"/>
      <c r="G5" s="529"/>
      <c r="H5" s="467" t="s">
        <v>516</v>
      </c>
      <c r="I5" s="467"/>
      <c r="J5" s="467" t="s">
        <v>11</v>
      </c>
      <c r="K5" s="467" t="s">
        <v>447</v>
      </c>
    </row>
    <row r="6" spans="1:11" ht="15" customHeight="1">
      <c r="A6" s="461"/>
      <c r="B6" s="461"/>
      <c r="C6" s="467"/>
      <c r="D6" s="467" t="s">
        <v>515</v>
      </c>
      <c r="E6" s="532" t="s">
        <v>514</v>
      </c>
      <c r="F6" s="533"/>
      <c r="G6" s="534"/>
      <c r="H6" s="467" t="s">
        <v>515</v>
      </c>
      <c r="I6" s="467" t="s">
        <v>571</v>
      </c>
      <c r="J6" s="467"/>
      <c r="K6" s="467"/>
    </row>
    <row r="7" spans="1:11" ht="18" customHeight="1">
      <c r="A7" s="461"/>
      <c r="B7" s="461"/>
      <c r="C7" s="467"/>
      <c r="D7" s="467"/>
      <c r="E7" s="530" t="s">
        <v>12</v>
      </c>
      <c r="F7" s="532" t="s">
        <v>514</v>
      </c>
      <c r="G7" s="534"/>
      <c r="H7" s="467"/>
      <c r="I7" s="467"/>
      <c r="J7" s="467"/>
      <c r="K7" s="467"/>
    </row>
    <row r="8" spans="1:11" ht="42" customHeight="1">
      <c r="A8" s="461"/>
      <c r="B8" s="461"/>
      <c r="C8" s="467"/>
      <c r="D8" s="467"/>
      <c r="E8" s="531"/>
      <c r="F8" s="74" t="s">
        <v>9</v>
      </c>
      <c r="G8" s="74" t="s">
        <v>8</v>
      </c>
      <c r="H8" s="467"/>
      <c r="I8" s="467"/>
      <c r="J8" s="467"/>
      <c r="K8" s="467"/>
    </row>
    <row r="9" spans="1:11" ht="7.5" customHeight="1" thickBot="1">
      <c r="A9" s="318">
        <v>1</v>
      </c>
      <c r="B9" s="318">
        <v>2</v>
      </c>
      <c r="C9" s="318">
        <v>3</v>
      </c>
      <c r="D9" s="318">
        <v>4</v>
      </c>
      <c r="E9" s="318">
        <v>5</v>
      </c>
      <c r="F9" s="318">
        <v>6</v>
      </c>
      <c r="G9" s="318">
        <v>7</v>
      </c>
      <c r="H9" s="318">
        <v>8</v>
      </c>
      <c r="I9" s="318">
        <v>9</v>
      </c>
      <c r="J9" s="318">
        <v>10</v>
      </c>
      <c r="K9" s="318">
        <v>11</v>
      </c>
    </row>
    <row r="10" spans="1:11" s="64" customFormat="1" ht="19.5" customHeight="1" thickBot="1">
      <c r="A10" s="313" t="s">
        <v>518</v>
      </c>
      <c r="B10" s="320" t="s">
        <v>522</v>
      </c>
      <c r="C10" s="315">
        <f>SUM(C12:C14)</f>
        <v>117545</v>
      </c>
      <c r="D10" s="315">
        <f aca="true" t="shared" si="0" ref="D10:J10">SUM(D12:D14)</f>
        <v>1954100</v>
      </c>
      <c r="E10" s="315">
        <f t="shared" si="0"/>
        <v>0</v>
      </c>
      <c r="F10" s="315">
        <f t="shared" si="0"/>
        <v>0</v>
      </c>
      <c r="G10" s="315">
        <f t="shared" si="0"/>
        <v>0</v>
      </c>
      <c r="H10" s="315">
        <f t="shared" si="0"/>
        <v>1954100</v>
      </c>
      <c r="I10" s="315">
        <f t="shared" si="0"/>
        <v>0</v>
      </c>
      <c r="J10" s="315">
        <f t="shared" si="0"/>
        <v>117545</v>
      </c>
      <c r="K10" s="321" t="s">
        <v>556</v>
      </c>
    </row>
    <row r="11" spans="1:11" ht="19.5" customHeight="1">
      <c r="A11" s="319"/>
      <c r="B11" s="310" t="s">
        <v>587</v>
      </c>
      <c r="C11" s="311"/>
      <c r="D11" s="311"/>
      <c r="E11" s="311"/>
      <c r="F11" s="312"/>
      <c r="G11" s="311"/>
      <c r="H11" s="311"/>
      <c r="I11" s="311"/>
      <c r="J11" s="311"/>
      <c r="K11" s="312"/>
    </row>
    <row r="12" spans="1:11" ht="38.25">
      <c r="A12" s="34"/>
      <c r="B12" s="226" t="s">
        <v>315</v>
      </c>
      <c r="C12" s="211">
        <v>0</v>
      </c>
      <c r="D12" s="211">
        <f>670000+28600</f>
        <v>698600</v>
      </c>
      <c r="E12" s="211"/>
      <c r="F12" s="212" t="s">
        <v>556</v>
      </c>
      <c r="G12" s="211"/>
      <c r="H12" s="211">
        <f>670000+28600</f>
        <v>698600</v>
      </c>
      <c r="I12" s="211">
        <v>0</v>
      </c>
      <c r="J12" s="211">
        <v>0</v>
      </c>
      <c r="K12" s="212" t="s">
        <v>556</v>
      </c>
    </row>
    <row r="13" spans="1:11" s="373" customFormat="1" ht="25.5">
      <c r="A13" s="369"/>
      <c r="B13" s="370" t="s">
        <v>482</v>
      </c>
      <c r="C13" s="371">
        <v>0</v>
      </c>
      <c r="D13" s="371">
        <v>733600</v>
      </c>
      <c r="E13" s="371"/>
      <c r="F13" s="372"/>
      <c r="G13" s="371"/>
      <c r="H13" s="371">
        <v>733600</v>
      </c>
      <c r="I13" s="371">
        <v>0</v>
      </c>
      <c r="J13" s="371">
        <v>0</v>
      </c>
      <c r="K13" s="372" t="s">
        <v>556</v>
      </c>
    </row>
    <row r="14" spans="1:11" ht="39" thickBot="1">
      <c r="A14" s="305"/>
      <c r="B14" s="306" t="s">
        <v>481</v>
      </c>
      <c r="C14" s="307">
        <v>117545</v>
      </c>
      <c r="D14" s="307">
        <v>521900</v>
      </c>
      <c r="E14" s="307"/>
      <c r="F14" s="308" t="s">
        <v>556</v>
      </c>
      <c r="G14" s="307"/>
      <c r="H14" s="307">
        <v>521900</v>
      </c>
      <c r="I14" s="307"/>
      <c r="J14" s="307">
        <f>C14+D14-H14</f>
        <v>117545</v>
      </c>
      <c r="K14" s="308" t="s">
        <v>556</v>
      </c>
    </row>
    <row r="15" spans="1:11" s="64" customFormat="1" ht="26.25" thickBot="1">
      <c r="A15" s="313" t="s">
        <v>523</v>
      </c>
      <c r="B15" s="314" t="s">
        <v>7</v>
      </c>
      <c r="C15" s="315">
        <f>SUM(C17:C19)</f>
        <v>32276</v>
      </c>
      <c r="D15" s="315">
        <f>SUM(D17:D19)</f>
        <v>466000</v>
      </c>
      <c r="E15" s="315">
        <f>SUM(E17:E19)</f>
        <v>0</v>
      </c>
      <c r="F15" s="316" t="s">
        <v>556</v>
      </c>
      <c r="G15" s="316" t="s">
        <v>556</v>
      </c>
      <c r="H15" s="315">
        <f>SUM(H17:H19)</f>
        <v>446918</v>
      </c>
      <c r="I15" s="316" t="s">
        <v>556</v>
      </c>
      <c r="J15" s="315">
        <f>SUM(J17:J19)</f>
        <v>32276</v>
      </c>
      <c r="K15" s="317"/>
    </row>
    <row r="16" spans="1:11" ht="19.5" customHeight="1">
      <c r="A16" s="309"/>
      <c r="B16" s="310" t="s">
        <v>587</v>
      </c>
      <c r="C16" s="311"/>
      <c r="D16" s="311"/>
      <c r="E16" s="312"/>
      <c r="F16" s="312"/>
      <c r="G16" s="312"/>
      <c r="H16" s="311"/>
      <c r="I16" s="312"/>
      <c r="J16" s="311"/>
      <c r="K16" s="311"/>
    </row>
    <row r="17" spans="1:11" ht="25.5">
      <c r="A17" s="21"/>
      <c r="B17" s="227" t="s">
        <v>317</v>
      </c>
      <c r="C17" s="211"/>
      <c r="D17" s="211">
        <v>120000</v>
      </c>
      <c r="E17" s="212"/>
      <c r="F17" s="212" t="s">
        <v>556</v>
      </c>
      <c r="G17" s="212" t="s">
        <v>556</v>
      </c>
      <c r="H17" s="211">
        <v>120000</v>
      </c>
      <c r="I17" s="212" t="s">
        <v>556</v>
      </c>
      <c r="J17" s="211"/>
      <c r="K17" s="211"/>
    </row>
    <row r="18" spans="1:11" ht="25.5">
      <c r="A18" s="21"/>
      <c r="B18" s="227" t="s">
        <v>388</v>
      </c>
      <c r="C18" s="211">
        <v>5000</v>
      </c>
      <c r="D18" s="211">
        <v>240000</v>
      </c>
      <c r="E18" s="212"/>
      <c r="F18" s="212" t="s">
        <v>556</v>
      </c>
      <c r="G18" s="212" t="s">
        <v>556</v>
      </c>
      <c r="H18" s="211">
        <f>240000-19082</f>
        <v>220918</v>
      </c>
      <c r="I18" s="212" t="s">
        <v>556</v>
      </c>
      <c r="J18" s="307">
        <f>C18</f>
        <v>5000</v>
      </c>
      <c r="K18" s="211">
        <f>D18-H18</f>
        <v>19082</v>
      </c>
    </row>
    <row r="19" spans="1:11" ht="38.25">
      <c r="A19" s="22"/>
      <c r="B19" s="228" t="s">
        <v>483</v>
      </c>
      <c r="C19" s="213">
        <f>11324+15952</f>
        <v>27276</v>
      </c>
      <c r="D19" s="213">
        <f>53000+53000</f>
        <v>106000</v>
      </c>
      <c r="E19" s="214"/>
      <c r="F19" s="214" t="s">
        <v>556</v>
      </c>
      <c r="G19" s="214" t="s">
        <v>556</v>
      </c>
      <c r="H19" s="213">
        <f>53000+53000</f>
        <v>106000</v>
      </c>
      <c r="I19" s="214" t="s">
        <v>556</v>
      </c>
      <c r="J19" s="307">
        <f>C19+D19-H19</f>
        <v>27276</v>
      </c>
      <c r="K19" s="213"/>
    </row>
    <row r="20" spans="1:11" s="64" customFormat="1" ht="19.5" customHeight="1">
      <c r="A20" s="525" t="s">
        <v>641</v>
      </c>
      <c r="B20" s="525"/>
      <c r="C20" s="294">
        <f>C10+C15</f>
        <v>149821</v>
      </c>
      <c r="D20" s="294">
        <f>D10+D15</f>
        <v>2420100</v>
      </c>
      <c r="E20" s="294">
        <f>E10+E15</f>
        <v>0</v>
      </c>
      <c r="F20" s="294"/>
      <c r="G20" s="294"/>
      <c r="H20" s="294">
        <f>H10+H15</f>
        <v>2401018</v>
      </c>
      <c r="I20" s="294"/>
      <c r="J20" s="294">
        <f>J10+J15</f>
        <v>149821</v>
      </c>
      <c r="K20" s="294"/>
    </row>
    <row r="21" ht="4.5" customHeight="1"/>
    <row r="22" ht="12.75" customHeight="1">
      <c r="A22" s="75"/>
    </row>
    <row r="23" ht="12.75">
      <c r="A23" s="75"/>
    </row>
    <row r="24" ht="12.75">
      <c r="A24" s="75"/>
    </row>
    <row r="25" ht="12.75">
      <c r="A25" s="75"/>
    </row>
  </sheetData>
  <sheetProtection/>
  <mergeCells count="16">
    <mergeCell ref="E6:G6"/>
    <mergeCell ref="F7:G7"/>
    <mergeCell ref="K5:K8"/>
    <mergeCell ref="H6:H8"/>
    <mergeCell ref="I6:I8"/>
    <mergeCell ref="J5:J8"/>
    <mergeCell ref="A20:B20"/>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9
do uchwały Rady Powiatu 
nr XIV/101/08
z dnia 16.06.2008 r.</oddHeader>
  </headerFooter>
</worksheet>
</file>

<file path=xl/worksheets/sheet11.xml><?xml version="1.0" encoding="utf-8"?>
<worksheet xmlns="http://schemas.openxmlformats.org/spreadsheetml/2006/main" xmlns:r="http://schemas.openxmlformats.org/officeDocument/2006/relationships">
  <dimension ref="A1:G9"/>
  <sheetViews>
    <sheetView zoomScalePageLayoutView="0" workbookViewId="0" topLeftCell="A1">
      <selection activeCell="A2" sqref="A2"/>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514" t="s">
        <v>391</v>
      </c>
      <c r="B1" s="514"/>
      <c r="C1" s="514"/>
      <c r="D1" s="514"/>
      <c r="E1" s="514"/>
      <c r="F1" s="514"/>
      <c r="G1" s="514"/>
    </row>
    <row r="2" spans="5:7" ht="19.5" customHeight="1">
      <c r="E2" s="6"/>
      <c r="F2" s="6"/>
      <c r="G2" s="6"/>
    </row>
    <row r="3" spans="5:7" ht="19.5" customHeight="1">
      <c r="E3" s="1"/>
      <c r="F3" s="1"/>
      <c r="G3" s="10" t="s">
        <v>549</v>
      </c>
    </row>
    <row r="4" spans="1:7" ht="19.5" customHeight="1">
      <c r="A4" s="461" t="s">
        <v>568</v>
      </c>
      <c r="B4" s="461" t="s">
        <v>510</v>
      </c>
      <c r="C4" s="461" t="s">
        <v>511</v>
      </c>
      <c r="D4" s="517" t="s">
        <v>647</v>
      </c>
      <c r="E4" s="467" t="s">
        <v>580</v>
      </c>
      <c r="F4" s="467" t="s">
        <v>581</v>
      </c>
      <c r="G4" s="467" t="s">
        <v>550</v>
      </c>
    </row>
    <row r="5" spans="1:7" ht="19.5" customHeight="1">
      <c r="A5" s="461"/>
      <c r="B5" s="461"/>
      <c r="C5" s="461"/>
      <c r="D5" s="518"/>
      <c r="E5" s="467"/>
      <c r="F5" s="467"/>
      <c r="G5" s="467"/>
    </row>
    <row r="6" spans="1:7" ht="19.5" customHeight="1">
      <c r="A6" s="461"/>
      <c r="B6" s="461"/>
      <c r="C6" s="461"/>
      <c r="D6" s="519"/>
      <c r="E6" s="467"/>
      <c r="F6" s="467"/>
      <c r="G6" s="467"/>
    </row>
    <row r="7" spans="1:7" ht="7.5" customHeight="1">
      <c r="A7" s="18">
        <v>1</v>
      </c>
      <c r="B7" s="18">
        <v>2</v>
      </c>
      <c r="C7" s="18">
        <v>3</v>
      </c>
      <c r="D7" s="18">
        <v>4</v>
      </c>
      <c r="E7" s="18">
        <v>5</v>
      </c>
      <c r="F7" s="18">
        <v>6</v>
      </c>
      <c r="G7" s="18">
        <v>7</v>
      </c>
    </row>
    <row r="8" spans="1:7" ht="30" customHeight="1">
      <c r="A8" s="35"/>
      <c r="B8" s="35"/>
      <c r="C8" s="35"/>
      <c r="D8" s="35"/>
      <c r="E8" s="35" t="s">
        <v>304</v>
      </c>
      <c r="F8" s="35"/>
      <c r="G8" s="35"/>
    </row>
    <row r="9" spans="1:7" s="1" customFormat="1" ht="30" customHeight="1">
      <c r="A9" s="535" t="s">
        <v>641</v>
      </c>
      <c r="B9" s="536"/>
      <c r="C9" s="536"/>
      <c r="D9" s="536"/>
      <c r="E9" s="537"/>
      <c r="F9" s="26"/>
      <c r="G9" s="26"/>
    </row>
  </sheetData>
  <sheetProtection/>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E5" sqref="E5"/>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06" customWidth="1"/>
    <col min="7" max="16384" width="9.125" style="1" customWidth="1"/>
  </cols>
  <sheetData>
    <row r="1" spans="1:6" ht="19.5" customHeight="1">
      <c r="A1" s="538" t="s">
        <v>392</v>
      </c>
      <c r="B1" s="538"/>
      <c r="C1" s="538"/>
      <c r="D1" s="538"/>
      <c r="E1" s="538"/>
      <c r="F1" s="538"/>
    </row>
    <row r="2" spans="5:6" ht="19.5" customHeight="1">
      <c r="E2" s="6"/>
      <c r="F2" s="178"/>
    </row>
    <row r="3" ht="19.5" customHeight="1">
      <c r="F3" s="179" t="s">
        <v>549</v>
      </c>
    </row>
    <row r="4" spans="1:6" ht="19.5" customHeight="1">
      <c r="A4" s="15" t="s">
        <v>568</v>
      </c>
      <c r="B4" s="15" t="s">
        <v>510</v>
      </c>
      <c r="C4" s="15" t="s">
        <v>511</v>
      </c>
      <c r="D4" s="15" t="s">
        <v>647</v>
      </c>
      <c r="E4" s="15" t="s">
        <v>553</v>
      </c>
      <c r="F4" s="180" t="s">
        <v>552</v>
      </c>
    </row>
    <row r="5" spans="1:6" ht="7.5" customHeight="1">
      <c r="A5" s="18">
        <v>1</v>
      </c>
      <c r="B5" s="18">
        <v>2</v>
      </c>
      <c r="C5" s="18">
        <v>3</v>
      </c>
      <c r="D5" s="18">
        <v>4</v>
      </c>
      <c r="E5" s="18">
        <v>5</v>
      </c>
      <c r="F5" s="159">
        <v>6</v>
      </c>
    </row>
    <row r="6" spans="1:6" ht="89.25">
      <c r="A6" s="28">
        <v>1</v>
      </c>
      <c r="B6" s="28">
        <v>801</v>
      </c>
      <c r="C6" s="28">
        <v>80120</v>
      </c>
      <c r="D6" s="28">
        <v>2540</v>
      </c>
      <c r="E6" s="85" t="s">
        <v>398</v>
      </c>
      <c r="F6" s="168">
        <f>2!J201</f>
        <v>77000</v>
      </c>
    </row>
    <row r="7" spans="1:256" s="188" customFormat="1" ht="30" customHeight="1">
      <c r="A7" s="539" t="s">
        <v>641</v>
      </c>
      <c r="B7" s="540"/>
      <c r="C7" s="540"/>
      <c r="D7" s="540"/>
      <c r="E7" s="541"/>
      <c r="F7" s="186">
        <f>SUM(F6)</f>
        <v>77000</v>
      </c>
      <c r="IV7" s="189">
        <f>SUM(F7:IU7)</f>
        <v>77000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2"/>
  <sheetViews>
    <sheetView zoomScalePageLayoutView="0" workbookViewId="0" topLeftCell="A16">
      <selection activeCell="F21" sqref="F21:F22"/>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76" customWidth="1"/>
  </cols>
  <sheetData>
    <row r="1" spans="1:6" ht="48.75" customHeight="1">
      <c r="A1" s="464" t="s">
        <v>402</v>
      </c>
      <c r="B1" s="464"/>
      <c r="C1" s="464"/>
      <c r="D1" s="464"/>
      <c r="E1" s="464"/>
      <c r="F1" s="464"/>
    </row>
    <row r="2" spans="5:6" ht="19.5" customHeight="1">
      <c r="E2" s="6"/>
      <c r="F2" s="173"/>
    </row>
    <row r="3" spans="5:6" ht="19.5" customHeight="1">
      <c r="E3" s="1"/>
      <c r="F3" s="174" t="s">
        <v>549</v>
      </c>
    </row>
    <row r="4" spans="1:6" ht="19.5" customHeight="1">
      <c r="A4" s="15" t="s">
        <v>568</v>
      </c>
      <c r="B4" s="15" t="s">
        <v>510</v>
      </c>
      <c r="C4" s="15" t="s">
        <v>511</v>
      </c>
      <c r="D4" s="15" t="s">
        <v>645</v>
      </c>
      <c r="E4" s="15" t="s">
        <v>551</v>
      </c>
      <c r="F4" s="175" t="s">
        <v>552</v>
      </c>
    </row>
    <row r="5" spans="1:6" s="70" customFormat="1" ht="7.5" customHeight="1">
      <c r="A5" s="18">
        <v>1</v>
      </c>
      <c r="B5" s="18">
        <v>2</v>
      </c>
      <c r="C5" s="18">
        <v>3</v>
      </c>
      <c r="D5" s="18">
        <v>4</v>
      </c>
      <c r="E5" s="18">
        <v>5</v>
      </c>
      <c r="F5" s="159">
        <v>6</v>
      </c>
    </row>
    <row r="6" spans="1:6" ht="153">
      <c r="A6" s="137">
        <v>1</v>
      </c>
      <c r="B6" s="137" t="s">
        <v>55</v>
      </c>
      <c r="C6" s="137" t="s">
        <v>60</v>
      </c>
      <c r="D6" s="137">
        <v>2830</v>
      </c>
      <c r="E6" s="85" t="s">
        <v>446</v>
      </c>
      <c r="F6" s="177">
        <f>2!J15</f>
        <v>43030</v>
      </c>
    </row>
    <row r="7" spans="1:6" ht="102">
      <c r="A7" s="137">
        <v>2</v>
      </c>
      <c r="B7" s="137">
        <v>754</v>
      </c>
      <c r="C7" s="137">
        <v>75495</v>
      </c>
      <c r="D7" s="137">
        <v>2320</v>
      </c>
      <c r="E7" s="85" t="s">
        <v>507</v>
      </c>
      <c r="F7" s="177">
        <f>2!J162</f>
        <v>47142</v>
      </c>
    </row>
    <row r="8" spans="1:6" ht="140.25">
      <c r="A8" s="137">
        <v>5</v>
      </c>
      <c r="B8" s="137"/>
      <c r="C8" s="137"/>
      <c r="D8" s="137">
        <v>2330</v>
      </c>
      <c r="E8" s="85" t="s">
        <v>403</v>
      </c>
      <c r="F8" s="177">
        <f>2!J213</f>
        <v>30000</v>
      </c>
    </row>
    <row r="9" spans="1:6" ht="63.75">
      <c r="A9" s="137">
        <v>6</v>
      </c>
      <c r="B9" s="137">
        <v>801</v>
      </c>
      <c r="C9" s="137">
        <v>80146</v>
      </c>
      <c r="D9" s="137">
        <v>2310</v>
      </c>
      <c r="E9" s="85" t="s">
        <v>307</v>
      </c>
      <c r="F9" s="177">
        <f>2!J274</f>
        <v>9000</v>
      </c>
    </row>
    <row r="10" spans="1:6" ht="140.25">
      <c r="A10" s="137">
        <v>7</v>
      </c>
      <c r="B10" s="137">
        <v>852</v>
      </c>
      <c r="C10" s="137">
        <v>85201</v>
      </c>
      <c r="D10" s="137">
        <v>2320</v>
      </c>
      <c r="E10" s="85" t="s">
        <v>399</v>
      </c>
      <c r="F10" s="177">
        <f>2!J319</f>
        <v>226650</v>
      </c>
    </row>
    <row r="11" spans="1:6" ht="114.75">
      <c r="A11" s="137">
        <v>8</v>
      </c>
      <c r="B11" s="137">
        <v>852</v>
      </c>
      <c r="C11" s="137">
        <v>85204</v>
      </c>
      <c r="D11" s="137">
        <v>2320</v>
      </c>
      <c r="E11" s="85" t="s">
        <v>404</v>
      </c>
      <c r="F11" s="177">
        <f>2!J398</f>
        <v>137440</v>
      </c>
    </row>
    <row r="12" spans="1:6" ht="38.25">
      <c r="A12" s="137">
        <v>9</v>
      </c>
      <c r="B12" s="137">
        <v>853</v>
      </c>
      <c r="C12" s="137">
        <v>85311</v>
      </c>
      <c r="D12" s="137">
        <v>2320</v>
      </c>
      <c r="E12" s="85" t="s">
        <v>305</v>
      </c>
      <c r="F12" s="177">
        <f>2!J449</f>
        <v>15530</v>
      </c>
    </row>
    <row r="13" spans="1:6" ht="120">
      <c r="A13" s="137"/>
      <c r="B13" s="137"/>
      <c r="C13" s="137">
        <v>85395</v>
      </c>
      <c r="D13" s="137">
        <v>2328</v>
      </c>
      <c r="E13" s="445" t="s">
        <v>96</v>
      </c>
      <c r="F13" s="177">
        <f>2!J497</f>
        <v>443838</v>
      </c>
    </row>
    <row r="14" spans="1:6" ht="120">
      <c r="A14" s="137"/>
      <c r="B14" s="137"/>
      <c r="C14" s="137"/>
      <c r="D14" s="137">
        <v>2329</v>
      </c>
      <c r="E14" s="445" t="s">
        <v>96</v>
      </c>
      <c r="F14" s="177">
        <f>2!J498</f>
        <v>78324</v>
      </c>
    </row>
    <row r="15" spans="1:6" ht="204">
      <c r="A15" s="137">
        <v>10</v>
      </c>
      <c r="B15" s="137">
        <v>854</v>
      </c>
      <c r="C15" s="137">
        <v>85406</v>
      </c>
      <c r="D15" s="137">
        <v>2310</v>
      </c>
      <c r="E15" s="85" t="s">
        <v>400</v>
      </c>
      <c r="F15" s="177">
        <f>2!J526</f>
        <v>285000</v>
      </c>
    </row>
    <row r="16" spans="1:6" ht="33.75">
      <c r="A16" s="137">
        <v>11</v>
      </c>
      <c r="B16" s="137">
        <v>921</v>
      </c>
      <c r="C16" s="137">
        <v>92108</v>
      </c>
      <c r="D16" s="137">
        <v>2820</v>
      </c>
      <c r="E16" s="99" t="s">
        <v>365</v>
      </c>
      <c r="F16" s="177">
        <f>2!J580</f>
        <v>6500</v>
      </c>
    </row>
    <row r="17" spans="1:6" ht="89.25">
      <c r="A17" s="137">
        <v>12</v>
      </c>
      <c r="B17" s="137"/>
      <c r="C17" s="137">
        <v>92116</v>
      </c>
      <c r="D17" s="137">
        <v>2310</v>
      </c>
      <c r="E17" s="85" t="s">
        <v>401</v>
      </c>
      <c r="F17" s="177">
        <f>2!J582</f>
        <v>49380</v>
      </c>
    </row>
    <row r="18" spans="1:6" ht="33.75">
      <c r="A18" s="137">
        <v>13</v>
      </c>
      <c r="B18" s="137"/>
      <c r="C18" s="137">
        <v>92195</v>
      </c>
      <c r="D18" s="137">
        <v>2820</v>
      </c>
      <c r="E18" s="99" t="s">
        <v>365</v>
      </c>
      <c r="F18" s="177">
        <f>2!J586</f>
        <v>13500</v>
      </c>
    </row>
    <row r="19" spans="1:6" ht="33.75">
      <c r="A19" s="137">
        <v>14</v>
      </c>
      <c r="B19" s="137">
        <v>926</v>
      </c>
      <c r="C19" s="137">
        <v>92605</v>
      </c>
      <c r="D19" s="137">
        <v>2820</v>
      </c>
      <c r="E19" s="99" t="s">
        <v>365</v>
      </c>
      <c r="F19" s="177">
        <f>2!J593</f>
        <v>53000</v>
      </c>
    </row>
    <row r="20" spans="1:6" s="64" customFormat="1" ht="30" customHeight="1">
      <c r="A20" s="516" t="s">
        <v>641</v>
      </c>
      <c r="B20" s="516"/>
      <c r="C20" s="516"/>
      <c r="D20" s="516"/>
      <c r="E20" s="516"/>
      <c r="F20" s="190">
        <f>SUM(F6:F19)</f>
        <v>1438334</v>
      </c>
    </row>
    <row r="21" spans="1:6" ht="12.75">
      <c r="A21" s="542" t="s">
        <v>335</v>
      </c>
      <c r="B21" s="542"/>
      <c r="C21" s="542"/>
      <c r="D21" s="542"/>
      <c r="E21" s="542"/>
      <c r="F21" s="543">
        <f>F20-F13-F14</f>
        <v>916172</v>
      </c>
    </row>
    <row r="22" spans="1:6" ht="12.75">
      <c r="A22" s="542"/>
      <c r="B22" s="542"/>
      <c r="C22" s="542"/>
      <c r="D22" s="542"/>
      <c r="E22" s="542"/>
      <c r="F22" s="544"/>
    </row>
  </sheetData>
  <sheetProtection/>
  <mergeCells count="4">
    <mergeCell ref="A1:F1"/>
    <mergeCell ref="A20:E20"/>
    <mergeCell ref="A21:E22"/>
    <mergeCell ref="F21:F22"/>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12
do uchwały Rady Powiatu 
nr XIV/101/08
z dnia 16.06.2008 r.</oddHeader>
  </headerFooter>
</worksheet>
</file>

<file path=xl/worksheets/sheet14.xml><?xml version="1.0" encoding="utf-8"?>
<worksheet xmlns="http://schemas.openxmlformats.org/spreadsheetml/2006/main" xmlns:r="http://schemas.openxmlformats.org/officeDocument/2006/relationships">
  <dimension ref="A1:J27"/>
  <sheetViews>
    <sheetView zoomScalePageLayoutView="0" workbookViewId="0" topLeftCell="A1">
      <selection activeCell="C13" sqref="C13"/>
    </sheetView>
  </sheetViews>
  <sheetFormatPr defaultColWidth="9.00390625" defaultRowHeight="12.75"/>
  <cols>
    <col min="1" max="1" width="5.25390625" style="1" bestFit="1" customWidth="1"/>
    <col min="2" max="2" width="63.125" style="1" customWidth="1"/>
    <col min="3" max="3" width="17.75390625" style="119" customWidth="1"/>
    <col min="4" max="16384" width="9.125" style="1" customWidth="1"/>
  </cols>
  <sheetData>
    <row r="1" spans="1:10" ht="19.5" customHeight="1">
      <c r="A1" s="486" t="s">
        <v>48</v>
      </c>
      <c r="B1" s="486"/>
      <c r="C1" s="486"/>
      <c r="D1" s="6"/>
      <c r="E1" s="6"/>
      <c r="F1" s="6"/>
      <c r="G1" s="6"/>
      <c r="H1" s="6"/>
      <c r="I1" s="6"/>
      <c r="J1" s="6"/>
    </row>
    <row r="2" spans="1:7" ht="19.5" customHeight="1">
      <c r="A2" s="486" t="s">
        <v>554</v>
      </c>
      <c r="B2" s="486"/>
      <c r="C2" s="486"/>
      <c r="D2" s="6"/>
      <c r="E2" s="6"/>
      <c r="F2" s="6"/>
      <c r="G2" s="6"/>
    </row>
    <row r="5" ht="12.75">
      <c r="C5" s="115" t="s">
        <v>549</v>
      </c>
    </row>
    <row r="6" spans="1:10" ht="19.5" customHeight="1">
      <c r="A6" s="15" t="s">
        <v>568</v>
      </c>
      <c r="B6" s="15" t="s">
        <v>508</v>
      </c>
      <c r="C6" s="116" t="s">
        <v>387</v>
      </c>
      <c r="D6" s="7"/>
      <c r="E6" s="7"/>
      <c r="F6" s="7"/>
      <c r="G6" s="7"/>
      <c r="H6" s="7"/>
      <c r="I6" s="8"/>
      <c r="J6" s="8"/>
    </row>
    <row r="7" spans="1:10" ht="19.5" customHeight="1">
      <c r="A7" s="24" t="s">
        <v>518</v>
      </c>
      <c r="B7" s="36" t="s">
        <v>570</v>
      </c>
      <c r="C7" s="117">
        <v>621416</v>
      </c>
      <c r="D7" s="7"/>
      <c r="E7" s="7"/>
      <c r="F7" s="7"/>
      <c r="G7" s="7"/>
      <c r="H7" s="7"/>
      <c r="I7" s="8"/>
      <c r="J7" s="8"/>
    </row>
    <row r="8" spans="1:10" ht="19.5" customHeight="1">
      <c r="A8" s="24" t="s">
        <v>523</v>
      </c>
      <c r="B8" s="36" t="s">
        <v>517</v>
      </c>
      <c r="C8" s="117">
        <f>SUM(C9:C10)</f>
        <v>1500000</v>
      </c>
      <c r="D8" s="7"/>
      <c r="E8" s="7"/>
      <c r="F8" s="7"/>
      <c r="G8" s="7"/>
      <c r="H8" s="7"/>
      <c r="I8" s="8"/>
      <c r="J8" s="8"/>
    </row>
    <row r="9" spans="1:10" ht="19.5" customHeight="1">
      <c r="A9" s="25">
        <v>1</v>
      </c>
      <c r="B9" s="191" t="s">
        <v>233</v>
      </c>
      <c r="C9" s="192"/>
      <c r="D9" s="7"/>
      <c r="E9" s="7"/>
      <c r="F9" s="7"/>
      <c r="G9" s="7"/>
      <c r="H9" s="7"/>
      <c r="I9" s="8"/>
      <c r="J9" s="8"/>
    </row>
    <row r="10" spans="1:10" ht="19.5" customHeight="1">
      <c r="A10" s="25"/>
      <c r="B10" s="191" t="s">
        <v>119</v>
      </c>
      <c r="C10" s="192">
        <v>1500000</v>
      </c>
      <c r="D10" s="7"/>
      <c r="E10" s="7"/>
      <c r="F10" s="7"/>
      <c r="G10" s="7"/>
      <c r="H10" s="7"/>
      <c r="I10" s="8"/>
      <c r="J10" s="8"/>
    </row>
    <row r="11" spans="1:10" ht="19.5" customHeight="1">
      <c r="A11" s="24" t="s">
        <v>524</v>
      </c>
      <c r="B11" s="36" t="s">
        <v>516</v>
      </c>
      <c r="C11" s="117">
        <f>SUM(C12:C16)</f>
        <v>2102692</v>
      </c>
      <c r="D11" s="7"/>
      <c r="E11" s="7"/>
      <c r="F11" s="7"/>
      <c r="G11" s="7"/>
      <c r="H11" s="7"/>
      <c r="I11" s="8"/>
      <c r="J11" s="8"/>
    </row>
    <row r="12" spans="1:10" ht="19.5" customHeight="1">
      <c r="A12" s="25">
        <v>1</v>
      </c>
      <c r="B12" s="231" t="s">
        <v>545</v>
      </c>
      <c r="C12" s="192">
        <f>82000+550692+192000</f>
        <v>824692</v>
      </c>
      <c r="D12" s="7"/>
      <c r="E12" s="7"/>
      <c r="F12" s="7"/>
      <c r="G12" s="7"/>
      <c r="H12" s="7"/>
      <c r="I12" s="8"/>
      <c r="J12" s="8"/>
    </row>
    <row r="13" spans="1:10" ht="38.25">
      <c r="A13" s="25">
        <v>2</v>
      </c>
      <c r="B13" s="231" t="s">
        <v>332</v>
      </c>
      <c r="C13" s="192">
        <f>240000+25000</f>
        <v>265000</v>
      </c>
      <c r="D13" s="7"/>
      <c r="E13" s="7"/>
      <c r="F13" s="7"/>
      <c r="G13" s="7"/>
      <c r="H13" s="7"/>
      <c r="I13" s="8"/>
      <c r="J13" s="8"/>
    </row>
    <row r="14" spans="1:10" ht="25.5">
      <c r="A14" s="25">
        <v>3</v>
      </c>
      <c r="B14" s="231" t="s">
        <v>369</v>
      </c>
      <c r="C14" s="192">
        <v>40000</v>
      </c>
      <c r="D14" s="7"/>
      <c r="E14" s="7"/>
      <c r="F14" s="7"/>
      <c r="G14" s="7"/>
      <c r="H14" s="7"/>
      <c r="I14" s="8"/>
      <c r="J14" s="8"/>
    </row>
    <row r="15" spans="1:10" ht="38.25">
      <c r="A15" s="25">
        <v>4</v>
      </c>
      <c r="B15" s="231" t="s">
        <v>354</v>
      </c>
      <c r="C15" s="192">
        <v>50000</v>
      </c>
      <c r="D15" s="7"/>
      <c r="E15" s="7"/>
      <c r="F15" s="7"/>
      <c r="G15" s="7"/>
      <c r="H15" s="7"/>
      <c r="I15" s="8"/>
      <c r="J15" s="8"/>
    </row>
    <row r="16" spans="1:10" ht="19.5" customHeight="1">
      <c r="A16" s="25">
        <v>5</v>
      </c>
      <c r="B16" s="231" t="s">
        <v>333</v>
      </c>
      <c r="C16" s="192">
        <f>1115000-192000</f>
        <v>923000</v>
      </c>
      <c r="D16" s="7"/>
      <c r="E16" s="7"/>
      <c r="F16" s="7"/>
      <c r="G16" s="7"/>
      <c r="H16" s="7"/>
      <c r="I16" s="8"/>
      <c r="J16" s="8"/>
    </row>
    <row r="17" spans="1:10" ht="19.5" customHeight="1">
      <c r="A17" s="24" t="s">
        <v>546</v>
      </c>
      <c r="B17" s="36" t="s">
        <v>572</v>
      </c>
      <c r="C17" s="117">
        <f>C7+C8-C11</f>
        <v>18724</v>
      </c>
      <c r="D17" s="7"/>
      <c r="E17" s="7"/>
      <c r="F17" s="7"/>
      <c r="G17" s="7"/>
      <c r="H17" s="7"/>
      <c r="I17" s="8"/>
      <c r="J17" s="8"/>
    </row>
    <row r="18" spans="1:10" ht="15">
      <c r="A18" s="7"/>
      <c r="B18" s="7"/>
      <c r="C18" s="118"/>
      <c r="D18" s="7"/>
      <c r="E18" s="7"/>
      <c r="F18" s="7"/>
      <c r="G18" s="7"/>
      <c r="H18" s="7"/>
      <c r="I18" s="8"/>
      <c r="J18" s="8"/>
    </row>
    <row r="19" spans="1:10" ht="15">
      <c r="A19" s="7"/>
      <c r="B19" s="7"/>
      <c r="C19" s="118"/>
      <c r="D19" s="7"/>
      <c r="E19" s="7"/>
      <c r="F19" s="7"/>
      <c r="G19" s="7"/>
      <c r="H19" s="7"/>
      <c r="I19" s="8"/>
      <c r="J19" s="8"/>
    </row>
    <row r="20" spans="1:10" ht="15">
      <c r="A20" s="7"/>
      <c r="B20" s="7"/>
      <c r="C20" s="118"/>
      <c r="D20" s="7"/>
      <c r="E20" s="7"/>
      <c r="F20" s="7"/>
      <c r="G20" s="7"/>
      <c r="H20" s="7"/>
      <c r="I20" s="8"/>
      <c r="J20" s="8"/>
    </row>
    <row r="21" spans="1:10" ht="15">
      <c r="A21" s="7"/>
      <c r="B21" s="7"/>
      <c r="C21" s="118"/>
      <c r="D21" s="7"/>
      <c r="E21" s="7"/>
      <c r="F21" s="7"/>
      <c r="G21" s="7"/>
      <c r="H21" s="7"/>
      <c r="I21" s="8"/>
      <c r="J21" s="8"/>
    </row>
    <row r="22" spans="1:10" ht="15">
      <c r="A22" s="7"/>
      <c r="B22" s="7"/>
      <c r="C22" s="118"/>
      <c r="D22" s="7"/>
      <c r="E22" s="7"/>
      <c r="F22" s="7"/>
      <c r="G22" s="7"/>
      <c r="H22" s="7"/>
      <c r="I22" s="8"/>
      <c r="J22" s="8"/>
    </row>
    <row r="23" spans="1:10" ht="15">
      <c r="A23" s="7"/>
      <c r="B23" s="7"/>
      <c r="C23" s="118"/>
      <c r="D23" s="7"/>
      <c r="E23" s="7"/>
      <c r="F23" s="7"/>
      <c r="G23" s="7"/>
      <c r="H23" s="7"/>
      <c r="I23" s="8"/>
      <c r="J23" s="8"/>
    </row>
    <row r="24" spans="1:10" ht="15">
      <c r="A24" s="8"/>
      <c r="B24" s="8"/>
      <c r="C24" s="118"/>
      <c r="D24" s="8"/>
      <c r="E24" s="8"/>
      <c r="F24" s="8"/>
      <c r="G24" s="8"/>
      <c r="H24" s="8"/>
      <c r="I24" s="8"/>
      <c r="J24" s="8"/>
    </row>
    <row r="25" spans="1:10" ht="15">
      <c r="A25" s="8"/>
      <c r="B25" s="8"/>
      <c r="C25" s="118"/>
      <c r="D25" s="8"/>
      <c r="E25" s="8"/>
      <c r="F25" s="8"/>
      <c r="G25" s="8"/>
      <c r="H25" s="8"/>
      <c r="I25" s="8"/>
      <c r="J25" s="8"/>
    </row>
    <row r="26" spans="1:10" ht="15">
      <c r="A26" s="8"/>
      <c r="B26" s="8"/>
      <c r="C26" s="118"/>
      <c r="D26" s="8"/>
      <c r="E26" s="8"/>
      <c r="F26" s="8"/>
      <c r="G26" s="8"/>
      <c r="H26" s="8"/>
      <c r="I26" s="8"/>
      <c r="J26" s="8"/>
    </row>
    <row r="27" spans="1:10" ht="15">
      <c r="A27" s="8"/>
      <c r="B27" s="8"/>
      <c r="C27" s="118"/>
      <c r="D27" s="8"/>
      <c r="E27" s="8"/>
      <c r="F27" s="8"/>
      <c r="G27" s="8"/>
      <c r="H27" s="8"/>
      <c r="I27" s="8"/>
      <c r="J27"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13
 do uchwały Rady Powiatu 
nr XIV/101/08
z dnia 16.06.2008 r.</oddHeader>
  </headerFooter>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C17" sqref="C17"/>
    </sheetView>
  </sheetViews>
  <sheetFormatPr defaultColWidth="9.00390625" defaultRowHeight="12.75"/>
  <cols>
    <col min="1" max="1" width="5.25390625" style="1" bestFit="1" customWidth="1"/>
    <col min="2" max="2" width="63.125" style="1" customWidth="1"/>
    <col min="3" max="3" width="17.75390625" style="119" customWidth="1"/>
    <col min="4" max="16384" width="9.125" style="1" customWidth="1"/>
  </cols>
  <sheetData>
    <row r="1" spans="1:10" ht="19.5" customHeight="1">
      <c r="A1" s="486" t="s">
        <v>48</v>
      </c>
      <c r="B1" s="486"/>
      <c r="C1" s="486"/>
      <c r="D1" s="6"/>
      <c r="E1" s="6"/>
      <c r="F1" s="6"/>
      <c r="G1" s="6"/>
      <c r="H1" s="6"/>
      <c r="I1" s="6"/>
      <c r="J1" s="6"/>
    </row>
    <row r="2" spans="1:7" ht="19.5" customHeight="1">
      <c r="A2" s="486" t="s">
        <v>613</v>
      </c>
      <c r="B2" s="486"/>
      <c r="C2" s="486"/>
      <c r="D2" s="6"/>
      <c r="E2" s="6"/>
      <c r="F2" s="6"/>
      <c r="G2" s="6"/>
    </row>
    <row r="4" ht="12.75">
      <c r="C4" s="115" t="s">
        <v>549</v>
      </c>
    </row>
    <row r="5" spans="1:10" ht="19.5" customHeight="1">
      <c r="A5" s="15" t="s">
        <v>568</v>
      </c>
      <c r="B5" s="15" t="s">
        <v>508</v>
      </c>
      <c r="C5" s="116" t="s">
        <v>387</v>
      </c>
      <c r="D5" s="7"/>
      <c r="E5" s="7"/>
      <c r="F5" s="7"/>
      <c r="G5" s="7"/>
      <c r="H5" s="7"/>
      <c r="I5" s="8"/>
      <c r="J5" s="8"/>
    </row>
    <row r="6" spans="1:10" ht="19.5" customHeight="1">
      <c r="A6" s="24" t="s">
        <v>518</v>
      </c>
      <c r="B6" s="36" t="s">
        <v>570</v>
      </c>
      <c r="C6" s="117">
        <v>176004</v>
      </c>
      <c r="D6" s="7"/>
      <c r="E6" s="7"/>
      <c r="F6" s="7"/>
      <c r="G6" s="7"/>
      <c r="H6" s="7"/>
      <c r="I6" s="8"/>
      <c r="J6" s="8"/>
    </row>
    <row r="7" spans="1:10" ht="19.5" customHeight="1">
      <c r="A7" s="24" t="s">
        <v>523</v>
      </c>
      <c r="B7" s="36" t="s">
        <v>517</v>
      </c>
      <c r="C7" s="117">
        <f>SUM(C8:C10)</f>
        <v>1047000</v>
      </c>
      <c r="D7" s="7"/>
      <c r="E7" s="7"/>
      <c r="F7" s="7"/>
      <c r="G7" s="7"/>
      <c r="H7" s="7"/>
      <c r="I7" s="8"/>
      <c r="J7" s="8"/>
    </row>
    <row r="8" spans="1:10" ht="19.5" customHeight="1">
      <c r="A8" s="25" t="s">
        <v>519</v>
      </c>
      <c r="B8" s="191" t="s">
        <v>234</v>
      </c>
      <c r="C8" s="192">
        <f>1040000</f>
        <v>1040000</v>
      </c>
      <c r="D8" s="7"/>
      <c r="E8" s="7"/>
      <c r="F8" s="7"/>
      <c r="G8" s="7"/>
      <c r="H8" s="7"/>
      <c r="I8" s="8"/>
      <c r="J8" s="8"/>
    </row>
    <row r="9" spans="1:10" ht="19.5" customHeight="1">
      <c r="A9" s="25" t="s">
        <v>520</v>
      </c>
      <c r="B9" s="191" t="s">
        <v>235</v>
      </c>
      <c r="C9" s="192">
        <v>5000</v>
      </c>
      <c r="D9" s="7"/>
      <c r="E9" s="7"/>
      <c r="F9" s="7"/>
      <c r="G9" s="7"/>
      <c r="H9" s="7"/>
      <c r="I9" s="8"/>
      <c r="J9" s="8"/>
    </row>
    <row r="10" spans="1:10" ht="19.5" customHeight="1">
      <c r="A10" s="25" t="s">
        <v>521</v>
      </c>
      <c r="B10" s="191" t="s">
        <v>236</v>
      </c>
      <c r="C10" s="192">
        <v>2000</v>
      </c>
      <c r="D10" s="7"/>
      <c r="E10" s="7"/>
      <c r="F10" s="7"/>
      <c r="G10" s="7"/>
      <c r="H10" s="7"/>
      <c r="I10" s="8"/>
      <c r="J10" s="8"/>
    </row>
    <row r="11" spans="1:10" ht="19.5" customHeight="1">
      <c r="A11" s="24" t="s">
        <v>524</v>
      </c>
      <c r="B11" s="36" t="s">
        <v>516</v>
      </c>
      <c r="C11" s="117">
        <f>C12+C18</f>
        <v>1169315</v>
      </c>
      <c r="D11" s="7"/>
      <c r="E11" s="7"/>
      <c r="F11" s="7"/>
      <c r="G11" s="7"/>
      <c r="H11" s="7"/>
      <c r="I11" s="8"/>
      <c r="J11" s="8"/>
    </row>
    <row r="12" spans="1:10" ht="19.5" customHeight="1">
      <c r="A12" s="25" t="s">
        <v>519</v>
      </c>
      <c r="B12" s="191" t="s">
        <v>545</v>
      </c>
      <c r="C12" s="192">
        <f>SUM(C13:C17)</f>
        <v>1090940</v>
      </c>
      <c r="D12" s="7"/>
      <c r="E12" s="7"/>
      <c r="F12" s="7"/>
      <c r="G12" s="7"/>
      <c r="H12" s="7"/>
      <c r="I12" s="8"/>
      <c r="J12" s="8"/>
    </row>
    <row r="13" spans="1:10" ht="15" customHeight="1">
      <c r="A13" s="25"/>
      <c r="B13" s="103" t="s">
        <v>186</v>
      </c>
      <c r="C13" s="192">
        <v>209400</v>
      </c>
      <c r="D13" s="7"/>
      <c r="E13" s="7"/>
      <c r="F13" s="7"/>
      <c r="G13" s="7"/>
      <c r="H13" s="7"/>
      <c r="I13" s="8"/>
      <c r="J13" s="8"/>
    </row>
    <row r="14" spans="1:10" ht="15" customHeight="1">
      <c r="A14" s="25"/>
      <c r="B14" s="103" t="s">
        <v>386</v>
      </c>
      <c r="C14" s="192">
        <v>5000</v>
      </c>
      <c r="D14" s="7"/>
      <c r="E14" s="7"/>
      <c r="F14" s="7"/>
      <c r="G14" s="7"/>
      <c r="H14" s="7"/>
      <c r="I14" s="8"/>
      <c r="J14" s="8"/>
    </row>
    <row r="15" spans="1:10" ht="15" customHeight="1">
      <c r="A15" s="25"/>
      <c r="B15" s="103" t="s">
        <v>385</v>
      </c>
      <c r="C15" s="192">
        <v>14900</v>
      </c>
      <c r="D15" s="7"/>
      <c r="E15" s="7"/>
      <c r="F15" s="7"/>
      <c r="G15" s="7"/>
      <c r="H15" s="7"/>
      <c r="I15" s="8"/>
      <c r="J15" s="8"/>
    </row>
    <row r="16" spans="1:10" ht="15" customHeight="1">
      <c r="A16" s="25"/>
      <c r="B16" s="103" t="s">
        <v>237</v>
      </c>
      <c r="C16" s="192">
        <f>847640</f>
        <v>847640</v>
      </c>
      <c r="D16" s="7"/>
      <c r="E16" s="7"/>
      <c r="F16" s="7"/>
      <c r="G16" s="7"/>
      <c r="H16" s="7"/>
      <c r="I16" s="8"/>
      <c r="J16" s="8"/>
    </row>
    <row r="17" spans="1:10" ht="15" customHeight="1">
      <c r="A17" s="25"/>
      <c r="B17" s="85" t="s">
        <v>370</v>
      </c>
      <c r="C17" s="192">
        <v>14000</v>
      </c>
      <c r="D17" s="7"/>
      <c r="E17" s="7"/>
      <c r="F17" s="7"/>
      <c r="G17" s="7"/>
      <c r="H17" s="7"/>
      <c r="I17" s="8"/>
      <c r="J17" s="8"/>
    </row>
    <row r="18" spans="1:10" ht="19.5" customHeight="1">
      <c r="A18" s="25" t="s">
        <v>520</v>
      </c>
      <c r="B18" s="191" t="s">
        <v>334</v>
      </c>
      <c r="C18" s="192">
        <v>78375</v>
      </c>
      <c r="D18" s="7"/>
      <c r="E18" s="7"/>
      <c r="F18" s="7"/>
      <c r="G18" s="7"/>
      <c r="H18" s="7"/>
      <c r="I18" s="8"/>
      <c r="J18" s="8"/>
    </row>
    <row r="19" spans="1:10" ht="19.5" customHeight="1">
      <c r="A19" s="24" t="s">
        <v>546</v>
      </c>
      <c r="B19" s="36" t="s">
        <v>572</v>
      </c>
      <c r="C19" s="117">
        <f>C6+C7-C11</f>
        <v>53689</v>
      </c>
      <c r="D19" s="7"/>
      <c r="E19" s="7"/>
      <c r="F19" s="7"/>
      <c r="G19" s="7"/>
      <c r="H19" s="7"/>
      <c r="I19" s="8"/>
      <c r="J19" s="8"/>
    </row>
    <row r="20" spans="1:10" ht="15">
      <c r="A20" s="7"/>
      <c r="B20" s="7"/>
      <c r="C20" s="118"/>
      <c r="D20" s="7"/>
      <c r="E20" s="7"/>
      <c r="F20" s="7"/>
      <c r="G20" s="7"/>
      <c r="H20" s="7"/>
      <c r="I20" s="8"/>
      <c r="J20" s="8"/>
    </row>
    <row r="21" spans="1:10" ht="15">
      <c r="A21" s="7"/>
      <c r="B21" s="7"/>
      <c r="C21" s="118"/>
      <c r="D21" s="7"/>
      <c r="E21" s="7"/>
      <c r="F21" s="7"/>
      <c r="G21" s="7"/>
      <c r="H21" s="7"/>
      <c r="I21" s="8"/>
      <c r="J21" s="8"/>
    </row>
    <row r="22" spans="1:10" ht="15">
      <c r="A22" s="7"/>
      <c r="B22" s="7"/>
      <c r="C22" s="118"/>
      <c r="D22" s="7"/>
      <c r="E22" s="7"/>
      <c r="F22" s="7"/>
      <c r="G22" s="7"/>
      <c r="H22" s="7"/>
      <c r="I22" s="8"/>
      <c r="J22" s="8"/>
    </row>
    <row r="23" spans="1:10" ht="15">
      <c r="A23" s="7"/>
      <c r="B23" s="7"/>
      <c r="C23" s="118"/>
      <c r="D23" s="7"/>
      <c r="E23" s="7"/>
      <c r="F23" s="7"/>
      <c r="G23" s="7"/>
      <c r="H23" s="7"/>
      <c r="I23" s="8"/>
      <c r="J23" s="8"/>
    </row>
    <row r="24" spans="1:10" ht="15">
      <c r="A24" s="7"/>
      <c r="B24" s="7"/>
      <c r="C24" s="118"/>
      <c r="D24" s="7"/>
      <c r="E24" s="7"/>
      <c r="F24" s="7"/>
      <c r="G24" s="7"/>
      <c r="H24" s="7"/>
      <c r="I24" s="8"/>
      <c r="J24" s="8"/>
    </row>
    <row r="25" spans="1:10" ht="15">
      <c r="A25" s="7"/>
      <c r="B25" s="7"/>
      <c r="C25" s="118"/>
      <c r="D25" s="7"/>
      <c r="E25" s="7"/>
      <c r="F25" s="7"/>
      <c r="G25" s="7"/>
      <c r="H25" s="7"/>
      <c r="I25" s="8"/>
      <c r="J25" s="8"/>
    </row>
    <row r="26" spans="1:10" ht="15">
      <c r="A26" s="8"/>
      <c r="B26" s="8"/>
      <c r="C26" s="118"/>
      <c r="D26" s="8"/>
      <c r="E26" s="8"/>
      <c r="F26" s="8"/>
      <c r="G26" s="8"/>
      <c r="H26" s="8"/>
      <c r="I26" s="8"/>
      <c r="J26" s="8"/>
    </row>
    <row r="27" spans="1:10" ht="15">
      <c r="A27" s="8"/>
      <c r="B27" s="8"/>
      <c r="C27" s="118"/>
      <c r="D27" s="8"/>
      <c r="E27" s="8"/>
      <c r="F27" s="8"/>
      <c r="G27" s="8"/>
      <c r="H27" s="8"/>
      <c r="I27" s="8"/>
      <c r="J27" s="8"/>
    </row>
    <row r="28" spans="1:10" ht="15">
      <c r="A28" s="8"/>
      <c r="B28" s="8"/>
      <c r="C28" s="118"/>
      <c r="D28" s="8"/>
      <c r="E28" s="8"/>
      <c r="F28" s="8"/>
      <c r="G28" s="8"/>
      <c r="H28" s="8"/>
      <c r="I28" s="8"/>
      <c r="J28" s="8"/>
    </row>
    <row r="29" spans="1:10" ht="15">
      <c r="A29" s="8"/>
      <c r="B29" s="8"/>
      <c r="C29" s="118"/>
      <c r="D29" s="8"/>
      <c r="E29" s="8"/>
      <c r="F29" s="8"/>
      <c r="G29" s="8"/>
      <c r="H29" s="8"/>
      <c r="I29" s="8"/>
      <c r="J29"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&amp;A
 do uchwały Rady Powiatu nr ...............
z dnia ..............................</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464" t="s">
        <v>577</v>
      </c>
      <c r="B1" s="464"/>
      <c r="C1" s="464"/>
      <c r="D1" s="464"/>
      <c r="E1" s="464"/>
      <c r="F1" s="464"/>
    </row>
    <row r="2" spans="1:6" ht="65.25" customHeight="1">
      <c r="A2" s="15" t="s">
        <v>568</v>
      </c>
      <c r="B2" s="15" t="s">
        <v>13</v>
      </c>
      <c r="C2" s="15" t="s">
        <v>573</v>
      </c>
      <c r="D2" s="16" t="s">
        <v>574</v>
      </c>
      <c r="E2" s="16" t="s">
        <v>575</v>
      </c>
      <c r="F2" s="16" t="s">
        <v>576</v>
      </c>
    </row>
    <row r="3" spans="1:6" ht="9" customHeight="1">
      <c r="A3" s="18">
        <v>1</v>
      </c>
      <c r="B3" s="18">
        <v>2</v>
      </c>
      <c r="C3" s="18">
        <v>3</v>
      </c>
      <c r="D3" s="18">
        <v>4</v>
      </c>
      <c r="E3" s="18">
        <v>5</v>
      </c>
      <c r="F3" s="18">
        <v>6</v>
      </c>
    </row>
    <row r="4" spans="1:6" s="37" customFormat="1" ht="47.25" customHeight="1">
      <c r="A4" s="546" t="s">
        <v>519</v>
      </c>
      <c r="B4" s="545" t="s">
        <v>301</v>
      </c>
      <c r="C4" s="549" t="s">
        <v>301</v>
      </c>
      <c r="D4" s="549" t="s">
        <v>301</v>
      </c>
      <c r="E4" s="552" t="s">
        <v>301</v>
      </c>
      <c r="F4" s="155">
        <v>0</v>
      </c>
    </row>
    <row r="5" spans="1:6" s="37" customFormat="1" ht="47.25" customHeight="1">
      <c r="A5" s="547"/>
      <c r="B5" s="545"/>
      <c r="C5" s="550"/>
      <c r="D5" s="550"/>
      <c r="E5" s="553"/>
      <c r="F5" s="156"/>
    </row>
    <row r="6" spans="1:7" s="37" customFormat="1" ht="47.25" customHeight="1">
      <c r="A6" s="548"/>
      <c r="B6" s="545"/>
      <c r="C6" s="551"/>
      <c r="D6" s="551"/>
      <c r="E6" s="554"/>
      <c r="F6" s="157"/>
      <c r="G6" s="37" t="s">
        <v>532</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zoomScalePageLayoutView="0" workbookViewId="0" topLeftCell="A1">
      <selection activeCell="A1" sqref="A1"/>
    </sheetView>
  </sheetViews>
  <sheetFormatPr defaultColWidth="9.00390625" defaultRowHeight="12.75"/>
  <cols>
    <col min="4" max="4" width="31.625" style="248" customWidth="1"/>
    <col min="5" max="5" width="22.125" style="0" customWidth="1"/>
  </cols>
  <sheetData>
    <row r="1" spans="1:5" s="237" customFormat="1" ht="14.25">
      <c r="A1" s="322" t="s">
        <v>393</v>
      </c>
      <c r="B1" s="233"/>
      <c r="C1" s="234"/>
      <c r="E1" s="235"/>
    </row>
    <row r="2" spans="1:5" s="237" customFormat="1" ht="14.25">
      <c r="A2" s="232"/>
      <c r="B2" s="233"/>
      <c r="C2" s="234"/>
      <c r="D2" s="246"/>
      <c r="E2" s="235"/>
    </row>
    <row r="3" spans="1:5" s="237" customFormat="1" ht="15.75">
      <c r="A3" s="249" t="s">
        <v>336</v>
      </c>
      <c r="B3" s="233"/>
      <c r="C3" s="234"/>
      <c r="D3" s="236"/>
      <c r="E3" s="235"/>
    </row>
    <row r="4" spans="1:5" s="237" customFormat="1" ht="15" thickBot="1">
      <c r="A4" s="232"/>
      <c r="B4" s="233"/>
      <c r="C4" s="234"/>
      <c r="D4" s="247"/>
      <c r="E4" s="235"/>
    </row>
    <row r="5" spans="1:251" s="239" customFormat="1" ht="30" customHeight="1">
      <c r="A5" s="277" t="s">
        <v>238</v>
      </c>
      <c r="B5" s="278" t="s">
        <v>239</v>
      </c>
      <c r="C5" s="279" t="s">
        <v>240</v>
      </c>
      <c r="D5" s="280" t="s">
        <v>337</v>
      </c>
      <c r="E5" s="281" t="s">
        <v>351</v>
      </c>
      <c r="F5" s="238"/>
      <c r="G5" s="238"/>
      <c r="H5" s="238"/>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8"/>
      <c r="AL5" s="238"/>
      <c r="AM5" s="238"/>
      <c r="AN5" s="238"/>
      <c r="AO5" s="238"/>
      <c r="AP5" s="238"/>
      <c r="AQ5" s="238"/>
      <c r="AR5" s="238"/>
      <c r="AS5" s="238"/>
      <c r="AT5" s="238"/>
      <c r="AU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c r="CB5" s="238"/>
      <c r="CC5" s="238"/>
      <c r="CD5" s="238"/>
      <c r="CE5" s="238"/>
      <c r="CF5" s="238"/>
      <c r="CG5" s="238"/>
      <c r="CH5" s="238"/>
      <c r="CI5" s="238"/>
      <c r="CJ5" s="238"/>
      <c r="CK5" s="238"/>
      <c r="CL5" s="238"/>
      <c r="CM5" s="238"/>
      <c r="CN5" s="238"/>
      <c r="CO5" s="238"/>
      <c r="CP5" s="238"/>
      <c r="CQ5" s="238"/>
      <c r="CR5" s="238"/>
      <c r="CS5" s="238"/>
      <c r="CT5" s="238"/>
      <c r="CU5" s="238"/>
      <c r="CV5" s="238"/>
      <c r="CW5" s="238"/>
      <c r="CX5" s="238"/>
      <c r="CY5" s="238"/>
      <c r="CZ5" s="238"/>
      <c r="DA5" s="238"/>
      <c r="DB5" s="238"/>
      <c r="DC5" s="238"/>
      <c r="DD5" s="238"/>
      <c r="DE5" s="238"/>
      <c r="DF5" s="238"/>
      <c r="DG5" s="238"/>
      <c r="DH5" s="238"/>
      <c r="DI5" s="238"/>
      <c r="DJ5" s="238"/>
      <c r="DK5" s="238"/>
      <c r="DL5" s="238"/>
      <c r="DM5" s="238"/>
      <c r="DN5" s="238"/>
      <c r="DO5" s="238"/>
      <c r="DP5" s="238"/>
      <c r="DQ5" s="238"/>
      <c r="DR5" s="238"/>
      <c r="DS5" s="238"/>
      <c r="DT5" s="238"/>
      <c r="DU5" s="238"/>
      <c r="DV5" s="238"/>
      <c r="DW5" s="238"/>
      <c r="DX5" s="238"/>
      <c r="DY5" s="238"/>
      <c r="DZ5" s="238"/>
      <c r="EA5" s="238"/>
      <c r="EB5" s="238"/>
      <c r="EC5" s="238"/>
      <c r="ED5" s="238"/>
      <c r="EE5" s="238"/>
      <c r="EF5" s="238"/>
      <c r="EG5" s="238"/>
      <c r="EH5" s="238"/>
      <c r="EI5" s="238"/>
      <c r="EJ5" s="238"/>
      <c r="EK5" s="238"/>
      <c r="EL5" s="238"/>
      <c r="EM5" s="238"/>
      <c r="EN5" s="238"/>
      <c r="EO5" s="238"/>
      <c r="EP5" s="238"/>
      <c r="EQ5" s="238"/>
      <c r="ER5" s="238"/>
      <c r="ES5" s="238"/>
      <c r="ET5" s="238"/>
      <c r="EU5" s="238"/>
      <c r="EV5" s="238"/>
      <c r="EW5" s="238"/>
      <c r="EX5" s="238"/>
      <c r="EY5" s="238"/>
      <c r="EZ5" s="238"/>
      <c r="FA5" s="238"/>
      <c r="FB5" s="238"/>
      <c r="FC5" s="238"/>
      <c r="FD5" s="238"/>
      <c r="FE5" s="238"/>
      <c r="FF5" s="238"/>
      <c r="FG5" s="238"/>
      <c r="FH5" s="238"/>
      <c r="FI5" s="238"/>
      <c r="FJ5" s="238"/>
      <c r="FK5" s="238"/>
      <c r="FL5" s="238"/>
      <c r="FM5" s="238"/>
      <c r="FN5" s="238"/>
      <c r="FO5" s="238"/>
      <c r="FP5" s="238"/>
      <c r="FQ5" s="238"/>
      <c r="FR5" s="238"/>
      <c r="FS5" s="238"/>
      <c r="FT5" s="238"/>
      <c r="FU5" s="238"/>
      <c r="FV5" s="238"/>
      <c r="FW5" s="238"/>
      <c r="FX5" s="238"/>
      <c r="FY5" s="238"/>
      <c r="FZ5" s="238"/>
      <c r="GA5" s="238"/>
      <c r="GB5" s="238"/>
      <c r="GC5" s="238"/>
      <c r="GD5" s="238"/>
      <c r="GE5" s="238"/>
      <c r="GF5" s="238"/>
      <c r="GG5" s="238"/>
      <c r="GH5" s="238"/>
      <c r="GI5" s="238"/>
      <c r="GJ5" s="238"/>
      <c r="GK5" s="238"/>
      <c r="GL5" s="238"/>
      <c r="GM5" s="238"/>
      <c r="GN5" s="238"/>
      <c r="GO5" s="238"/>
      <c r="GP5" s="238"/>
      <c r="GQ5" s="238"/>
      <c r="GR5" s="238"/>
      <c r="GS5" s="238"/>
      <c r="GT5" s="238"/>
      <c r="GU5" s="238"/>
      <c r="GV5" s="238"/>
      <c r="GW5" s="238"/>
      <c r="GX5" s="238"/>
      <c r="GY5" s="238"/>
      <c r="GZ5" s="238"/>
      <c r="HA5" s="238"/>
      <c r="HB5" s="238"/>
      <c r="HC5" s="238"/>
      <c r="HD5" s="238"/>
      <c r="HE5" s="238"/>
      <c r="HF5" s="238"/>
      <c r="HG5" s="238"/>
      <c r="HH5" s="238"/>
      <c r="HI5" s="238"/>
      <c r="HJ5" s="238"/>
      <c r="HK5" s="238"/>
      <c r="HL5" s="238"/>
      <c r="HM5" s="238"/>
      <c r="HN5" s="238"/>
      <c r="HO5" s="238"/>
      <c r="HP5" s="238"/>
      <c r="HQ5" s="238"/>
      <c r="HR5" s="238"/>
      <c r="HS5" s="238"/>
      <c r="HT5" s="238"/>
      <c r="HU5" s="238"/>
      <c r="HV5" s="238"/>
      <c r="HW5" s="238"/>
      <c r="HX5" s="238"/>
      <c r="HY5" s="238"/>
      <c r="HZ5" s="238"/>
      <c r="IA5" s="238"/>
      <c r="IB5" s="238"/>
      <c r="IC5" s="238"/>
      <c r="ID5" s="238"/>
      <c r="IE5" s="238"/>
      <c r="IF5" s="238"/>
      <c r="IG5" s="238"/>
      <c r="IH5" s="238"/>
      <c r="II5" s="238"/>
      <c r="IJ5" s="238"/>
      <c r="IK5" s="238"/>
      <c r="IL5" s="238"/>
      <c r="IM5" s="238"/>
      <c r="IN5" s="238"/>
      <c r="IO5" s="238"/>
      <c r="IP5" s="238"/>
      <c r="IQ5" s="238"/>
    </row>
    <row r="6" spans="1:5" s="240" customFormat="1" ht="15">
      <c r="A6" s="250" t="s">
        <v>50</v>
      </c>
      <c r="B6" s="250"/>
      <c r="C6" s="251"/>
      <c r="D6" s="252" t="s">
        <v>51</v>
      </c>
      <c r="E6" s="253">
        <f>E7</f>
        <v>17000</v>
      </c>
    </row>
    <row r="7" spans="1:5" s="241" customFormat="1" ht="26.25">
      <c r="A7" s="254"/>
      <c r="B7" s="255" t="s">
        <v>244</v>
      </c>
      <c r="C7" s="256"/>
      <c r="D7" s="257" t="s">
        <v>338</v>
      </c>
      <c r="E7" s="258">
        <f>SUM(E8:E8)</f>
        <v>17000</v>
      </c>
    </row>
    <row r="8" spans="1:5" s="241" customFormat="1" ht="14.25">
      <c r="A8" s="254"/>
      <c r="B8" s="254"/>
      <c r="C8" s="256" t="s">
        <v>246</v>
      </c>
      <c r="D8" s="259" t="s">
        <v>339</v>
      </c>
      <c r="E8" s="260">
        <v>17000</v>
      </c>
    </row>
    <row r="9" spans="1:5" s="242" customFormat="1" ht="15">
      <c r="A9" s="261">
        <v>700</v>
      </c>
      <c r="B9" s="261"/>
      <c r="C9" s="262"/>
      <c r="D9" s="263" t="s">
        <v>87</v>
      </c>
      <c r="E9" s="264">
        <f>E10</f>
        <v>433000</v>
      </c>
    </row>
    <row r="10" spans="1:5" s="244" customFormat="1" ht="26.25">
      <c r="A10" s="265"/>
      <c r="B10" s="265">
        <v>70005</v>
      </c>
      <c r="C10" s="266"/>
      <c r="D10" s="267" t="s">
        <v>88</v>
      </c>
      <c r="E10" s="268">
        <f>SUM(E11:E13)</f>
        <v>433000</v>
      </c>
    </row>
    <row r="11" spans="1:5" s="243" customFormat="1" ht="38.25">
      <c r="A11" s="269"/>
      <c r="B11" s="269"/>
      <c r="C11" s="270" t="s">
        <v>340</v>
      </c>
      <c r="D11" s="271" t="s">
        <v>341</v>
      </c>
      <c r="E11" s="272">
        <v>398000</v>
      </c>
    </row>
    <row r="12" spans="1:5" s="243" customFormat="1" ht="89.25">
      <c r="A12" s="269"/>
      <c r="B12" s="269"/>
      <c r="C12" s="270" t="s">
        <v>247</v>
      </c>
      <c r="D12" s="271" t="s">
        <v>342</v>
      </c>
      <c r="E12" s="272">
        <v>20000</v>
      </c>
    </row>
    <row r="13" spans="1:5" s="243" customFormat="1" ht="51">
      <c r="A13" s="269"/>
      <c r="B13" s="269"/>
      <c r="C13" s="270" t="s">
        <v>343</v>
      </c>
      <c r="D13" s="271" t="s">
        <v>344</v>
      </c>
      <c r="E13" s="272">
        <v>15000</v>
      </c>
    </row>
    <row r="14" spans="1:5" s="242" customFormat="1" ht="15">
      <c r="A14" s="261">
        <v>710</v>
      </c>
      <c r="B14" s="261"/>
      <c r="C14" s="262"/>
      <c r="D14" s="263" t="s">
        <v>345</v>
      </c>
      <c r="E14" s="264">
        <f>E15</f>
        <v>1000</v>
      </c>
    </row>
    <row r="15" spans="1:5" s="244" customFormat="1" ht="15">
      <c r="A15" s="265"/>
      <c r="B15" s="265">
        <v>71015</v>
      </c>
      <c r="C15" s="266"/>
      <c r="D15" s="267" t="s">
        <v>346</v>
      </c>
      <c r="E15" s="268">
        <f>SUM(E16)</f>
        <v>1000</v>
      </c>
    </row>
    <row r="16" spans="1:5" s="243" customFormat="1" ht="25.5">
      <c r="A16" s="269"/>
      <c r="B16" s="269"/>
      <c r="C16" s="270" t="s">
        <v>347</v>
      </c>
      <c r="D16" s="271" t="s">
        <v>348</v>
      </c>
      <c r="E16" s="272">
        <v>1000</v>
      </c>
    </row>
    <row r="17" spans="1:5" s="242" customFormat="1" ht="15">
      <c r="A17" s="261">
        <v>852</v>
      </c>
      <c r="B17" s="261"/>
      <c r="C17" s="262"/>
      <c r="D17" s="263" t="s">
        <v>349</v>
      </c>
      <c r="E17" s="264">
        <f>E18</f>
        <v>14800</v>
      </c>
    </row>
    <row r="18" spans="1:5" s="244" customFormat="1" ht="15">
      <c r="A18" s="265"/>
      <c r="B18" s="265">
        <v>85203</v>
      </c>
      <c r="C18" s="266"/>
      <c r="D18" s="267" t="s">
        <v>352</v>
      </c>
      <c r="E18" s="268">
        <f>SUM(E19)</f>
        <v>14800</v>
      </c>
    </row>
    <row r="19" spans="1:5" s="243" customFormat="1" ht="14.25">
      <c r="A19" s="269"/>
      <c r="B19" s="269"/>
      <c r="C19" s="270" t="s">
        <v>257</v>
      </c>
      <c r="D19" s="138" t="s">
        <v>258</v>
      </c>
      <c r="E19" s="272">
        <v>14800</v>
      </c>
    </row>
    <row r="20" spans="1:5" s="245" customFormat="1" ht="26.25">
      <c r="A20" s="273"/>
      <c r="B20" s="273"/>
      <c r="C20" s="274"/>
      <c r="D20" s="275" t="s">
        <v>350</v>
      </c>
      <c r="E20" s="276">
        <f>E6+E10+E14+E17</f>
        <v>465800</v>
      </c>
    </row>
    <row r="21" spans="1:5" s="243" customFormat="1" ht="14.25">
      <c r="A21" s="269"/>
      <c r="B21" s="269"/>
      <c r="C21" s="270"/>
      <c r="D21" s="271"/>
      <c r="E21" s="272"/>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45"/>
  <sheetViews>
    <sheetView showGridLines="0" zoomScalePageLayoutView="0" workbookViewId="0" topLeftCell="A26">
      <selection activeCell="D39" sqref="D39"/>
    </sheetView>
  </sheetViews>
  <sheetFormatPr defaultColWidth="9.00390625" defaultRowHeight="12.75"/>
  <cols>
    <col min="1" max="1" width="6.25390625" style="0" customWidth="1"/>
    <col min="2" max="2" width="55.125" style="0" customWidth="1"/>
    <col min="3" max="3" width="15.875" style="0" bestFit="1" customWidth="1"/>
    <col min="4" max="10" width="10.125" style="0" customWidth="1"/>
  </cols>
  <sheetData>
    <row r="1" spans="1:9" ht="18">
      <c r="A1" s="486" t="s">
        <v>384</v>
      </c>
      <c r="B1" s="486"/>
      <c r="C1" s="486"/>
      <c r="D1" s="486"/>
      <c r="E1" s="486"/>
      <c r="F1" s="486"/>
      <c r="G1" s="486"/>
      <c r="H1" s="486"/>
      <c r="I1" s="486"/>
    </row>
    <row r="2" spans="1:10" ht="9" customHeight="1">
      <c r="A2" s="6"/>
      <c r="B2" s="6"/>
      <c r="C2" s="6"/>
      <c r="D2" s="6"/>
      <c r="E2" s="6"/>
      <c r="F2" s="6"/>
      <c r="G2" s="6"/>
      <c r="H2" s="6"/>
      <c r="I2" s="6"/>
      <c r="J2" s="6"/>
    </row>
    <row r="3" spans="9:10" ht="12.75">
      <c r="I3" s="63" t="s">
        <v>549</v>
      </c>
      <c r="J3" s="63" t="s">
        <v>549</v>
      </c>
    </row>
    <row r="4" spans="1:9" s="47" customFormat="1" ht="35.25" customHeight="1">
      <c r="A4" s="488" t="s">
        <v>568</v>
      </c>
      <c r="B4" s="488" t="s">
        <v>508</v>
      </c>
      <c r="C4" s="555" t="s">
        <v>380</v>
      </c>
      <c r="D4" s="557" t="s">
        <v>614</v>
      </c>
      <c r="E4" s="557"/>
      <c r="F4" s="557"/>
      <c r="G4" s="557"/>
      <c r="H4" s="557"/>
      <c r="I4" s="557"/>
    </row>
    <row r="5" spans="1:10" s="47" customFormat="1" ht="23.25" customHeight="1">
      <c r="A5" s="488"/>
      <c r="B5" s="488"/>
      <c r="C5" s="556"/>
      <c r="D5" s="60">
        <v>2008</v>
      </c>
      <c r="E5" s="60">
        <v>2009</v>
      </c>
      <c r="F5" s="60">
        <v>2010</v>
      </c>
      <c r="G5" s="60">
        <v>2011</v>
      </c>
      <c r="H5" s="60">
        <v>2012</v>
      </c>
      <c r="I5" s="60">
        <v>2013</v>
      </c>
      <c r="J5" s="60">
        <v>2014</v>
      </c>
    </row>
    <row r="6" spans="1:10" s="59" customFormat="1" ht="8.25">
      <c r="A6" s="58">
        <v>1</v>
      </c>
      <c r="B6" s="58">
        <v>2</v>
      </c>
      <c r="C6" s="58">
        <v>3</v>
      </c>
      <c r="D6" s="58">
        <v>4</v>
      </c>
      <c r="E6" s="58">
        <v>5</v>
      </c>
      <c r="F6" s="58">
        <v>6</v>
      </c>
      <c r="G6" s="58">
        <v>7</v>
      </c>
      <c r="H6" s="58">
        <v>8</v>
      </c>
      <c r="I6" s="58">
        <v>9</v>
      </c>
      <c r="J6" s="58">
        <v>9</v>
      </c>
    </row>
    <row r="7" spans="1:10" s="47" customFormat="1" ht="22.5" customHeight="1">
      <c r="A7" s="44" t="s">
        <v>519</v>
      </c>
      <c r="B7" s="62" t="s">
        <v>16</v>
      </c>
      <c r="C7" s="362">
        <f aca="true" t="shared" si="0" ref="C7:I7">C8+C17+C22</f>
        <v>4879158</v>
      </c>
      <c r="D7" s="362">
        <f t="shared" si="0"/>
        <v>4101316</v>
      </c>
      <c r="E7" s="362">
        <f t="shared" si="0"/>
        <v>2996316</v>
      </c>
      <c r="F7" s="362">
        <f t="shared" si="0"/>
        <v>1975000</v>
      </c>
      <c r="G7" s="362">
        <f t="shared" si="0"/>
        <v>1500000</v>
      </c>
      <c r="H7" s="362">
        <f t="shared" si="0"/>
        <v>1025000</v>
      </c>
      <c r="I7" s="362">
        <f t="shared" si="0"/>
        <v>0</v>
      </c>
      <c r="J7" s="362">
        <f>J8+J17+J22</f>
        <v>0</v>
      </c>
    </row>
    <row r="8" spans="1:10" s="45" customFormat="1" ht="15" customHeight="1">
      <c r="A8" s="52" t="s">
        <v>597</v>
      </c>
      <c r="B8" s="54" t="s">
        <v>37</v>
      </c>
      <c r="C8" s="209">
        <f aca="true" t="shared" si="1" ref="C8:I8">SUM(C9:C16)-C10</f>
        <v>4879158</v>
      </c>
      <c r="D8" s="209">
        <f t="shared" si="1"/>
        <v>4101316</v>
      </c>
      <c r="E8" s="209">
        <f t="shared" si="1"/>
        <v>2996316</v>
      </c>
      <c r="F8" s="209">
        <f t="shared" si="1"/>
        <v>1975000</v>
      </c>
      <c r="G8" s="209">
        <f t="shared" si="1"/>
        <v>1500000</v>
      </c>
      <c r="H8" s="209">
        <f t="shared" si="1"/>
        <v>1025000</v>
      </c>
      <c r="I8" s="209">
        <f t="shared" si="1"/>
        <v>0</v>
      </c>
      <c r="J8" s="209">
        <f>SUM(J9:J16)-J10</f>
        <v>0</v>
      </c>
    </row>
    <row r="9" spans="1:10" s="45" customFormat="1" ht="15" customHeight="1">
      <c r="A9" s="57" t="s">
        <v>21</v>
      </c>
      <c r="B9" s="55" t="s">
        <v>615</v>
      </c>
      <c r="C9" s="199"/>
      <c r="D9" s="199"/>
      <c r="E9" s="199"/>
      <c r="F9" s="199"/>
      <c r="G9" s="199"/>
      <c r="H9" s="199"/>
      <c r="I9" s="199"/>
      <c r="J9" s="199"/>
    </row>
    <row r="10" spans="1:10" s="45" customFormat="1" ht="15" customHeight="1">
      <c r="A10" s="57" t="s">
        <v>22</v>
      </c>
      <c r="B10" s="55" t="s">
        <v>616</v>
      </c>
      <c r="C10" s="199">
        <f>SUM(C11:C14)</f>
        <v>4879158</v>
      </c>
      <c r="D10" s="199">
        <f>SUM(D11:D15)</f>
        <v>4101316</v>
      </c>
      <c r="E10" s="199">
        <f aca="true" t="shared" si="2" ref="E10:J10">SUM(E11:E14)</f>
        <v>1821316</v>
      </c>
      <c r="F10" s="199">
        <f t="shared" si="2"/>
        <v>850000</v>
      </c>
      <c r="G10" s="199">
        <f t="shared" si="2"/>
        <v>425000</v>
      </c>
      <c r="H10" s="199">
        <f t="shared" si="2"/>
        <v>0</v>
      </c>
      <c r="I10" s="199">
        <f t="shared" si="2"/>
        <v>0</v>
      </c>
      <c r="J10" s="199">
        <f t="shared" si="2"/>
        <v>0</v>
      </c>
    </row>
    <row r="11" spans="1:10" s="45" customFormat="1" ht="15" customHeight="1">
      <c r="A11" s="57">
        <v>2004</v>
      </c>
      <c r="B11" s="55" t="s">
        <v>381</v>
      </c>
      <c r="C11" s="202">
        <v>157842</v>
      </c>
      <c r="D11" s="199"/>
      <c r="E11" s="199"/>
      <c r="F11" s="199"/>
      <c r="G11" s="199"/>
      <c r="H11" s="199"/>
      <c r="I11" s="199"/>
      <c r="J11" s="199"/>
    </row>
    <row r="12" spans="1:10" s="45" customFormat="1" ht="15" customHeight="1">
      <c r="A12" s="57">
        <v>2005</v>
      </c>
      <c r="B12" s="55" t="s">
        <v>479</v>
      </c>
      <c r="C12" s="202">
        <v>800000</v>
      </c>
      <c r="D12" s="202"/>
      <c r="E12" s="199"/>
      <c r="F12" s="199"/>
      <c r="G12" s="199"/>
      <c r="H12" s="199"/>
      <c r="I12" s="199"/>
      <c r="J12" s="199"/>
    </row>
    <row r="13" spans="1:10" s="45" customFormat="1" ht="15" customHeight="1">
      <c r="A13" s="57">
        <v>2006</v>
      </c>
      <c r="B13" s="55" t="s">
        <v>310</v>
      </c>
      <c r="C13" s="201">
        <v>2921316</v>
      </c>
      <c r="D13" s="202">
        <v>1921316</v>
      </c>
      <c r="E13" s="199">
        <v>921316</v>
      </c>
      <c r="F13" s="199"/>
      <c r="G13" s="199"/>
      <c r="H13" s="199"/>
      <c r="I13" s="199"/>
      <c r="J13" s="199"/>
    </row>
    <row r="14" spans="1:10" s="45" customFormat="1" ht="15" customHeight="1">
      <c r="A14" s="57">
        <v>2007</v>
      </c>
      <c r="B14" s="55" t="s">
        <v>382</v>
      </c>
      <c r="C14" s="201">
        <v>1000000</v>
      </c>
      <c r="D14" s="199">
        <v>950000</v>
      </c>
      <c r="E14" s="199">
        <v>900000</v>
      </c>
      <c r="F14" s="199">
        <v>850000</v>
      </c>
      <c r="G14" s="199">
        <v>425000</v>
      </c>
      <c r="H14" s="199"/>
      <c r="I14" s="199"/>
      <c r="J14" s="199"/>
    </row>
    <row r="15" spans="1:10" s="45" customFormat="1" ht="15" customHeight="1">
      <c r="A15" s="57">
        <v>2008</v>
      </c>
      <c r="B15" s="55" t="s">
        <v>468</v>
      </c>
      <c r="C15" s="201"/>
      <c r="D15" s="199">
        <f>855000+375000</f>
        <v>1230000</v>
      </c>
      <c r="E15" s="199">
        <f>800000+375000</f>
        <v>1175000</v>
      </c>
      <c r="F15" s="199">
        <f>750000+375000</f>
        <v>1125000</v>
      </c>
      <c r="G15" s="199">
        <f>700000+375000</f>
        <v>1075000</v>
      </c>
      <c r="H15" s="199">
        <f>655000+375000-5000</f>
        <v>1025000</v>
      </c>
      <c r="I15" s="199"/>
      <c r="J15" s="199"/>
    </row>
    <row r="16" spans="1:10" s="45" customFormat="1" ht="15" customHeight="1">
      <c r="A16" s="57" t="s">
        <v>23</v>
      </c>
      <c r="B16" s="55" t="s">
        <v>617</v>
      </c>
      <c r="C16" s="199"/>
      <c r="D16" s="199"/>
      <c r="E16" s="199"/>
      <c r="F16" s="199"/>
      <c r="G16" s="199"/>
      <c r="H16" s="199"/>
      <c r="I16" s="199"/>
      <c r="J16" s="199"/>
    </row>
    <row r="17" spans="1:10" s="45" customFormat="1" ht="15" customHeight="1">
      <c r="A17" s="52" t="s">
        <v>603</v>
      </c>
      <c r="B17" s="54" t="s">
        <v>383</v>
      </c>
      <c r="C17" s="199">
        <f>SUM(C18:C19)</f>
        <v>0</v>
      </c>
      <c r="D17" s="199">
        <f aca="true" t="shared" si="3" ref="D17:I17">SUM(D18:D19)</f>
        <v>0</v>
      </c>
      <c r="E17" s="199">
        <f t="shared" si="3"/>
        <v>0</v>
      </c>
      <c r="F17" s="199">
        <f t="shared" si="3"/>
        <v>0</v>
      </c>
      <c r="G17" s="199">
        <f t="shared" si="3"/>
        <v>0</v>
      </c>
      <c r="H17" s="199">
        <f t="shared" si="3"/>
        <v>0</v>
      </c>
      <c r="I17" s="199">
        <f t="shared" si="3"/>
        <v>0</v>
      </c>
      <c r="J17" s="199">
        <f>SUM(J18:J19)</f>
        <v>0</v>
      </c>
    </row>
    <row r="18" spans="1:10" s="45" customFormat="1" ht="15" customHeight="1">
      <c r="A18" s="57" t="s">
        <v>24</v>
      </c>
      <c r="B18" s="55" t="s">
        <v>618</v>
      </c>
      <c r="C18" s="199"/>
      <c r="D18" s="199"/>
      <c r="E18" s="199"/>
      <c r="F18" s="199"/>
      <c r="G18" s="199"/>
      <c r="H18" s="199"/>
      <c r="I18" s="199"/>
      <c r="J18" s="199"/>
    </row>
    <row r="19" spans="1:10" s="45" customFormat="1" ht="15" customHeight="1">
      <c r="A19" s="57" t="s">
        <v>25</v>
      </c>
      <c r="B19" s="55" t="s">
        <v>619</v>
      </c>
      <c r="C19" s="199"/>
      <c r="D19" s="199"/>
      <c r="E19" s="199"/>
      <c r="F19" s="199"/>
      <c r="G19" s="199"/>
      <c r="H19" s="199"/>
      <c r="I19" s="199"/>
      <c r="J19" s="199"/>
    </row>
    <row r="20" spans="1:10" s="45" customFormat="1" ht="15" customHeight="1">
      <c r="A20" s="57"/>
      <c r="B20" s="56" t="s">
        <v>620</v>
      </c>
      <c r="C20" s="199"/>
      <c r="D20" s="199"/>
      <c r="E20" s="199"/>
      <c r="F20" s="199"/>
      <c r="G20" s="199"/>
      <c r="H20" s="199"/>
      <c r="I20" s="199"/>
      <c r="J20" s="199"/>
    </row>
    <row r="21" spans="1:10" s="45" customFormat="1" ht="15" customHeight="1">
      <c r="A21" s="57" t="s">
        <v>26</v>
      </c>
      <c r="B21" s="55" t="s">
        <v>592</v>
      </c>
      <c r="C21" s="199"/>
      <c r="D21" s="199"/>
      <c r="E21" s="199"/>
      <c r="F21" s="199"/>
      <c r="G21" s="199"/>
      <c r="H21" s="199"/>
      <c r="I21" s="199"/>
      <c r="J21" s="199"/>
    </row>
    <row r="22" spans="1:10" s="45" customFormat="1" ht="15" customHeight="1">
      <c r="A22" s="52" t="s">
        <v>604</v>
      </c>
      <c r="B22" s="54" t="s">
        <v>621</v>
      </c>
      <c r="C22" s="203">
        <f>SUM(C23:C24)</f>
        <v>0</v>
      </c>
      <c r="D22" s="203">
        <f aca="true" t="shared" si="4" ref="D22:I22">SUM(D23:D24)</f>
        <v>0</v>
      </c>
      <c r="E22" s="203">
        <f t="shared" si="4"/>
        <v>0</v>
      </c>
      <c r="F22" s="203">
        <f t="shared" si="4"/>
        <v>0</v>
      </c>
      <c r="G22" s="203">
        <f t="shared" si="4"/>
        <v>0</v>
      </c>
      <c r="H22" s="203">
        <f t="shared" si="4"/>
        <v>0</v>
      </c>
      <c r="I22" s="203">
        <f t="shared" si="4"/>
        <v>0</v>
      </c>
      <c r="J22" s="203">
        <f>SUM(J23:J24)</f>
        <v>0</v>
      </c>
    </row>
    <row r="23" spans="1:10" s="45" customFormat="1" ht="15" customHeight="1">
      <c r="A23" s="57" t="s">
        <v>39</v>
      </c>
      <c r="B23" s="77" t="s">
        <v>41</v>
      </c>
      <c r="C23" s="204"/>
      <c r="D23" s="204"/>
      <c r="E23" s="204"/>
      <c r="F23" s="204"/>
      <c r="G23" s="204"/>
      <c r="H23" s="204"/>
      <c r="I23" s="204"/>
      <c r="J23" s="204"/>
    </row>
    <row r="24" spans="1:10" s="45" customFormat="1" ht="15" customHeight="1">
      <c r="A24" s="57" t="s">
        <v>40</v>
      </c>
      <c r="B24" s="77" t="s">
        <v>42</v>
      </c>
      <c r="C24" s="204"/>
      <c r="D24" s="204"/>
      <c r="E24" s="204"/>
      <c r="F24" s="204"/>
      <c r="G24" s="204"/>
      <c r="H24" s="204"/>
      <c r="I24" s="204"/>
      <c r="J24" s="204"/>
    </row>
    <row r="25" spans="1:10" s="47" customFormat="1" ht="22.5" customHeight="1">
      <c r="A25" s="44">
        <v>2</v>
      </c>
      <c r="B25" s="62" t="s">
        <v>355</v>
      </c>
      <c r="C25" s="362">
        <f>C26+C36+C37</f>
        <v>2022000</v>
      </c>
      <c r="D25" s="362">
        <f aca="true" t="shared" si="5" ref="D25:I25">D26+D36+D37</f>
        <v>2265842</v>
      </c>
      <c r="E25" s="362">
        <f t="shared" si="5"/>
        <v>1308087</v>
      </c>
      <c r="F25" s="362">
        <f t="shared" si="5"/>
        <v>1150694</v>
      </c>
      <c r="G25" s="362">
        <f t="shared" si="5"/>
        <v>547038</v>
      </c>
      <c r="H25" s="362">
        <f t="shared" si="5"/>
        <v>521236</v>
      </c>
      <c r="I25" s="362">
        <f t="shared" si="5"/>
        <v>1041000</v>
      </c>
      <c r="J25" s="362">
        <f>J26+J36+J37</f>
        <v>5000</v>
      </c>
    </row>
    <row r="26" spans="1:10" s="47" customFormat="1" ht="15" customHeight="1">
      <c r="A26" s="44" t="s">
        <v>606</v>
      </c>
      <c r="B26" s="62" t="s">
        <v>36</v>
      </c>
      <c r="C26" s="362">
        <f aca="true" t="shared" si="6" ref="C26:I26">SUM(C27:C35)-C27</f>
        <v>1755000</v>
      </c>
      <c r="D26" s="362">
        <f t="shared" si="6"/>
        <v>2007842</v>
      </c>
      <c r="E26" s="362">
        <f t="shared" si="6"/>
        <v>1105000</v>
      </c>
      <c r="F26" s="362">
        <f t="shared" si="6"/>
        <v>1021316</v>
      </c>
      <c r="G26" s="362">
        <f t="shared" si="6"/>
        <v>475000</v>
      </c>
      <c r="H26" s="362">
        <f t="shared" si="6"/>
        <v>475000</v>
      </c>
      <c r="I26" s="362">
        <f t="shared" si="6"/>
        <v>1025000</v>
      </c>
      <c r="J26" s="362">
        <f>SUM(J27:J35)-J27</f>
        <v>0</v>
      </c>
    </row>
    <row r="27" spans="1:10" s="45" customFormat="1" ht="15" customHeight="1">
      <c r="A27" s="57" t="s">
        <v>18</v>
      </c>
      <c r="B27" s="55" t="s">
        <v>29</v>
      </c>
      <c r="C27" s="199">
        <f>SUM(C28:C32)</f>
        <v>1755000</v>
      </c>
      <c r="D27" s="199">
        <f aca="true" t="shared" si="7" ref="D27:I27">SUM(D28:D32)</f>
        <v>2007842</v>
      </c>
      <c r="E27" s="199">
        <f t="shared" si="7"/>
        <v>1050000</v>
      </c>
      <c r="F27" s="199">
        <f t="shared" si="7"/>
        <v>971316</v>
      </c>
      <c r="G27" s="199">
        <f t="shared" si="7"/>
        <v>425000</v>
      </c>
      <c r="H27" s="199">
        <f t="shared" si="7"/>
        <v>425000</v>
      </c>
      <c r="I27" s="199">
        <f t="shared" si="7"/>
        <v>0</v>
      </c>
      <c r="J27" s="199">
        <f>SUM(J28:J32)</f>
        <v>0</v>
      </c>
    </row>
    <row r="28" spans="1:10" s="45" customFormat="1" ht="15" customHeight="1">
      <c r="A28" s="57"/>
      <c r="B28" s="198" t="s">
        <v>311</v>
      </c>
      <c r="C28" s="205">
        <v>1150000</v>
      </c>
      <c r="D28" s="205"/>
      <c r="E28" s="199"/>
      <c r="F28" s="199"/>
      <c r="G28" s="199"/>
      <c r="H28" s="199"/>
      <c r="I28" s="199"/>
      <c r="J28" s="199"/>
    </row>
    <row r="29" spans="1:10" s="45" customFormat="1" ht="15" customHeight="1">
      <c r="A29" s="57"/>
      <c r="B29" s="198" t="s">
        <v>312</v>
      </c>
      <c r="C29" s="205">
        <v>400000</v>
      </c>
      <c r="D29" s="205">
        <v>157842</v>
      </c>
      <c r="E29" s="196"/>
      <c r="F29" s="199"/>
      <c r="G29" s="199"/>
      <c r="H29" s="206"/>
      <c r="I29" s="199"/>
      <c r="J29" s="199"/>
    </row>
    <row r="30" spans="1:10" s="45" customFormat="1" ht="15" customHeight="1">
      <c r="A30" s="57"/>
      <c r="B30" s="198" t="s">
        <v>313</v>
      </c>
      <c r="C30" s="205">
        <v>100000</v>
      </c>
      <c r="D30" s="205">
        <v>800000</v>
      </c>
      <c r="F30" s="199"/>
      <c r="G30" s="199"/>
      <c r="H30" s="206"/>
      <c r="I30" s="199"/>
      <c r="J30" s="199"/>
    </row>
    <row r="31" spans="1:10" s="45" customFormat="1" ht="15" customHeight="1">
      <c r="A31" s="57"/>
      <c r="B31" s="198" t="s">
        <v>314</v>
      </c>
      <c r="C31" s="205">
        <v>105000</v>
      </c>
      <c r="D31" s="205">
        <v>1000000</v>
      </c>
      <c r="E31" s="207">
        <v>1000000</v>
      </c>
      <c r="F31" s="208">
        <v>921316</v>
      </c>
      <c r="G31" s="196"/>
      <c r="H31" s="199"/>
      <c r="I31" s="199"/>
      <c r="J31" s="199"/>
    </row>
    <row r="32" spans="1:10" s="45" customFormat="1" ht="15" customHeight="1">
      <c r="A32" s="57"/>
      <c r="B32" s="198" t="s">
        <v>316</v>
      </c>
      <c r="C32" s="199"/>
      <c r="D32" s="205">
        <v>50000</v>
      </c>
      <c r="E32" s="207">
        <v>50000</v>
      </c>
      <c r="F32" s="208">
        <v>50000</v>
      </c>
      <c r="G32" s="206">
        <v>425000</v>
      </c>
      <c r="H32" s="199">
        <v>425000</v>
      </c>
      <c r="I32" s="196"/>
      <c r="J32" s="196"/>
    </row>
    <row r="33" spans="1:10" s="45" customFormat="1" ht="15" customHeight="1">
      <c r="A33" s="57"/>
      <c r="B33" s="198" t="s">
        <v>484</v>
      </c>
      <c r="C33" s="199"/>
      <c r="D33" s="205"/>
      <c r="E33" s="207">
        <f>D15-E15</f>
        <v>55000</v>
      </c>
      <c r="F33" s="208">
        <v>50000</v>
      </c>
      <c r="G33" s="206">
        <v>50000</v>
      </c>
      <c r="H33" s="199">
        <v>50000</v>
      </c>
      <c r="I33" s="408">
        <v>1025000</v>
      </c>
      <c r="J33" s="196"/>
    </row>
    <row r="34" spans="1:10" s="45" customFormat="1" ht="15" customHeight="1">
      <c r="A34" s="57" t="s">
        <v>19</v>
      </c>
      <c r="B34" s="55" t="s">
        <v>31</v>
      </c>
      <c r="C34" s="199"/>
      <c r="D34" s="199"/>
      <c r="E34" s="199"/>
      <c r="F34" s="199"/>
      <c r="G34" s="199"/>
      <c r="H34" s="199"/>
      <c r="I34" s="199"/>
      <c r="J34" s="199"/>
    </row>
    <row r="35" spans="1:10" s="45" customFormat="1" ht="15" customHeight="1">
      <c r="A35" s="57" t="s">
        <v>20</v>
      </c>
      <c r="B35" s="55" t="s">
        <v>30</v>
      </c>
      <c r="C35" s="199"/>
      <c r="D35" s="199"/>
      <c r="E35" s="199"/>
      <c r="F35" s="199"/>
      <c r="G35" s="199"/>
      <c r="H35" s="199"/>
      <c r="I35" s="199"/>
      <c r="J35" s="199"/>
    </row>
    <row r="36" spans="1:10" s="45" customFormat="1" ht="15" customHeight="1">
      <c r="A36" s="52" t="s">
        <v>607</v>
      </c>
      <c r="B36" s="54" t="s">
        <v>28</v>
      </c>
      <c r="C36" s="209">
        <v>0</v>
      </c>
      <c r="D36" s="209">
        <v>0</v>
      </c>
      <c r="E36" s="209">
        <v>0</v>
      </c>
      <c r="F36" s="209">
        <v>0</v>
      </c>
      <c r="G36" s="209">
        <v>0</v>
      </c>
      <c r="H36" s="209"/>
      <c r="I36" s="209"/>
      <c r="J36" s="209"/>
    </row>
    <row r="37" spans="1:10" s="76" customFormat="1" ht="14.25" customHeight="1">
      <c r="A37" s="52" t="s">
        <v>17</v>
      </c>
      <c r="B37" s="54" t="s">
        <v>27</v>
      </c>
      <c r="C37" s="209">
        <v>267000</v>
      </c>
      <c r="D37" s="209">
        <f>2!K165</f>
        <v>258000</v>
      </c>
      <c r="E37" s="209">
        <f>95000+8000+50087+50000</f>
        <v>203087</v>
      </c>
      <c r="F37" s="209">
        <f>40000+5000+47378+37000</f>
        <v>129378</v>
      </c>
      <c r="G37" s="209">
        <f>37038+35000</f>
        <v>72038</v>
      </c>
      <c r="H37" s="209">
        <f>14236+32000</f>
        <v>46236</v>
      </c>
      <c r="I37" s="304">
        <f>16000</f>
        <v>16000</v>
      </c>
      <c r="J37" s="304">
        <v>5000</v>
      </c>
    </row>
    <row r="38" spans="1:10" s="47" customFormat="1" ht="22.5" customHeight="1">
      <c r="A38" s="44" t="s">
        <v>521</v>
      </c>
      <c r="B38" s="62" t="s">
        <v>622</v>
      </c>
      <c r="C38" s="200">
        <f>49334236+309038</f>
        <v>49643274</v>
      </c>
      <c r="D38" s="200">
        <f>1!E113</f>
        <v>46652639</v>
      </c>
      <c r="E38" s="200">
        <f aca="true" t="shared" si="8" ref="E38:J38">ROUND(D38+(D38*5%),-3)</f>
        <v>48985000</v>
      </c>
      <c r="F38" s="200">
        <f t="shared" si="8"/>
        <v>51434000</v>
      </c>
      <c r="G38" s="200">
        <f t="shared" si="8"/>
        <v>54006000</v>
      </c>
      <c r="H38" s="200">
        <f t="shared" si="8"/>
        <v>56706000</v>
      </c>
      <c r="I38" s="200">
        <f t="shared" si="8"/>
        <v>59541000</v>
      </c>
      <c r="J38" s="200">
        <f t="shared" si="8"/>
        <v>62518000</v>
      </c>
    </row>
    <row r="39" spans="1:10" s="71" customFormat="1" ht="22.5" customHeight="1">
      <c r="A39" s="44" t="s">
        <v>509</v>
      </c>
      <c r="B39" s="62" t="s">
        <v>642</v>
      </c>
      <c r="C39" s="200">
        <v>50643274</v>
      </c>
      <c r="D39" s="200">
        <f>2!E599</f>
        <v>47920399</v>
      </c>
      <c r="E39" s="200">
        <f aca="true" t="shared" si="9" ref="E39:J39">ROUND(D39+(D39*4%),-3)</f>
        <v>49837000</v>
      </c>
      <c r="F39" s="200">
        <f t="shared" si="9"/>
        <v>51830000</v>
      </c>
      <c r="G39" s="200">
        <f t="shared" si="9"/>
        <v>53903000</v>
      </c>
      <c r="H39" s="200">
        <f t="shared" si="9"/>
        <v>56059000</v>
      </c>
      <c r="I39" s="200">
        <f t="shared" si="9"/>
        <v>58301000</v>
      </c>
      <c r="J39" s="200">
        <f t="shared" si="9"/>
        <v>60633000</v>
      </c>
    </row>
    <row r="40" spans="1:10" s="71" customFormat="1" ht="22.5" customHeight="1">
      <c r="A40" s="44" t="s">
        <v>526</v>
      </c>
      <c r="B40" s="62" t="s">
        <v>643</v>
      </c>
      <c r="C40" s="200">
        <f>C38-C39</f>
        <v>-1000000</v>
      </c>
      <c r="D40" s="200">
        <f aca="true" t="shared" si="10" ref="D40:J40">D38-D39</f>
        <v>-1267760</v>
      </c>
      <c r="E40" s="200">
        <f t="shared" si="10"/>
        <v>-852000</v>
      </c>
      <c r="F40" s="200">
        <f t="shared" si="10"/>
        <v>-396000</v>
      </c>
      <c r="G40" s="200">
        <f t="shared" si="10"/>
        <v>103000</v>
      </c>
      <c r="H40" s="200">
        <f t="shared" si="10"/>
        <v>647000</v>
      </c>
      <c r="I40" s="200">
        <f t="shared" si="10"/>
        <v>1240000</v>
      </c>
      <c r="J40" s="200">
        <f t="shared" si="10"/>
        <v>1885000</v>
      </c>
    </row>
    <row r="41" spans="1:10" s="47" customFormat="1" ht="22.5" customHeight="1">
      <c r="A41" s="44" t="s">
        <v>529</v>
      </c>
      <c r="B41" s="62" t="s">
        <v>623</v>
      </c>
      <c r="C41" s="200"/>
      <c r="D41" s="200"/>
      <c r="E41" s="200"/>
      <c r="F41" s="200"/>
      <c r="G41" s="200"/>
      <c r="H41" s="200"/>
      <c r="I41" s="200"/>
      <c r="J41" s="200"/>
    </row>
    <row r="42" spans="1:10" s="45" customFormat="1" ht="15" customHeight="1">
      <c r="A42" s="52" t="s">
        <v>32</v>
      </c>
      <c r="B42" s="53" t="s">
        <v>357</v>
      </c>
      <c r="C42" s="210">
        <f>(C7-C22)/C38</f>
        <v>0.09828437181641163</v>
      </c>
      <c r="D42" s="210">
        <f aca="true" t="shared" si="11" ref="D42:I42">(D7-D22)/D38</f>
        <v>0.0879117685068148</v>
      </c>
      <c r="E42" s="210">
        <f t="shared" si="11"/>
        <v>0.061168031029907116</v>
      </c>
      <c r="F42" s="210">
        <f t="shared" si="11"/>
        <v>0.03839872457907221</v>
      </c>
      <c r="G42" s="210">
        <f t="shared" si="11"/>
        <v>0.02777469170092212</v>
      </c>
      <c r="H42" s="210">
        <f t="shared" si="11"/>
        <v>0.018075688639650124</v>
      </c>
      <c r="I42" s="210">
        <f t="shared" si="11"/>
        <v>0</v>
      </c>
      <c r="J42" s="210">
        <f>(J7-J22)/J38</f>
        <v>0</v>
      </c>
    </row>
    <row r="43" spans="1:10" s="45" customFormat="1" ht="28.5" customHeight="1">
      <c r="A43" s="52" t="s">
        <v>33</v>
      </c>
      <c r="B43" s="53" t="s">
        <v>356</v>
      </c>
      <c r="C43" s="210">
        <f aca="true" t="shared" si="12" ref="C43:I43">(C8+C17)/C38</f>
        <v>0.09828437181641163</v>
      </c>
      <c r="D43" s="210">
        <f t="shared" si="12"/>
        <v>0.0879117685068148</v>
      </c>
      <c r="E43" s="210">
        <f t="shared" si="12"/>
        <v>0.061168031029907116</v>
      </c>
      <c r="F43" s="210">
        <f t="shared" si="12"/>
        <v>0.03839872457907221</v>
      </c>
      <c r="G43" s="210">
        <f t="shared" si="12"/>
        <v>0.02777469170092212</v>
      </c>
      <c r="H43" s="210">
        <f t="shared" si="12"/>
        <v>0.018075688639650124</v>
      </c>
      <c r="I43" s="210">
        <f t="shared" si="12"/>
        <v>0</v>
      </c>
      <c r="J43" s="210">
        <f>(J8+J17)/J38</f>
        <v>0</v>
      </c>
    </row>
    <row r="44" spans="1:10" s="45" customFormat="1" ht="15" customHeight="1">
      <c r="A44" s="52" t="s">
        <v>34</v>
      </c>
      <c r="B44" s="53" t="s">
        <v>43</v>
      </c>
      <c r="C44" s="210">
        <f aca="true" t="shared" si="13" ref="C44:I44">C25/C38</f>
        <v>0.040730593232025755</v>
      </c>
      <c r="D44" s="210">
        <f t="shared" si="13"/>
        <v>0.048568356443887344</v>
      </c>
      <c r="E44" s="210">
        <f t="shared" si="13"/>
        <v>0.026703827702357866</v>
      </c>
      <c r="F44" s="210">
        <f t="shared" si="13"/>
        <v>0.022372244040906795</v>
      </c>
      <c r="G44" s="210">
        <f t="shared" si="13"/>
        <v>0.01012920786579269</v>
      </c>
      <c r="H44" s="210">
        <f t="shared" si="13"/>
        <v>0.009191902091489436</v>
      </c>
      <c r="I44" s="210">
        <f t="shared" si="13"/>
        <v>0.01748375069279992</v>
      </c>
      <c r="J44" s="210">
        <f>J25/J38</f>
        <v>7.997696663360952E-05</v>
      </c>
    </row>
    <row r="45" spans="1:10" s="45" customFormat="1" ht="25.5" customHeight="1">
      <c r="A45" s="52" t="s">
        <v>35</v>
      </c>
      <c r="B45" s="53" t="s">
        <v>44</v>
      </c>
      <c r="C45" s="210">
        <f>(C26+C37)/C38</f>
        <v>0.040730593232025755</v>
      </c>
      <c r="D45" s="210">
        <f>(D26+D37)/D38</f>
        <v>0.048568356443887344</v>
      </c>
      <c r="E45" s="210">
        <f aca="true" t="shared" si="14" ref="E45:J45">(E26+D37)/E38</f>
        <v>0.027824844340104113</v>
      </c>
      <c r="F45" s="210">
        <f t="shared" si="14"/>
        <v>0.023805323326982153</v>
      </c>
      <c r="G45" s="210">
        <f t="shared" si="14"/>
        <v>0.011190941747213273</v>
      </c>
      <c r="H45" s="210">
        <f t="shared" si="14"/>
        <v>0.00964691567029944</v>
      </c>
      <c r="I45" s="210">
        <f t="shared" si="14"/>
        <v>0.017991568834920476</v>
      </c>
      <c r="J45" s="210">
        <f t="shared" si="14"/>
        <v>0.0002559262932275505</v>
      </c>
    </row>
  </sheetData>
  <sheetProtection/>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9" r:id="rId1"/>
  <headerFooter alignWithMargins="0">
    <oddHeader>&amp;R&amp;9Załącznik nr &amp;A
do uchwały Rady Powiatu nr ...............
z dnia ..............................</oddHeader>
  </headerFooter>
</worksheet>
</file>

<file path=xl/worksheets/sheet2.xml><?xml version="1.0" encoding="utf-8"?>
<worksheet xmlns="http://schemas.openxmlformats.org/spreadsheetml/2006/main" xmlns:r="http://schemas.openxmlformats.org/officeDocument/2006/relationships">
  <dimension ref="A1:O601"/>
  <sheetViews>
    <sheetView tabSelected="1" zoomScalePageLayoutView="0" workbookViewId="0" topLeftCell="A27">
      <selection activeCell="C43" sqref="C43"/>
    </sheetView>
  </sheetViews>
  <sheetFormatPr defaultColWidth="9.00390625" defaultRowHeight="12.75"/>
  <cols>
    <col min="1" max="1" width="5.625" style="1" bestFit="1" customWidth="1"/>
    <col min="2" max="2" width="8.875" style="1" bestFit="1" customWidth="1"/>
    <col min="3" max="3" width="6.00390625" style="1" customWidth="1"/>
    <col min="4" max="4" width="32.375" style="1" customWidth="1"/>
    <col min="5" max="6" width="11.625" style="106" customWidth="1"/>
    <col min="7" max="7" width="10.125" style="106" bestFit="1" customWidth="1"/>
    <col min="8" max="8" width="11.125" style="106" bestFit="1" customWidth="1"/>
    <col min="9" max="9" width="10.125" style="106" bestFit="1" customWidth="1"/>
    <col min="10" max="10" width="9.875" style="106" bestFit="1" customWidth="1"/>
    <col min="11" max="11" width="8.25390625" style="106" bestFit="1" customWidth="1"/>
    <col min="12" max="12" width="9.125" style="106" bestFit="1" customWidth="1"/>
    <col min="13" max="13" width="9.875" style="106" bestFit="1" customWidth="1"/>
    <col min="14" max="14" width="11.375" style="106" customWidth="1"/>
  </cols>
  <sheetData>
    <row r="1" spans="1:14" ht="18">
      <c r="A1" s="486" t="s">
        <v>181</v>
      </c>
      <c r="B1" s="486"/>
      <c r="C1" s="486"/>
      <c r="D1" s="486"/>
      <c r="E1" s="486"/>
      <c r="F1" s="486"/>
      <c r="G1" s="486"/>
      <c r="H1" s="486"/>
      <c r="I1" s="486"/>
      <c r="J1" s="486"/>
      <c r="K1" s="486"/>
      <c r="L1" s="486"/>
      <c r="M1" s="486"/>
      <c r="N1" s="486"/>
    </row>
    <row r="2" spans="1:8" ht="18">
      <c r="A2" s="2"/>
      <c r="B2" s="2"/>
      <c r="C2" s="2"/>
      <c r="D2" s="2"/>
      <c r="E2" s="105"/>
      <c r="F2" s="105"/>
      <c r="G2" s="105"/>
      <c r="H2" s="105"/>
    </row>
    <row r="3" spans="1:14" ht="12.75">
      <c r="A3" s="43"/>
      <c r="B3" s="43"/>
      <c r="C3" s="43"/>
      <c r="D3" s="43"/>
      <c r="E3" s="107"/>
      <c r="F3" s="107"/>
      <c r="I3" s="108"/>
      <c r="J3" s="108"/>
      <c r="K3" s="108"/>
      <c r="L3" s="108"/>
      <c r="M3" s="108"/>
      <c r="N3" s="109" t="s">
        <v>565</v>
      </c>
    </row>
    <row r="4" spans="1:14" s="45" customFormat="1" ht="18.75" customHeight="1">
      <c r="A4" s="488" t="s">
        <v>510</v>
      </c>
      <c r="B4" s="488" t="s">
        <v>511</v>
      </c>
      <c r="C4" s="488" t="s">
        <v>512</v>
      </c>
      <c r="D4" s="488" t="s">
        <v>525</v>
      </c>
      <c r="E4" s="487" t="s">
        <v>182</v>
      </c>
      <c r="F4" s="487" t="s">
        <v>587</v>
      </c>
      <c r="G4" s="487"/>
      <c r="H4" s="487"/>
      <c r="I4" s="487"/>
      <c r="J4" s="487"/>
      <c r="K4" s="487"/>
      <c r="L4" s="487"/>
      <c r="M4" s="487"/>
      <c r="N4" s="487"/>
    </row>
    <row r="5" spans="1:14" s="45" customFormat="1" ht="20.25" customHeight="1">
      <c r="A5" s="488"/>
      <c r="B5" s="488"/>
      <c r="C5" s="488"/>
      <c r="D5" s="488"/>
      <c r="E5" s="487"/>
      <c r="F5" s="487" t="s">
        <v>545</v>
      </c>
      <c r="G5" s="487" t="s">
        <v>514</v>
      </c>
      <c r="H5" s="487"/>
      <c r="I5" s="487"/>
      <c r="J5" s="487"/>
      <c r="K5" s="487"/>
      <c r="L5" s="487"/>
      <c r="M5" s="487"/>
      <c r="N5" s="487" t="s">
        <v>547</v>
      </c>
    </row>
    <row r="6" spans="1:14" s="45" customFormat="1" ht="66">
      <c r="A6" s="488"/>
      <c r="B6" s="488"/>
      <c r="C6" s="488"/>
      <c r="D6" s="488"/>
      <c r="E6" s="487"/>
      <c r="F6" s="487"/>
      <c r="G6" s="104" t="s">
        <v>612</v>
      </c>
      <c r="H6" s="193" t="s">
        <v>229</v>
      </c>
      <c r="I6" s="104" t="s">
        <v>47</v>
      </c>
      <c r="J6" s="104" t="s">
        <v>610</v>
      </c>
      <c r="K6" s="104" t="s">
        <v>646</v>
      </c>
      <c r="L6" s="290" t="s">
        <v>77</v>
      </c>
      <c r="M6" s="104" t="s">
        <v>228</v>
      </c>
      <c r="N6" s="487"/>
    </row>
    <row r="7" spans="1:14" s="45" customFormat="1" ht="6" customHeight="1">
      <c r="A7" s="46">
        <v>1</v>
      </c>
      <c r="B7" s="46">
        <v>2</v>
      </c>
      <c r="C7" s="46">
        <v>3</v>
      </c>
      <c r="D7" s="46">
        <v>4</v>
      </c>
      <c r="E7" s="110">
        <v>5</v>
      </c>
      <c r="F7" s="110">
        <v>6</v>
      </c>
      <c r="G7" s="110">
        <v>7</v>
      </c>
      <c r="H7" s="110" t="s">
        <v>231</v>
      </c>
      <c r="I7" s="110">
        <v>8</v>
      </c>
      <c r="J7" s="110">
        <v>9</v>
      </c>
      <c r="K7" s="110">
        <v>10</v>
      </c>
      <c r="L7" s="110">
        <v>11</v>
      </c>
      <c r="M7" s="110">
        <v>12</v>
      </c>
      <c r="N7" s="110">
        <v>13</v>
      </c>
    </row>
    <row r="8" spans="1:14" s="112" customFormat="1" ht="12.75">
      <c r="A8" s="78" t="s">
        <v>50</v>
      </c>
      <c r="B8" s="78"/>
      <c r="C8" s="79"/>
      <c r="D8" s="80" t="s">
        <v>51</v>
      </c>
      <c r="E8" s="194">
        <f>F8+N8</f>
        <v>45000</v>
      </c>
      <c r="F8" s="194">
        <f aca="true" t="shared" si="0" ref="F8:F15">SUM(G8:M8)</f>
        <v>45000</v>
      </c>
      <c r="G8" s="194">
        <f>SUM(G9)</f>
        <v>0</v>
      </c>
      <c r="H8" s="194">
        <f aca="true" t="shared" si="1" ref="H8:M8">SUM(H9:H9)</f>
        <v>0</v>
      </c>
      <c r="I8" s="194">
        <f t="shared" si="1"/>
        <v>0</v>
      </c>
      <c r="J8" s="194">
        <f t="shared" si="1"/>
        <v>0</v>
      </c>
      <c r="K8" s="194">
        <f t="shared" si="1"/>
        <v>0</v>
      </c>
      <c r="L8" s="194">
        <f t="shared" si="1"/>
        <v>0</v>
      </c>
      <c r="M8" s="194">
        <f t="shared" si="1"/>
        <v>45000</v>
      </c>
      <c r="N8" s="194">
        <v>0</v>
      </c>
    </row>
    <row r="9" spans="1:14" s="76" customFormat="1" ht="38.25">
      <c r="A9" s="83"/>
      <c r="B9" s="83" t="s">
        <v>52</v>
      </c>
      <c r="C9" s="86"/>
      <c r="D9" s="84" t="s">
        <v>53</v>
      </c>
      <c r="E9" s="195">
        <f aca="true" t="shared" si="2" ref="E9:E74">F9+N9</f>
        <v>45000</v>
      </c>
      <c r="F9" s="195">
        <f t="shared" si="0"/>
        <v>45000</v>
      </c>
      <c r="G9" s="195">
        <f>SUM(G10)</f>
        <v>0</v>
      </c>
      <c r="H9" s="195">
        <f aca="true" t="shared" si="3" ref="H9:N9">SUM(H10)</f>
        <v>0</v>
      </c>
      <c r="I9" s="195">
        <f t="shared" si="3"/>
        <v>0</v>
      </c>
      <c r="J9" s="195">
        <f t="shared" si="3"/>
        <v>0</v>
      </c>
      <c r="K9" s="195">
        <f t="shared" si="3"/>
        <v>0</v>
      </c>
      <c r="L9" s="195"/>
      <c r="M9" s="195">
        <f t="shared" si="3"/>
        <v>45000</v>
      </c>
      <c r="N9" s="195">
        <f t="shared" si="3"/>
        <v>0</v>
      </c>
    </row>
    <row r="10" spans="1:14" s="45" customFormat="1" ht="12.75">
      <c r="A10" s="81"/>
      <c r="B10" s="81"/>
      <c r="C10" s="82">
        <v>4300</v>
      </c>
      <c r="D10" s="85" t="s">
        <v>54</v>
      </c>
      <c r="E10" s="184">
        <f t="shared" si="2"/>
        <v>45000</v>
      </c>
      <c r="F10" s="184">
        <f t="shared" si="0"/>
        <v>45000</v>
      </c>
      <c r="G10" s="184"/>
      <c r="H10" s="184"/>
      <c r="I10" s="184"/>
      <c r="J10" s="184"/>
      <c r="K10" s="184"/>
      <c r="L10" s="184"/>
      <c r="M10" s="184">
        <v>45000</v>
      </c>
      <c r="N10" s="184"/>
    </row>
    <row r="11" spans="1:14" s="112" customFormat="1" ht="12.75">
      <c r="A11" s="78" t="s">
        <v>55</v>
      </c>
      <c r="B11" s="78"/>
      <c r="C11" s="79"/>
      <c r="D11" s="80" t="s">
        <v>56</v>
      </c>
      <c r="E11" s="194">
        <f t="shared" si="2"/>
        <v>308030</v>
      </c>
      <c r="F11" s="194">
        <f t="shared" si="0"/>
        <v>308030</v>
      </c>
      <c r="G11" s="194">
        <f>SUM(G12+G14)</f>
        <v>0</v>
      </c>
      <c r="H11" s="194">
        <f aca="true" t="shared" si="4" ref="H11:N11">H12+H14</f>
        <v>0</v>
      </c>
      <c r="I11" s="194">
        <f t="shared" si="4"/>
        <v>0</v>
      </c>
      <c r="J11" s="194">
        <f t="shared" si="4"/>
        <v>43030</v>
      </c>
      <c r="K11" s="194">
        <f t="shared" si="4"/>
        <v>0</v>
      </c>
      <c r="L11" s="194">
        <f t="shared" si="4"/>
        <v>0</v>
      </c>
      <c r="M11" s="194">
        <f t="shared" si="4"/>
        <v>265000</v>
      </c>
      <c r="N11" s="194">
        <f t="shared" si="4"/>
        <v>0</v>
      </c>
    </row>
    <row r="12" spans="1:14" s="76" customFormat="1" ht="12.75">
      <c r="A12" s="83"/>
      <c r="B12" s="83" t="s">
        <v>57</v>
      </c>
      <c r="C12" s="86"/>
      <c r="D12" s="84" t="s">
        <v>58</v>
      </c>
      <c r="E12" s="195">
        <f t="shared" si="2"/>
        <v>265000</v>
      </c>
      <c r="F12" s="195">
        <f t="shared" si="0"/>
        <v>265000</v>
      </c>
      <c r="G12" s="195">
        <f aca="true" t="shared" si="5" ref="G12:N12">SUM(G13)</f>
        <v>0</v>
      </c>
      <c r="H12" s="195">
        <f t="shared" si="5"/>
        <v>0</v>
      </c>
      <c r="I12" s="195">
        <f t="shared" si="5"/>
        <v>0</v>
      </c>
      <c r="J12" s="195">
        <f t="shared" si="5"/>
        <v>0</v>
      </c>
      <c r="K12" s="195">
        <f t="shared" si="5"/>
        <v>0</v>
      </c>
      <c r="L12" s="195">
        <f t="shared" si="5"/>
        <v>0</v>
      </c>
      <c r="M12" s="195">
        <f t="shared" si="5"/>
        <v>265000</v>
      </c>
      <c r="N12" s="195">
        <f t="shared" si="5"/>
        <v>0</v>
      </c>
    </row>
    <row r="13" spans="1:14" s="45" customFormat="1" ht="25.5">
      <c r="A13" s="87"/>
      <c r="B13" s="87"/>
      <c r="C13" s="88">
        <v>3030</v>
      </c>
      <c r="D13" s="89" t="s">
        <v>59</v>
      </c>
      <c r="E13" s="184">
        <f t="shared" si="2"/>
        <v>265000</v>
      </c>
      <c r="F13" s="184">
        <f t="shared" si="0"/>
        <v>265000</v>
      </c>
      <c r="G13" s="184"/>
      <c r="H13" s="184"/>
      <c r="I13" s="184"/>
      <c r="J13" s="184"/>
      <c r="K13" s="184"/>
      <c r="L13" s="184"/>
      <c r="M13" s="184">
        <v>265000</v>
      </c>
      <c r="N13" s="184"/>
    </row>
    <row r="14" spans="1:14" s="76" customFormat="1" ht="12.75">
      <c r="A14" s="83"/>
      <c r="B14" s="83" t="s">
        <v>60</v>
      </c>
      <c r="C14" s="86"/>
      <c r="D14" s="90" t="s">
        <v>61</v>
      </c>
      <c r="E14" s="195">
        <f t="shared" si="2"/>
        <v>43030</v>
      </c>
      <c r="F14" s="195">
        <f t="shared" si="0"/>
        <v>43030</v>
      </c>
      <c r="G14" s="195"/>
      <c r="H14" s="195">
        <f aca="true" t="shared" si="6" ref="H14:N14">SUM(H15)</f>
        <v>0</v>
      </c>
      <c r="I14" s="195">
        <f t="shared" si="6"/>
        <v>0</v>
      </c>
      <c r="J14" s="195">
        <f t="shared" si="6"/>
        <v>43030</v>
      </c>
      <c r="K14" s="195">
        <f t="shared" si="6"/>
        <v>0</v>
      </c>
      <c r="L14" s="195">
        <f t="shared" si="6"/>
        <v>0</v>
      </c>
      <c r="M14" s="195">
        <f t="shared" si="6"/>
        <v>0</v>
      </c>
      <c r="N14" s="195">
        <f t="shared" si="6"/>
        <v>0</v>
      </c>
    </row>
    <row r="15" spans="1:14" s="45" customFormat="1" ht="76.5">
      <c r="A15" s="81"/>
      <c r="B15" s="81"/>
      <c r="C15" s="82">
        <v>2830</v>
      </c>
      <c r="D15" s="85" t="s">
        <v>62</v>
      </c>
      <c r="E15" s="184">
        <f t="shared" si="2"/>
        <v>43030</v>
      </c>
      <c r="F15" s="184">
        <f t="shared" si="0"/>
        <v>43030</v>
      </c>
      <c r="G15" s="184"/>
      <c r="H15" s="184"/>
      <c r="I15" s="184"/>
      <c r="J15" s="184">
        <v>43030</v>
      </c>
      <c r="K15" s="184"/>
      <c r="L15" s="184"/>
      <c r="M15" s="184"/>
      <c r="N15" s="184"/>
    </row>
    <row r="16" spans="1:14" s="45" customFormat="1" ht="12.75">
      <c r="A16" s="81"/>
      <c r="B16" s="81"/>
      <c r="C16" s="82"/>
      <c r="D16" s="85"/>
      <c r="E16" s="184"/>
      <c r="F16" s="184"/>
      <c r="G16" s="184"/>
      <c r="H16" s="184"/>
      <c r="I16" s="184"/>
      <c r="J16" s="184"/>
      <c r="K16" s="184"/>
      <c r="L16" s="184"/>
      <c r="M16" s="184"/>
      <c r="N16" s="184"/>
    </row>
    <row r="17" spans="1:14" s="112" customFormat="1" ht="12.75">
      <c r="A17" s="78">
        <v>600</v>
      </c>
      <c r="B17" s="78"/>
      <c r="C17" s="79"/>
      <c r="D17" s="91" t="s">
        <v>63</v>
      </c>
      <c r="E17" s="194">
        <f t="shared" si="2"/>
        <v>4347712</v>
      </c>
      <c r="F17" s="194">
        <f>SUM(G17:M17)</f>
        <v>2936712</v>
      </c>
      <c r="G17" s="194">
        <f>SUM(G18)</f>
        <v>592026</v>
      </c>
      <c r="H17" s="194">
        <f aca="true" t="shared" si="7" ref="H17:N17">SUM(H18)</f>
        <v>39600</v>
      </c>
      <c r="I17" s="194">
        <f t="shared" si="7"/>
        <v>113166</v>
      </c>
      <c r="J17" s="194">
        <f t="shared" si="7"/>
        <v>0</v>
      </c>
      <c r="K17" s="194">
        <f t="shared" si="7"/>
        <v>0</v>
      </c>
      <c r="L17" s="194">
        <f t="shared" si="7"/>
        <v>0</v>
      </c>
      <c r="M17" s="194">
        <f t="shared" si="7"/>
        <v>2191920</v>
      </c>
      <c r="N17" s="194">
        <f t="shared" si="7"/>
        <v>1411000</v>
      </c>
    </row>
    <row r="18" spans="1:14" s="76" customFormat="1" ht="12.75">
      <c r="A18" s="83"/>
      <c r="B18" s="83">
        <v>60014</v>
      </c>
      <c r="C18" s="86"/>
      <c r="D18" s="90" t="s">
        <v>64</v>
      </c>
      <c r="E18" s="195">
        <f t="shared" si="2"/>
        <v>4347712</v>
      </c>
      <c r="F18" s="195">
        <f>SUM(F19:F41)</f>
        <v>2936712</v>
      </c>
      <c r="G18" s="195">
        <f>SUM(G19:G44)</f>
        <v>592026</v>
      </c>
      <c r="H18" s="195">
        <f aca="true" t="shared" si="8" ref="H18:N18">SUM(H19:H44)</f>
        <v>39600</v>
      </c>
      <c r="I18" s="195">
        <f t="shared" si="8"/>
        <v>113166</v>
      </c>
      <c r="J18" s="195">
        <f t="shared" si="8"/>
        <v>0</v>
      </c>
      <c r="K18" s="195">
        <f t="shared" si="8"/>
        <v>0</v>
      </c>
      <c r="L18" s="195">
        <f t="shared" si="8"/>
        <v>0</v>
      </c>
      <c r="M18" s="195">
        <f t="shared" si="8"/>
        <v>2191920</v>
      </c>
      <c r="N18" s="195">
        <f t="shared" si="8"/>
        <v>1411000</v>
      </c>
    </row>
    <row r="19" spans="1:14" s="45" customFormat="1" ht="25.5">
      <c r="A19" s="78"/>
      <c r="B19" s="78"/>
      <c r="C19" s="82">
        <v>3020</v>
      </c>
      <c r="D19" s="85" t="s">
        <v>65</v>
      </c>
      <c r="E19" s="184">
        <f t="shared" si="2"/>
        <v>14800</v>
      </c>
      <c r="F19" s="184">
        <f aca="true" t="shared" si="9" ref="F19:F50">SUM(G19:M19)</f>
        <v>14800</v>
      </c>
      <c r="G19" s="184"/>
      <c r="H19" s="184"/>
      <c r="I19" s="184"/>
      <c r="J19" s="184"/>
      <c r="K19" s="184"/>
      <c r="L19" s="184"/>
      <c r="M19" s="184">
        <v>14800</v>
      </c>
      <c r="N19" s="184"/>
    </row>
    <row r="20" spans="1:14" s="45" customFormat="1" ht="25.5">
      <c r="A20" s="78"/>
      <c r="B20" s="78"/>
      <c r="C20" s="92">
        <v>4010</v>
      </c>
      <c r="D20" s="85" t="s">
        <v>66</v>
      </c>
      <c r="E20" s="184">
        <f t="shared" si="2"/>
        <v>592026</v>
      </c>
      <c r="F20" s="184">
        <f t="shared" si="9"/>
        <v>592026</v>
      </c>
      <c r="G20" s="184">
        <f>565450+26576</f>
        <v>592026</v>
      </c>
      <c r="H20" s="184"/>
      <c r="I20" s="184"/>
      <c r="J20" s="184"/>
      <c r="K20" s="184"/>
      <c r="L20" s="184"/>
      <c r="M20" s="184"/>
      <c r="N20" s="184"/>
    </row>
    <row r="21" spans="1:14" s="45" customFormat="1" ht="12.75">
      <c r="A21" s="78"/>
      <c r="B21" s="78"/>
      <c r="C21" s="82">
        <v>4040</v>
      </c>
      <c r="D21" s="85" t="s">
        <v>67</v>
      </c>
      <c r="E21" s="184">
        <f t="shared" si="2"/>
        <v>39600</v>
      </c>
      <c r="F21" s="184">
        <f t="shared" si="9"/>
        <v>39600</v>
      </c>
      <c r="G21" s="184"/>
      <c r="H21" s="184">
        <v>39600</v>
      </c>
      <c r="I21" s="184"/>
      <c r="J21" s="184"/>
      <c r="K21" s="184"/>
      <c r="L21" s="184"/>
      <c r="M21" s="184"/>
      <c r="N21" s="184"/>
    </row>
    <row r="22" spans="1:14" s="45" customFormat="1" ht="12.75">
      <c r="A22" s="78"/>
      <c r="B22" s="78"/>
      <c r="C22" s="82">
        <v>4110</v>
      </c>
      <c r="D22" s="85" t="s">
        <v>68</v>
      </c>
      <c r="E22" s="184">
        <f t="shared" si="2"/>
        <v>98015</v>
      </c>
      <c r="F22" s="184">
        <f t="shared" si="9"/>
        <v>98015</v>
      </c>
      <c r="G22" s="184"/>
      <c r="H22" s="184"/>
      <c r="I22" s="184">
        <f>93800+4215</f>
        <v>98015</v>
      </c>
      <c r="J22" s="184"/>
      <c r="K22" s="184"/>
      <c r="L22" s="184"/>
      <c r="M22" s="184"/>
      <c r="N22" s="184"/>
    </row>
    <row r="23" spans="1:14" s="45" customFormat="1" ht="12.75">
      <c r="A23" s="78"/>
      <c r="B23" s="78"/>
      <c r="C23" s="82">
        <v>4120</v>
      </c>
      <c r="D23" s="85" t="s">
        <v>69</v>
      </c>
      <c r="E23" s="184">
        <f t="shared" si="2"/>
        <v>15151</v>
      </c>
      <c r="F23" s="184">
        <f t="shared" si="9"/>
        <v>15151</v>
      </c>
      <c r="G23" s="184"/>
      <c r="H23" s="184"/>
      <c r="I23" s="184">
        <f>14500+651</f>
        <v>15151</v>
      </c>
      <c r="J23" s="184"/>
      <c r="K23" s="184"/>
      <c r="L23" s="184"/>
      <c r="M23" s="184"/>
      <c r="N23" s="184"/>
    </row>
    <row r="24" spans="1:14" s="45" customFormat="1" ht="12.75">
      <c r="A24" s="78"/>
      <c r="B24" s="78"/>
      <c r="C24" s="82">
        <v>4170</v>
      </c>
      <c r="D24" s="85" t="s">
        <v>70</v>
      </c>
      <c r="E24" s="184">
        <f t="shared" si="2"/>
        <v>4000</v>
      </c>
      <c r="F24" s="184">
        <f t="shared" si="9"/>
        <v>4000</v>
      </c>
      <c r="G24" s="184"/>
      <c r="H24" s="184"/>
      <c r="I24" s="184"/>
      <c r="J24" s="184"/>
      <c r="K24" s="184"/>
      <c r="L24" s="184"/>
      <c r="M24" s="184">
        <v>4000</v>
      </c>
      <c r="N24" s="184"/>
    </row>
    <row r="25" spans="1:14" s="45" customFormat="1" ht="12.75">
      <c r="A25" s="78"/>
      <c r="B25" s="78"/>
      <c r="C25" s="82">
        <v>4210</v>
      </c>
      <c r="D25" s="85" t="s">
        <v>71</v>
      </c>
      <c r="E25" s="184">
        <f t="shared" si="2"/>
        <v>170000</v>
      </c>
      <c r="F25" s="184">
        <f t="shared" si="9"/>
        <v>170000</v>
      </c>
      <c r="G25" s="184"/>
      <c r="H25" s="184"/>
      <c r="I25" s="184"/>
      <c r="J25" s="184"/>
      <c r="K25" s="184"/>
      <c r="L25" s="184"/>
      <c r="M25" s="184">
        <v>170000</v>
      </c>
      <c r="N25" s="184"/>
    </row>
    <row r="26" spans="1:14" s="45" customFormat="1" ht="12.75">
      <c r="A26" s="78"/>
      <c r="B26" s="78"/>
      <c r="C26" s="82">
        <v>4260</v>
      </c>
      <c r="D26" s="85" t="s">
        <v>72</v>
      </c>
      <c r="E26" s="184">
        <f t="shared" si="2"/>
        <v>19750</v>
      </c>
      <c r="F26" s="184">
        <f t="shared" si="9"/>
        <v>19750</v>
      </c>
      <c r="G26" s="184"/>
      <c r="H26" s="184"/>
      <c r="I26" s="184"/>
      <c r="J26" s="184"/>
      <c r="K26" s="184"/>
      <c r="L26" s="184"/>
      <c r="M26" s="184">
        <v>19750</v>
      </c>
      <c r="N26" s="184"/>
    </row>
    <row r="27" spans="1:14" s="45" customFormat="1" ht="12.75">
      <c r="A27" s="78"/>
      <c r="B27" s="78"/>
      <c r="C27" s="82">
        <v>4270</v>
      </c>
      <c r="D27" s="85" t="s">
        <v>73</v>
      </c>
      <c r="E27" s="184">
        <f t="shared" si="2"/>
        <v>815000</v>
      </c>
      <c r="F27" s="184">
        <f t="shared" si="9"/>
        <v>815000</v>
      </c>
      <c r="G27" s="184"/>
      <c r="H27" s="184"/>
      <c r="I27" s="184"/>
      <c r="J27" s="184"/>
      <c r="K27" s="184"/>
      <c r="L27" s="184"/>
      <c r="M27" s="184">
        <f>700000-100000+215000</f>
        <v>815000</v>
      </c>
      <c r="N27" s="184"/>
    </row>
    <row r="28" spans="1:14" s="45" customFormat="1" ht="12.75">
      <c r="A28" s="78"/>
      <c r="B28" s="78"/>
      <c r="C28" s="82">
        <v>4280</v>
      </c>
      <c r="D28" s="85" t="s">
        <v>74</v>
      </c>
      <c r="E28" s="184">
        <f t="shared" si="2"/>
        <v>900</v>
      </c>
      <c r="F28" s="184">
        <f t="shared" si="9"/>
        <v>900</v>
      </c>
      <c r="G28" s="184"/>
      <c r="H28" s="184"/>
      <c r="I28" s="184"/>
      <c r="J28" s="184"/>
      <c r="K28" s="184"/>
      <c r="L28" s="184"/>
      <c r="M28" s="184">
        <v>900</v>
      </c>
      <c r="N28" s="184"/>
    </row>
    <row r="29" spans="1:14" s="45" customFormat="1" ht="12.75">
      <c r="A29" s="78"/>
      <c r="B29" s="78"/>
      <c r="C29" s="82">
        <v>4300</v>
      </c>
      <c r="D29" s="85" t="s">
        <v>54</v>
      </c>
      <c r="E29" s="184">
        <f t="shared" si="2"/>
        <v>1100000</v>
      </c>
      <c r="F29" s="184">
        <f t="shared" si="9"/>
        <v>1100000</v>
      </c>
      <c r="G29" s="184"/>
      <c r="H29" s="184"/>
      <c r="I29" s="184"/>
      <c r="J29" s="184"/>
      <c r="K29" s="184"/>
      <c r="L29" s="184"/>
      <c r="M29" s="184">
        <v>1100000</v>
      </c>
      <c r="N29" s="184"/>
    </row>
    <row r="30" spans="1:14" s="45" customFormat="1" ht="25.5">
      <c r="A30" s="78"/>
      <c r="B30" s="78"/>
      <c r="C30" s="82">
        <v>4350</v>
      </c>
      <c r="D30" s="85" t="s">
        <v>75</v>
      </c>
      <c r="E30" s="184">
        <f t="shared" si="2"/>
        <v>1120</v>
      </c>
      <c r="F30" s="184">
        <f t="shared" si="9"/>
        <v>1120</v>
      </c>
      <c r="G30" s="184"/>
      <c r="H30" s="184"/>
      <c r="I30" s="184"/>
      <c r="J30" s="184"/>
      <c r="K30" s="184"/>
      <c r="L30" s="184"/>
      <c r="M30" s="184">
        <v>1120</v>
      </c>
      <c r="N30" s="184"/>
    </row>
    <row r="31" spans="1:14" s="45" customFormat="1" ht="25.5">
      <c r="A31" s="78"/>
      <c r="B31" s="78"/>
      <c r="C31" s="82">
        <v>4360</v>
      </c>
      <c r="D31" s="85" t="s">
        <v>327</v>
      </c>
      <c r="E31" s="184">
        <f t="shared" si="2"/>
        <v>6300</v>
      </c>
      <c r="F31" s="184">
        <f t="shared" si="9"/>
        <v>6300</v>
      </c>
      <c r="G31" s="184"/>
      <c r="H31" s="184"/>
      <c r="I31" s="184"/>
      <c r="J31" s="184"/>
      <c r="K31" s="184"/>
      <c r="L31" s="184"/>
      <c r="M31" s="184">
        <v>6300</v>
      </c>
      <c r="N31" s="184"/>
    </row>
    <row r="32" spans="1:14" s="45" customFormat="1" ht="12.75">
      <c r="A32" s="78"/>
      <c r="B32" s="78"/>
      <c r="C32" s="82">
        <v>4370</v>
      </c>
      <c r="D32" s="85" t="s">
        <v>328</v>
      </c>
      <c r="E32" s="184">
        <f t="shared" si="2"/>
        <v>6000</v>
      </c>
      <c r="F32" s="184">
        <f t="shared" si="9"/>
        <v>6000</v>
      </c>
      <c r="G32" s="184"/>
      <c r="H32" s="184"/>
      <c r="I32" s="184"/>
      <c r="J32" s="184"/>
      <c r="K32" s="184"/>
      <c r="L32" s="184"/>
      <c r="M32" s="184">
        <v>6000</v>
      </c>
      <c r="N32" s="184"/>
    </row>
    <row r="33" spans="1:14" s="45" customFormat="1" ht="25.5">
      <c r="A33" s="78"/>
      <c r="B33" s="78"/>
      <c r="C33" s="82">
        <v>4390</v>
      </c>
      <c r="D33" s="85" t="s">
        <v>320</v>
      </c>
      <c r="E33" s="184">
        <f t="shared" si="2"/>
        <v>5000</v>
      </c>
      <c r="F33" s="184">
        <f t="shared" si="9"/>
        <v>5000</v>
      </c>
      <c r="G33" s="184"/>
      <c r="H33" s="184"/>
      <c r="I33" s="184"/>
      <c r="J33" s="184"/>
      <c r="K33" s="184"/>
      <c r="L33" s="184"/>
      <c r="M33" s="184">
        <v>5000</v>
      </c>
      <c r="N33" s="184"/>
    </row>
    <row r="34" spans="1:14" s="45" customFormat="1" ht="12.75">
      <c r="A34" s="78"/>
      <c r="B34" s="78"/>
      <c r="C34" s="82">
        <v>4410</v>
      </c>
      <c r="D34" s="85" t="s">
        <v>80</v>
      </c>
      <c r="E34" s="184">
        <f t="shared" si="2"/>
        <v>3600</v>
      </c>
      <c r="F34" s="184">
        <f t="shared" si="9"/>
        <v>3600</v>
      </c>
      <c r="G34" s="184"/>
      <c r="H34" s="184"/>
      <c r="I34" s="184"/>
      <c r="J34" s="184"/>
      <c r="K34" s="184"/>
      <c r="L34" s="184"/>
      <c r="M34" s="184">
        <v>3600</v>
      </c>
      <c r="N34" s="184"/>
    </row>
    <row r="35" spans="1:14" s="45" customFormat="1" ht="12.75">
      <c r="A35" s="78"/>
      <c r="B35" s="78"/>
      <c r="C35" s="82">
        <v>4430</v>
      </c>
      <c r="D35" s="85" t="s">
        <v>81</v>
      </c>
      <c r="E35" s="184">
        <f t="shared" si="2"/>
        <v>9000</v>
      </c>
      <c r="F35" s="184">
        <f t="shared" si="9"/>
        <v>9000</v>
      </c>
      <c r="G35" s="184"/>
      <c r="H35" s="184"/>
      <c r="I35" s="184"/>
      <c r="J35" s="184"/>
      <c r="K35" s="184"/>
      <c r="L35" s="184"/>
      <c r="M35" s="184">
        <v>9000</v>
      </c>
      <c r="N35" s="184"/>
    </row>
    <row r="36" spans="1:14" s="45" customFormat="1" ht="25.5">
      <c r="A36" s="78"/>
      <c r="B36" s="78"/>
      <c r="C36" s="82">
        <v>4440</v>
      </c>
      <c r="D36" s="85" t="s">
        <v>82</v>
      </c>
      <c r="E36" s="184">
        <f t="shared" si="2"/>
        <v>18950</v>
      </c>
      <c r="F36" s="184">
        <f t="shared" si="9"/>
        <v>18950</v>
      </c>
      <c r="G36" s="184"/>
      <c r="H36" s="184"/>
      <c r="I36" s="184"/>
      <c r="J36" s="184"/>
      <c r="K36" s="184"/>
      <c r="L36" s="184"/>
      <c r="M36" s="184">
        <v>18950</v>
      </c>
      <c r="N36" s="184"/>
    </row>
    <row r="37" spans="1:14" s="45" customFormat="1" ht="12.75">
      <c r="A37" s="78"/>
      <c r="B37" s="78"/>
      <c r="C37" s="82">
        <v>4480</v>
      </c>
      <c r="D37" s="85" t="s">
        <v>83</v>
      </c>
      <c r="E37" s="184">
        <f t="shared" si="2"/>
        <v>6500</v>
      </c>
      <c r="F37" s="184">
        <f t="shared" si="9"/>
        <v>6500</v>
      </c>
      <c r="G37" s="184"/>
      <c r="H37" s="184"/>
      <c r="I37" s="184"/>
      <c r="J37" s="184"/>
      <c r="K37" s="184"/>
      <c r="L37" s="184"/>
      <c r="M37" s="184">
        <v>6500</v>
      </c>
      <c r="N37" s="184"/>
    </row>
    <row r="38" spans="1:14" s="45" customFormat="1" ht="38.25">
      <c r="A38" s="78"/>
      <c r="B38" s="78"/>
      <c r="C38" s="82">
        <v>4700</v>
      </c>
      <c r="D38" s="85" t="s">
        <v>323</v>
      </c>
      <c r="E38" s="184">
        <f t="shared" si="2"/>
        <v>5000</v>
      </c>
      <c r="F38" s="184">
        <f t="shared" si="9"/>
        <v>5000</v>
      </c>
      <c r="G38" s="184"/>
      <c r="H38" s="184"/>
      <c r="I38" s="184"/>
      <c r="J38" s="184"/>
      <c r="K38" s="184"/>
      <c r="L38" s="184"/>
      <c r="M38" s="184">
        <v>5000</v>
      </c>
      <c r="N38" s="184"/>
    </row>
    <row r="39" spans="1:14" s="45" customFormat="1" ht="25.5">
      <c r="A39" s="78"/>
      <c r="B39" s="78"/>
      <c r="C39" s="82">
        <v>4740</v>
      </c>
      <c r="D39" s="85" t="s">
        <v>84</v>
      </c>
      <c r="E39" s="184">
        <f t="shared" si="2"/>
        <v>1000</v>
      </c>
      <c r="F39" s="184">
        <f t="shared" si="9"/>
        <v>1000</v>
      </c>
      <c r="G39" s="184"/>
      <c r="H39" s="184"/>
      <c r="I39" s="184"/>
      <c r="J39" s="184"/>
      <c r="K39" s="184"/>
      <c r="L39" s="184"/>
      <c r="M39" s="184">
        <v>1000</v>
      </c>
      <c r="N39" s="184"/>
    </row>
    <row r="40" spans="1:14" s="45" customFormat="1" ht="12.75">
      <c r="A40" s="78"/>
      <c r="B40" s="78"/>
      <c r="C40" s="82">
        <v>4750</v>
      </c>
      <c r="D40" s="85" t="s">
        <v>85</v>
      </c>
      <c r="E40" s="184">
        <f t="shared" si="2"/>
        <v>5000</v>
      </c>
      <c r="F40" s="184">
        <f t="shared" si="9"/>
        <v>5000</v>
      </c>
      <c r="G40" s="184"/>
      <c r="H40" s="184"/>
      <c r="I40" s="184"/>
      <c r="J40" s="184"/>
      <c r="K40" s="184"/>
      <c r="L40" s="184"/>
      <c r="M40" s="184">
        <v>5000</v>
      </c>
      <c r="N40" s="184"/>
    </row>
    <row r="41" spans="1:14" s="45" customFormat="1" ht="25.5">
      <c r="A41" s="78"/>
      <c r="B41" s="78"/>
      <c r="C41" s="92">
        <v>6050</v>
      </c>
      <c r="D41" s="93" t="s">
        <v>86</v>
      </c>
      <c r="E41" s="184">
        <f t="shared" si="2"/>
        <v>1186000</v>
      </c>
      <c r="F41" s="184">
        <f t="shared" si="9"/>
        <v>0</v>
      </c>
      <c r="G41" s="184"/>
      <c r="H41" s="184"/>
      <c r="I41" s="184"/>
      <c r="J41" s="184"/>
      <c r="K41" s="184"/>
      <c r="L41" s="184"/>
      <c r="M41" s="184"/>
      <c r="N41" s="184">
        <f>300000+100000+400000+386000</f>
        <v>1186000</v>
      </c>
    </row>
    <row r="42" spans="1:14" s="45" customFormat="1" ht="25.5">
      <c r="A42" s="78"/>
      <c r="B42" s="78"/>
      <c r="C42" s="92">
        <v>6058</v>
      </c>
      <c r="D42" s="93" t="s">
        <v>86</v>
      </c>
      <c r="E42" s="184">
        <f>F42+N42</f>
        <v>125904</v>
      </c>
      <c r="F42" s="184">
        <f>SUM(G42:M42)</f>
        <v>0</v>
      </c>
      <c r="G42" s="184"/>
      <c r="H42" s="184"/>
      <c r="I42" s="184"/>
      <c r="J42" s="184"/>
      <c r="K42" s="184"/>
      <c r="L42" s="184"/>
      <c r="M42" s="184"/>
      <c r="N42" s="184">
        <v>125904</v>
      </c>
    </row>
    <row r="43" spans="1:14" s="45" customFormat="1" ht="25.5">
      <c r="A43" s="78"/>
      <c r="B43" s="78"/>
      <c r="C43" s="92">
        <v>6059</v>
      </c>
      <c r="D43" s="93" t="s">
        <v>86</v>
      </c>
      <c r="E43" s="184">
        <f>F43+N43</f>
        <v>89096</v>
      </c>
      <c r="F43" s="184">
        <f>SUM(G43:M43)</f>
        <v>0</v>
      </c>
      <c r="G43" s="184"/>
      <c r="H43" s="184"/>
      <c r="I43" s="184"/>
      <c r="J43" s="184"/>
      <c r="K43" s="184"/>
      <c r="L43" s="184"/>
      <c r="M43" s="184"/>
      <c r="N43" s="184">
        <f>215000-125904</f>
        <v>89096</v>
      </c>
    </row>
    <row r="44" spans="1:14" s="45" customFormat="1" ht="25.5">
      <c r="A44" s="78"/>
      <c r="B44" s="78"/>
      <c r="C44" s="92">
        <v>6060</v>
      </c>
      <c r="D44" s="93" t="s">
        <v>405</v>
      </c>
      <c r="E44" s="184">
        <f>F44+N44</f>
        <v>10000</v>
      </c>
      <c r="F44" s="184">
        <f>SUM(G44:M44)</f>
        <v>0</v>
      </c>
      <c r="G44" s="184"/>
      <c r="H44" s="184"/>
      <c r="I44" s="184"/>
      <c r="J44" s="184"/>
      <c r="K44" s="184"/>
      <c r="L44" s="184"/>
      <c r="M44" s="184"/>
      <c r="N44" s="184">
        <v>10000</v>
      </c>
    </row>
    <row r="45" spans="1:14" s="112" customFormat="1" ht="12.75">
      <c r="A45" s="78">
        <v>700</v>
      </c>
      <c r="B45" s="78"/>
      <c r="C45" s="79"/>
      <c r="D45" s="91" t="s">
        <v>87</v>
      </c>
      <c r="E45" s="194">
        <f t="shared" si="2"/>
        <v>119466</v>
      </c>
      <c r="F45" s="194">
        <f t="shared" si="9"/>
        <v>94466</v>
      </c>
      <c r="G45" s="194">
        <f aca="true" t="shared" si="10" ref="G45:N45">SUM(G46)</f>
        <v>0</v>
      </c>
      <c r="H45" s="194">
        <f t="shared" si="10"/>
        <v>0</v>
      </c>
      <c r="I45" s="194">
        <f t="shared" si="10"/>
        <v>0</v>
      </c>
      <c r="J45" s="194">
        <f t="shared" si="10"/>
        <v>0</v>
      </c>
      <c r="K45" s="194">
        <f t="shared" si="10"/>
        <v>0</v>
      </c>
      <c r="L45" s="194">
        <f t="shared" si="10"/>
        <v>0</v>
      </c>
      <c r="M45" s="194">
        <f t="shared" si="10"/>
        <v>94466</v>
      </c>
      <c r="N45" s="194">
        <f t="shared" si="10"/>
        <v>25000</v>
      </c>
    </row>
    <row r="46" spans="1:14" s="76" customFormat="1" ht="25.5">
      <c r="A46" s="83"/>
      <c r="B46" s="83">
        <v>70005</v>
      </c>
      <c r="C46" s="86"/>
      <c r="D46" s="90" t="s">
        <v>88</v>
      </c>
      <c r="E46" s="195">
        <f t="shared" si="2"/>
        <v>119466</v>
      </c>
      <c r="F46" s="195">
        <f>SUM(G46:M46)</f>
        <v>94466</v>
      </c>
      <c r="G46" s="195">
        <f>SUM(G47:G55)</f>
        <v>0</v>
      </c>
      <c r="H46" s="195">
        <f aca="true" t="shared" si="11" ref="H46:N46">SUM(H47:H55)</f>
        <v>0</v>
      </c>
      <c r="I46" s="195">
        <f t="shared" si="11"/>
        <v>0</v>
      </c>
      <c r="J46" s="195">
        <f t="shared" si="11"/>
        <v>0</v>
      </c>
      <c r="K46" s="195">
        <f t="shared" si="11"/>
        <v>0</v>
      </c>
      <c r="L46" s="195">
        <f t="shared" si="11"/>
        <v>0</v>
      </c>
      <c r="M46" s="195">
        <f t="shared" si="11"/>
        <v>94466</v>
      </c>
      <c r="N46" s="195">
        <f t="shared" si="11"/>
        <v>25000</v>
      </c>
    </row>
    <row r="47" spans="1:14" s="45" customFormat="1" ht="12.75">
      <c r="A47" s="78"/>
      <c r="B47" s="78"/>
      <c r="C47" s="82">
        <v>4260</v>
      </c>
      <c r="D47" s="85" t="s">
        <v>72</v>
      </c>
      <c r="E47" s="184">
        <f t="shared" si="2"/>
        <v>6750</v>
      </c>
      <c r="F47" s="184">
        <f t="shared" si="9"/>
        <v>6750</v>
      </c>
      <c r="G47" s="184"/>
      <c r="H47" s="184"/>
      <c r="I47" s="184"/>
      <c r="J47" s="184"/>
      <c r="K47" s="184"/>
      <c r="L47" s="184"/>
      <c r="M47" s="184">
        <v>6750</v>
      </c>
      <c r="N47" s="184"/>
    </row>
    <row r="48" spans="1:14" s="45" customFormat="1" ht="12.75">
      <c r="A48" s="81"/>
      <c r="B48" s="81"/>
      <c r="C48" s="82">
        <v>4270</v>
      </c>
      <c r="D48" s="85" t="s">
        <v>89</v>
      </c>
      <c r="E48" s="184">
        <f t="shared" si="2"/>
        <v>310</v>
      </c>
      <c r="F48" s="184">
        <f t="shared" si="9"/>
        <v>310</v>
      </c>
      <c r="G48" s="184"/>
      <c r="H48" s="184"/>
      <c r="I48" s="184"/>
      <c r="J48" s="184"/>
      <c r="K48" s="184"/>
      <c r="L48" s="184"/>
      <c r="M48" s="184">
        <v>310</v>
      </c>
      <c r="N48" s="184"/>
    </row>
    <row r="49" spans="1:14" s="45" customFormat="1" ht="12.75">
      <c r="A49" s="81"/>
      <c r="B49" s="81"/>
      <c r="C49" s="82">
        <v>4300</v>
      </c>
      <c r="D49" s="85" t="s">
        <v>54</v>
      </c>
      <c r="E49" s="184">
        <f t="shared" si="2"/>
        <v>9900</v>
      </c>
      <c r="F49" s="184">
        <f t="shared" si="9"/>
        <v>9900</v>
      </c>
      <c r="G49" s="184"/>
      <c r="H49" s="184"/>
      <c r="I49" s="184"/>
      <c r="J49" s="184"/>
      <c r="K49" s="184"/>
      <c r="L49" s="184"/>
      <c r="M49" s="184">
        <f>8900-600+600+1000</f>
        <v>9900</v>
      </c>
      <c r="N49" s="184"/>
    </row>
    <row r="50" spans="1:14" s="45" customFormat="1" ht="25.5">
      <c r="A50" s="81"/>
      <c r="B50" s="81"/>
      <c r="C50" s="82">
        <v>4390</v>
      </c>
      <c r="D50" s="85" t="s">
        <v>320</v>
      </c>
      <c r="E50" s="184">
        <f t="shared" si="2"/>
        <v>50397</v>
      </c>
      <c r="F50" s="184">
        <f t="shared" si="9"/>
        <v>50397</v>
      </c>
      <c r="G50" s="184"/>
      <c r="H50" s="184"/>
      <c r="I50" s="184"/>
      <c r="J50" s="184"/>
      <c r="K50" s="184"/>
      <c r="L50" s="184"/>
      <c r="M50" s="184">
        <f>23500-703+4200-600-1000+25000</f>
        <v>50397</v>
      </c>
      <c r="N50" s="184"/>
    </row>
    <row r="51" spans="1:14" s="45" customFormat="1" ht="12.75">
      <c r="A51" s="81"/>
      <c r="B51" s="81"/>
      <c r="C51" s="82">
        <v>4480</v>
      </c>
      <c r="D51" s="85" t="s">
        <v>83</v>
      </c>
      <c r="E51" s="184">
        <f t="shared" si="2"/>
        <v>1700</v>
      </c>
      <c r="F51" s="184">
        <f aca="true" t="shared" si="12" ref="F51:F74">SUM(G51:M51)</f>
        <v>1700</v>
      </c>
      <c r="G51" s="184"/>
      <c r="H51" s="184"/>
      <c r="I51" s="184"/>
      <c r="J51" s="184"/>
      <c r="K51" s="184"/>
      <c r="L51" s="184"/>
      <c r="M51" s="184">
        <v>1700</v>
      </c>
      <c r="N51" s="184"/>
    </row>
    <row r="52" spans="1:14" s="45" customFormat="1" ht="12.75">
      <c r="A52" s="81"/>
      <c r="B52" s="81"/>
      <c r="C52" s="82">
        <v>4580</v>
      </c>
      <c r="D52" s="85" t="s">
        <v>367</v>
      </c>
      <c r="E52" s="184">
        <f t="shared" si="2"/>
        <v>121</v>
      </c>
      <c r="F52" s="184">
        <f t="shared" si="12"/>
        <v>121</v>
      </c>
      <c r="G52" s="184"/>
      <c r="H52" s="184"/>
      <c r="I52" s="184"/>
      <c r="J52" s="184"/>
      <c r="K52" s="184"/>
      <c r="L52" s="184"/>
      <c r="M52" s="184">
        <f>15+106</f>
        <v>121</v>
      </c>
      <c r="N52" s="184"/>
    </row>
    <row r="53" spans="1:14" s="45" customFormat="1" ht="25.5">
      <c r="A53" s="81"/>
      <c r="B53" s="81"/>
      <c r="C53" s="82">
        <v>4590</v>
      </c>
      <c r="D53" s="85" t="s">
        <v>500</v>
      </c>
      <c r="E53" s="184">
        <f>F53+N53</f>
        <v>24688</v>
      </c>
      <c r="F53" s="184">
        <f>SUM(G53:M53)</f>
        <v>24688</v>
      </c>
      <c r="G53" s="184"/>
      <c r="H53" s="184"/>
      <c r="I53" s="184"/>
      <c r="J53" s="184"/>
      <c r="K53" s="184"/>
      <c r="L53" s="184"/>
      <c r="M53" s="184">
        <f>688+24000</f>
        <v>24688</v>
      </c>
      <c r="N53" s="184"/>
    </row>
    <row r="54" spans="1:14" s="45" customFormat="1" ht="31.5">
      <c r="A54" s="81"/>
      <c r="B54" s="81"/>
      <c r="C54" s="82">
        <v>4610</v>
      </c>
      <c r="D54" s="402" t="s">
        <v>90</v>
      </c>
      <c r="E54" s="184">
        <f>F54+N54</f>
        <v>600</v>
      </c>
      <c r="F54" s="184">
        <f>SUM(G54:M54)</f>
        <v>600</v>
      </c>
      <c r="G54" s="184"/>
      <c r="H54" s="184"/>
      <c r="I54" s="184"/>
      <c r="J54" s="184"/>
      <c r="K54" s="184"/>
      <c r="L54" s="184"/>
      <c r="M54" s="184">
        <v>600</v>
      </c>
      <c r="N54" s="184"/>
    </row>
    <row r="55" spans="1:14" s="45" customFormat="1" ht="25.5">
      <c r="A55" s="78"/>
      <c r="B55" s="78"/>
      <c r="C55" s="92">
        <v>6050</v>
      </c>
      <c r="D55" s="93" t="s">
        <v>86</v>
      </c>
      <c r="E55" s="184">
        <f>F55+N55</f>
        <v>25000</v>
      </c>
      <c r="F55" s="184">
        <f>SUM(G55:M55)</f>
        <v>0</v>
      </c>
      <c r="G55" s="184"/>
      <c r="H55" s="184"/>
      <c r="I55" s="184"/>
      <c r="J55" s="184"/>
      <c r="K55" s="184"/>
      <c r="L55" s="184"/>
      <c r="M55" s="184"/>
      <c r="N55" s="184">
        <f>50000-25000</f>
        <v>25000</v>
      </c>
    </row>
    <row r="56" spans="1:14" s="112" customFormat="1" ht="12.75">
      <c r="A56" s="78">
        <v>710</v>
      </c>
      <c r="B56" s="78"/>
      <c r="C56" s="79"/>
      <c r="D56" s="91" t="s">
        <v>100</v>
      </c>
      <c r="E56" s="194">
        <f t="shared" si="2"/>
        <v>533670</v>
      </c>
      <c r="F56" s="194">
        <f t="shared" si="12"/>
        <v>533670</v>
      </c>
      <c r="G56" s="194">
        <f aca="true" t="shared" si="13" ref="G56:N56">SUM(G57+G59+G62+G84)</f>
        <v>304480</v>
      </c>
      <c r="H56" s="194">
        <f t="shared" si="13"/>
        <v>16835</v>
      </c>
      <c r="I56" s="194">
        <f t="shared" si="13"/>
        <v>59845</v>
      </c>
      <c r="J56" s="194">
        <f t="shared" si="13"/>
        <v>0</v>
      </c>
      <c r="K56" s="194">
        <f t="shared" si="13"/>
        <v>0</v>
      </c>
      <c r="L56" s="194">
        <f t="shared" si="13"/>
        <v>0</v>
      </c>
      <c r="M56" s="194">
        <f t="shared" si="13"/>
        <v>152510</v>
      </c>
      <c r="N56" s="194">
        <f t="shared" si="13"/>
        <v>0</v>
      </c>
    </row>
    <row r="57" spans="1:14" s="76" customFormat="1" ht="25.5">
      <c r="A57" s="83"/>
      <c r="B57" s="83">
        <v>71013</v>
      </c>
      <c r="C57" s="86"/>
      <c r="D57" s="90" t="s">
        <v>101</v>
      </c>
      <c r="E57" s="195">
        <f t="shared" si="2"/>
        <v>50000</v>
      </c>
      <c r="F57" s="195">
        <f t="shared" si="12"/>
        <v>50000</v>
      </c>
      <c r="G57" s="195">
        <f aca="true" t="shared" si="14" ref="G57:N57">SUM(G58)</f>
        <v>0</v>
      </c>
      <c r="H57" s="195">
        <f t="shared" si="14"/>
        <v>0</v>
      </c>
      <c r="I57" s="195">
        <f t="shared" si="14"/>
        <v>0</v>
      </c>
      <c r="J57" s="195">
        <f t="shared" si="14"/>
        <v>0</v>
      </c>
      <c r="K57" s="195">
        <f t="shared" si="14"/>
        <v>0</v>
      </c>
      <c r="L57" s="195">
        <f t="shared" si="14"/>
        <v>0</v>
      </c>
      <c r="M57" s="195">
        <f t="shared" si="14"/>
        <v>50000</v>
      </c>
      <c r="N57" s="195">
        <f t="shared" si="14"/>
        <v>0</v>
      </c>
    </row>
    <row r="58" spans="1:14" s="45" customFormat="1" ht="12.75">
      <c r="A58" s="81"/>
      <c r="B58" s="81"/>
      <c r="C58" s="82">
        <v>4300</v>
      </c>
      <c r="D58" s="85" t="s">
        <v>54</v>
      </c>
      <c r="E58" s="184">
        <f t="shared" si="2"/>
        <v>50000</v>
      </c>
      <c r="F58" s="184">
        <f t="shared" si="12"/>
        <v>50000</v>
      </c>
      <c r="G58" s="184"/>
      <c r="H58" s="184"/>
      <c r="I58" s="184"/>
      <c r="J58" s="184"/>
      <c r="K58" s="184"/>
      <c r="L58" s="184"/>
      <c r="M58" s="184">
        <f>20000+30000</f>
        <v>50000</v>
      </c>
      <c r="N58" s="184"/>
    </row>
    <row r="59" spans="1:14" s="76" customFormat="1" ht="25.5">
      <c r="A59" s="83"/>
      <c r="B59" s="83">
        <v>71014</v>
      </c>
      <c r="C59" s="86"/>
      <c r="D59" s="90" t="s">
        <v>102</v>
      </c>
      <c r="E59" s="195">
        <f t="shared" si="2"/>
        <v>4200</v>
      </c>
      <c r="F59" s="195">
        <f t="shared" si="12"/>
        <v>4200</v>
      </c>
      <c r="G59" s="195">
        <f>SUM(G60:G61)</f>
        <v>0</v>
      </c>
      <c r="H59" s="195">
        <f aca="true" t="shared" si="15" ref="H59:N59">SUM(H60:H61)</f>
        <v>0</v>
      </c>
      <c r="I59" s="195">
        <f t="shared" si="15"/>
        <v>0</v>
      </c>
      <c r="J59" s="195">
        <f t="shared" si="15"/>
        <v>0</v>
      </c>
      <c r="K59" s="195">
        <f t="shared" si="15"/>
        <v>0</v>
      </c>
      <c r="L59" s="195">
        <f t="shared" si="15"/>
        <v>0</v>
      </c>
      <c r="M59" s="195">
        <f t="shared" si="15"/>
        <v>4200</v>
      </c>
      <c r="N59" s="195">
        <f t="shared" si="15"/>
        <v>0</v>
      </c>
    </row>
    <row r="60" spans="1:14" s="45" customFormat="1" ht="12.75">
      <c r="A60" s="81"/>
      <c r="B60" s="81"/>
      <c r="C60" s="82">
        <v>4300</v>
      </c>
      <c r="D60" s="85" t="s">
        <v>54</v>
      </c>
      <c r="E60" s="184">
        <f t="shared" si="2"/>
        <v>1700</v>
      </c>
      <c r="F60" s="184">
        <f t="shared" si="12"/>
        <v>1700</v>
      </c>
      <c r="G60" s="184"/>
      <c r="H60" s="184"/>
      <c r="I60" s="184"/>
      <c r="J60" s="184"/>
      <c r="K60" s="184"/>
      <c r="L60" s="184"/>
      <c r="M60" s="184">
        <f>1000+700</f>
        <v>1700</v>
      </c>
      <c r="N60" s="184"/>
    </row>
    <row r="61" spans="1:14" s="45" customFormat="1" ht="25.5">
      <c r="A61" s="81"/>
      <c r="B61" s="81"/>
      <c r="C61" s="82">
        <v>4390</v>
      </c>
      <c r="D61" s="85" t="s">
        <v>320</v>
      </c>
      <c r="E61" s="184">
        <f>F61+N61</f>
        <v>2500</v>
      </c>
      <c r="F61" s="184">
        <f t="shared" si="12"/>
        <v>2500</v>
      </c>
      <c r="G61" s="184"/>
      <c r="H61" s="184"/>
      <c r="I61" s="184"/>
      <c r="J61" s="184"/>
      <c r="K61" s="184"/>
      <c r="L61" s="184"/>
      <c r="M61" s="184">
        <v>2500</v>
      </c>
      <c r="N61" s="184"/>
    </row>
    <row r="62" spans="1:14" s="76" customFormat="1" ht="12.75">
      <c r="A62" s="83"/>
      <c r="B62" s="83">
        <v>71015</v>
      </c>
      <c r="C62" s="86"/>
      <c r="D62" s="90" t="s">
        <v>103</v>
      </c>
      <c r="E62" s="195">
        <f t="shared" si="2"/>
        <v>473470</v>
      </c>
      <c r="F62" s="195">
        <f t="shared" si="12"/>
        <v>473470</v>
      </c>
      <c r="G62" s="195">
        <f aca="true" t="shared" si="16" ref="G62:L62">SUM(G63:G83)</f>
        <v>304480</v>
      </c>
      <c r="H62" s="195">
        <f t="shared" si="16"/>
        <v>16835</v>
      </c>
      <c r="I62" s="195">
        <f t="shared" si="16"/>
        <v>59845</v>
      </c>
      <c r="J62" s="195">
        <f t="shared" si="16"/>
        <v>0</v>
      </c>
      <c r="K62" s="195">
        <f t="shared" si="16"/>
        <v>0</v>
      </c>
      <c r="L62" s="195">
        <f t="shared" si="16"/>
        <v>0</v>
      </c>
      <c r="M62" s="195">
        <f>SUM(M63:M83)</f>
        <v>92310</v>
      </c>
      <c r="N62" s="195">
        <f>SUM(N63:N83)</f>
        <v>0</v>
      </c>
    </row>
    <row r="63" spans="1:14" s="45" customFormat="1" ht="25.5">
      <c r="A63" s="78"/>
      <c r="B63" s="78"/>
      <c r="C63" s="82">
        <v>3020</v>
      </c>
      <c r="D63" s="85" t="s">
        <v>324</v>
      </c>
      <c r="E63" s="184">
        <f t="shared" si="2"/>
        <v>500</v>
      </c>
      <c r="F63" s="184">
        <f t="shared" si="12"/>
        <v>500</v>
      </c>
      <c r="G63" s="184"/>
      <c r="H63" s="184"/>
      <c r="I63" s="184"/>
      <c r="J63" s="184"/>
      <c r="K63" s="184"/>
      <c r="L63" s="184"/>
      <c r="M63" s="184">
        <v>500</v>
      </c>
      <c r="N63" s="184"/>
    </row>
    <row r="64" spans="1:14" s="45" customFormat="1" ht="25.5">
      <c r="A64" s="78"/>
      <c r="B64" s="78"/>
      <c r="C64" s="92">
        <v>4010</v>
      </c>
      <c r="D64" s="85" t="s">
        <v>66</v>
      </c>
      <c r="E64" s="184">
        <f t="shared" si="2"/>
        <v>304480</v>
      </c>
      <c r="F64" s="184">
        <f t="shared" si="12"/>
        <v>304480</v>
      </c>
      <c r="G64" s="184">
        <f>253600+12200+38680</f>
        <v>304480</v>
      </c>
      <c r="H64" s="184"/>
      <c r="I64" s="184"/>
      <c r="J64" s="184"/>
      <c r="K64" s="184"/>
      <c r="L64" s="184"/>
      <c r="M64" s="184"/>
      <c r="N64" s="184"/>
    </row>
    <row r="65" spans="1:14" s="45" customFormat="1" ht="12.75">
      <c r="A65" s="78"/>
      <c r="B65" s="78"/>
      <c r="C65" s="82">
        <v>4040</v>
      </c>
      <c r="D65" s="85" t="s">
        <v>67</v>
      </c>
      <c r="E65" s="184">
        <f t="shared" si="2"/>
        <v>16835</v>
      </c>
      <c r="F65" s="184">
        <f t="shared" si="12"/>
        <v>16835</v>
      </c>
      <c r="G65" s="184"/>
      <c r="H65" s="184">
        <v>16835</v>
      </c>
      <c r="I65" s="184"/>
      <c r="J65" s="184"/>
      <c r="K65" s="184"/>
      <c r="L65" s="184"/>
      <c r="M65" s="184"/>
      <c r="N65" s="184"/>
    </row>
    <row r="66" spans="1:14" s="45" customFormat="1" ht="12.75">
      <c r="A66" s="78"/>
      <c r="B66" s="78"/>
      <c r="C66" s="82">
        <v>4110</v>
      </c>
      <c r="D66" s="85" t="s">
        <v>68</v>
      </c>
      <c r="E66" s="184">
        <f t="shared" si="2"/>
        <v>51972</v>
      </c>
      <c r="F66" s="184">
        <f t="shared" si="12"/>
        <v>51972</v>
      </c>
      <c r="G66" s="184"/>
      <c r="H66" s="184"/>
      <c r="I66" s="184">
        <f>42800+2300+6872</f>
        <v>51972</v>
      </c>
      <c r="J66" s="184"/>
      <c r="K66" s="184"/>
      <c r="L66" s="184"/>
      <c r="M66" s="184"/>
      <c r="N66" s="184"/>
    </row>
    <row r="67" spans="1:14" s="45" customFormat="1" ht="12.75">
      <c r="A67" s="78"/>
      <c r="B67" s="78"/>
      <c r="C67" s="82">
        <v>4120</v>
      </c>
      <c r="D67" s="85" t="s">
        <v>69</v>
      </c>
      <c r="E67" s="184">
        <f t="shared" si="2"/>
        <v>7873</v>
      </c>
      <c r="F67" s="184">
        <f t="shared" si="12"/>
        <v>7873</v>
      </c>
      <c r="G67" s="184"/>
      <c r="H67" s="184"/>
      <c r="I67" s="184">
        <f>6600+350+923</f>
        <v>7873</v>
      </c>
      <c r="J67" s="184"/>
      <c r="K67" s="184"/>
      <c r="L67" s="184"/>
      <c r="M67" s="184"/>
      <c r="N67" s="184"/>
    </row>
    <row r="68" spans="1:14" s="45" customFormat="1" ht="12.75">
      <c r="A68" s="94"/>
      <c r="B68" s="78"/>
      <c r="C68" s="82">
        <v>4170</v>
      </c>
      <c r="D68" s="85" t="s">
        <v>104</v>
      </c>
      <c r="E68" s="184">
        <f t="shared" si="2"/>
        <v>1700</v>
      </c>
      <c r="F68" s="184">
        <f t="shared" si="12"/>
        <v>1700</v>
      </c>
      <c r="G68" s="184"/>
      <c r="H68" s="184"/>
      <c r="I68" s="184"/>
      <c r="J68" s="184"/>
      <c r="K68" s="184"/>
      <c r="L68" s="184"/>
      <c r="M68" s="184">
        <v>1700</v>
      </c>
      <c r="N68" s="184"/>
    </row>
    <row r="69" spans="1:14" s="45" customFormat="1" ht="12.75">
      <c r="A69" s="78"/>
      <c r="B69" s="78"/>
      <c r="C69" s="82">
        <v>4210</v>
      </c>
      <c r="D69" s="85" t="s">
        <v>71</v>
      </c>
      <c r="E69" s="184">
        <f t="shared" si="2"/>
        <v>11310</v>
      </c>
      <c r="F69" s="184">
        <f t="shared" si="12"/>
        <v>11310</v>
      </c>
      <c r="G69" s="184"/>
      <c r="H69" s="184"/>
      <c r="I69" s="184"/>
      <c r="J69" s="184"/>
      <c r="K69" s="184"/>
      <c r="L69" s="184"/>
      <c r="M69" s="184">
        <f>51000-39690</f>
        <v>11310</v>
      </c>
      <c r="N69" s="184"/>
    </row>
    <row r="70" spans="1:14" s="45" customFormat="1" ht="12.75">
      <c r="A70" s="78"/>
      <c r="B70" s="78"/>
      <c r="C70" s="82">
        <v>4260</v>
      </c>
      <c r="D70" s="85" t="s">
        <v>72</v>
      </c>
      <c r="E70" s="184">
        <f t="shared" si="2"/>
        <v>3000</v>
      </c>
      <c r="F70" s="184">
        <f t="shared" si="12"/>
        <v>3000</v>
      </c>
      <c r="G70" s="184"/>
      <c r="H70" s="184"/>
      <c r="I70" s="184"/>
      <c r="J70" s="184"/>
      <c r="K70" s="184"/>
      <c r="L70" s="184"/>
      <c r="M70" s="184">
        <f>4000-1000</f>
        <v>3000</v>
      </c>
      <c r="N70" s="184"/>
    </row>
    <row r="71" spans="1:14" s="45" customFormat="1" ht="12.75">
      <c r="A71" s="78"/>
      <c r="B71" s="78"/>
      <c r="C71" s="82">
        <v>4270</v>
      </c>
      <c r="D71" s="85" t="s">
        <v>89</v>
      </c>
      <c r="E71" s="184">
        <f t="shared" si="2"/>
        <v>1500</v>
      </c>
      <c r="F71" s="184">
        <f t="shared" si="12"/>
        <v>1500</v>
      </c>
      <c r="G71" s="184"/>
      <c r="H71" s="184"/>
      <c r="I71" s="184"/>
      <c r="J71" s="184"/>
      <c r="K71" s="184"/>
      <c r="L71" s="184"/>
      <c r="M71" s="184">
        <v>1500</v>
      </c>
      <c r="N71" s="184"/>
    </row>
    <row r="72" spans="1:14" s="45" customFormat="1" ht="12.75">
      <c r="A72" s="78"/>
      <c r="B72" s="78"/>
      <c r="C72" s="82">
        <v>4280</v>
      </c>
      <c r="D72" s="85" t="s">
        <v>105</v>
      </c>
      <c r="E72" s="184">
        <f t="shared" si="2"/>
        <v>200</v>
      </c>
      <c r="F72" s="184">
        <f t="shared" si="12"/>
        <v>200</v>
      </c>
      <c r="G72" s="184"/>
      <c r="H72" s="184"/>
      <c r="I72" s="184"/>
      <c r="J72" s="184"/>
      <c r="K72" s="184"/>
      <c r="L72" s="184"/>
      <c r="M72" s="184">
        <v>200</v>
      </c>
      <c r="N72" s="184"/>
    </row>
    <row r="73" spans="1:14" s="45" customFormat="1" ht="12.75">
      <c r="A73" s="78"/>
      <c r="B73" s="78"/>
      <c r="C73" s="82">
        <v>4300</v>
      </c>
      <c r="D73" s="85" t="s">
        <v>106</v>
      </c>
      <c r="E73" s="184">
        <f t="shared" si="2"/>
        <v>17000</v>
      </c>
      <c r="F73" s="184">
        <f t="shared" si="12"/>
        <v>17000</v>
      </c>
      <c r="G73" s="184"/>
      <c r="H73" s="184"/>
      <c r="I73" s="184"/>
      <c r="J73" s="184"/>
      <c r="K73" s="184"/>
      <c r="L73" s="184"/>
      <c r="M73" s="184">
        <f>16600+20000-19600</f>
        <v>17000</v>
      </c>
      <c r="N73" s="184"/>
    </row>
    <row r="74" spans="1:14" s="45" customFormat="1" ht="38.25">
      <c r="A74" s="78"/>
      <c r="B74" s="78"/>
      <c r="C74" s="82">
        <v>4360</v>
      </c>
      <c r="D74" s="85" t="s">
        <v>321</v>
      </c>
      <c r="E74" s="184">
        <f t="shared" si="2"/>
        <v>2000</v>
      </c>
      <c r="F74" s="184">
        <f t="shared" si="12"/>
        <v>2000</v>
      </c>
      <c r="G74" s="184"/>
      <c r="H74" s="184"/>
      <c r="I74" s="184"/>
      <c r="J74" s="184"/>
      <c r="K74" s="184"/>
      <c r="L74" s="184"/>
      <c r="M74" s="184">
        <v>2000</v>
      </c>
      <c r="N74" s="184"/>
    </row>
    <row r="75" spans="1:14" s="45" customFormat="1" ht="25.5">
      <c r="A75" s="78"/>
      <c r="B75" s="78"/>
      <c r="C75" s="82">
        <v>4370</v>
      </c>
      <c r="D75" s="85" t="s">
        <v>322</v>
      </c>
      <c r="E75" s="184">
        <f aca="true" t="shared" si="17" ref="E75:E146">F75+N75</f>
        <v>5200</v>
      </c>
      <c r="F75" s="184">
        <f aca="true" t="shared" si="18" ref="F75:F146">SUM(G75:M75)</f>
        <v>5200</v>
      </c>
      <c r="G75" s="184"/>
      <c r="H75" s="184"/>
      <c r="I75" s="184"/>
      <c r="J75" s="184"/>
      <c r="K75" s="184"/>
      <c r="L75" s="184"/>
      <c r="M75" s="184">
        <v>5200</v>
      </c>
      <c r="N75" s="184"/>
    </row>
    <row r="76" spans="1:14" s="45" customFormat="1" ht="38.25">
      <c r="A76" s="78"/>
      <c r="B76" s="78"/>
      <c r="C76" s="82">
        <v>4400</v>
      </c>
      <c r="D76" s="85" t="s">
        <v>375</v>
      </c>
      <c r="E76" s="184">
        <f t="shared" si="17"/>
        <v>35000</v>
      </c>
      <c r="F76" s="184">
        <f t="shared" si="18"/>
        <v>35000</v>
      </c>
      <c r="G76" s="184"/>
      <c r="H76" s="184"/>
      <c r="I76" s="184"/>
      <c r="J76" s="184"/>
      <c r="K76" s="184"/>
      <c r="L76" s="184"/>
      <c r="M76" s="184">
        <f>19000+16000</f>
        <v>35000</v>
      </c>
      <c r="N76" s="184"/>
    </row>
    <row r="77" spans="1:14" s="45" customFormat="1" ht="12.75">
      <c r="A77" s="78"/>
      <c r="B77" s="78"/>
      <c r="C77" s="82">
        <v>4410</v>
      </c>
      <c r="D77" s="85" t="s">
        <v>80</v>
      </c>
      <c r="E77" s="184">
        <f t="shared" si="17"/>
        <v>500</v>
      </c>
      <c r="F77" s="184">
        <f t="shared" si="18"/>
        <v>500</v>
      </c>
      <c r="G77" s="184"/>
      <c r="H77" s="184"/>
      <c r="I77" s="184"/>
      <c r="J77" s="184"/>
      <c r="K77" s="184"/>
      <c r="L77" s="184"/>
      <c r="M77" s="184">
        <v>500</v>
      </c>
      <c r="N77" s="184"/>
    </row>
    <row r="78" spans="1:14" s="45" customFormat="1" ht="12.75">
      <c r="A78" s="78"/>
      <c r="B78" s="78"/>
      <c r="C78" s="82">
        <v>4430</v>
      </c>
      <c r="D78" s="85" t="s">
        <v>81</v>
      </c>
      <c r="E78" s="184">
        <f t="shared" si="17"/>
        <v>2700</v>
      </c>
      <c r="F78" s="184">
        <f t="shared" si="18"/>
        <v>2700</v>
      </c>
      <c r="G78" s="184"/>
      <c r="H78" s="184"/>
      <c r="I78" s="184"/>
      <c r="J78" s="184"/>
      <c r="K78" s="184"/>
      <c r="L78" s="184"/>
      <c r="M78" s="184">
        <v>2700</v>
      </c>
      <c r="N78" s="184"/>
    </row>
    <row r="79" spans="1:14" s="45" customFormat="1" ht="25.5">
      <c r="A79" s="78"/>
      <c r="B79" s="78"/>
      <c r="C79" s="82">
        <v>4440</v>
      </c>
      <c r="D79" s="85" t="s">
        <v>82</v>
      </c>
      <c r="E79" s="184">
        <f t="shared" si="17"/>
        <v>7000</v>
      </c>
      <c r="F79" s="184">
        <f t="shared" si="18"/>
        <v>7000</v>
      </c>
      <c r="G79" s="184"/>
      <c r="H79" s="184"/>
      <c r="I79" s="184"/>
      <c r="J79" s="184"/>
      <c r="K79" s="184"/>
      <c r="L79" s="184"/>
      <c r="M79" s="184">
        <v>7000</v>
      </c>
      <c r="N79" s="184"/>
    </row>
    <row r="80" spans="1:14" s="45" customFormat="1" ht="38.25">
      <c r="A80" s="78"/>
      <c r="B80" s="78"/>
      <c r="C80" s="82">
        <v>4700</v>
      </c>
      <c r="D80" s="85" t="s">
        <v>323</v>
      </c>
      <c r="E80" s="184">
        <f t="shared" si="17"/>
        <v>1000</v>
      </c>
      <c r="F80" s="184">
        <f t="shared" si="18"/>
        <v>1000</v>
      </c>
      <c r="G80" s="184"/>
      <c r="H80" s="184"/>
      <c r="I80" s="184"/>
      <c r="J80" s="184"/>
      <c r="K80" s="184"/>
      <c r="L80" s="184"/>
      <c r="M80" s="184">
        <v>1000</v>
      </c>
      <c r="N80" s="184"/>
    </row>
    <row r="81" spans="1:14" s="45" customFormat="1" ht="38.25">
      <c r="A81" s="78"/>
      <c r="B81" s="78"/>
      <c r="C81" s="82">
        <v>4740</v>
      </c>
      <c r="D81" s="85" t="s">
        <v>107</v>
      </c>
      <c r="E81" s="184">
        <f t="shared" si="17"/>
        <v>1200</v>
      </c>
      <c r="F81" s="184">
        <f t="shared" si="18"/>
        <v>1200</v>
      </c>
      <c r="G81" s="184"/>
      <c r="H81" s="184"/>
      <c r="I81" s="184"/>
      <c r="J81" s="184"/>
      <c r="K81" s="184"/>
      <c r="L81" s="184"/>
      <c r="M81" s="184">
        <v>1200</v>
      </c>
      <c r="N81" s="184"/>
    </row>
    <row r="82" spans="1:14" s="45" customFormat="1" ht="25.5">
      <c r="A82" s="78"/>
      <c r="B82" s="78"/>
      <c r="C82" s="82">
        <v>4750</v>
      </c>
      <c r="D82" s="85" t="s">
        <v>108</v>
      </c>
      <c r="E82" s="184">
        <f t="shared" si="17"/>
        <v>2500</v>
      </c>
      <c r="F82" s="184">
        <f t="shared" si="18"/>
        <v>2500</v>
      </c>
      <c r="G82" s="184"/>
      <c r="H82" s="184"/>
      <c r="I82" s="184"/>
      <c r="J82" s="184"/>
      <c r="K82" s="184"/>
      <c r="L82" s="184"/>
      <c r="M82" s="184">
        <v>2500</v>
      </c>
      <c r="N82" s="184"/>
    </row>
    <row r="83" spans="1:14" s="45" customFormat="1" ht="25.5">
      <c r="A83" s="78"/>
      <c r="B83" s="78"/>
      <c r="C83" s="82">
        <v>6060</v>
      </c>
      <c r="D83" s="93" t="s">
        <v>325</v>
      </c>
      <c r="E83" s="184">
        <f>F83+N83</f>
        <v>0</v>
      </c>
      <c r="F83" s="184">
        <f>SUM(G83:M83)</f>
        <v>0</v>
      </c>
      <c r="G83" s="184"/>
      <c r="H83" s="184"/>
      <c r="I83" s="184"/>
      <c r="J83" s="184"/>
      <c r="K83" s="184"/>
      <c r="L83" s="184"/>
      <c r="M83" s="184"/>
      <c r="N83" s="184">
        <v>0</v>
      </c>
    </row>
    <row r="84" spans="1:14" s="76" customFormat="1" ht="12.75">
      <c r="A84" s="83"/>
      <c r="B84" s="83">
        <v>71095</v>
      </c>
      <c r="C84" s="86"/>
      <c r="D84" s="90" t="s">
        <v>109</v>
      </c>
      <c r="E84" s="195">
        <f t="shared" si="17"/>
        <v>6000</v>
      </c>
      <c r="F84" s="195">
        <f t="shared" si="18"/>
        <v>6000</v>
      </c>
      <c r="G84" s="195">
        <f>SUM(G85:G85)</f>
        <v>0</v>
      </c>
      <c r="H84" s="195">
        <f aca="true" t="shared" si="19" ref="H84:N84">SUM(H85:H85)</f>
        <v>0</v>
      </c>
      <c r="I84" s="195">
        <f t="shared" si="19"/>
        <v>0</v>
      </c>
      <c r="J84" s="195">
        <f t="shared" si="19"/>
        <v>0</v>
      </c>
      <c r="K84" s="195">
        <f t="shared" si="19"/>
        <v>0</v>
      </c>
      <c r="L84" s="195">
        <f t="shared" si="19"/>
        <v>0</v>
      </c>
      <c r="M84" s="195">
        <f t="shared" si="19"/>
        <v>6000</v>
      </c>
      <c r="N84" s="195">
        <f t="shared" si="19"/>
        <v>0</v>
      </c>
    </row>
    <row r="85" spans="1:14" s="45" customFormat="1" ht="12.75">
      <c r="A85" s="81"/>
      <c r="B85" s="81"/>
      <c r="C85" s="82">
        <v>4300</v>
      </c>
      <c r="D85" s="85" t="s">
        <v>54</v>
      </c>
      <c r="E85" s="184">
        <f t="shared" si="17"/>
        <v>6000</v>
      </c>
      <c r="F85" s="184">
        <f t="shared" si="18"/>
        <v>6000</v>
      </c>
      <c r="G85" s="184"/>
      <c r="H85" s="184"/>
      <c r="I85" s="184"/>
      <c r="J85" s="184"/>
      <c r="K85" s="184"/>
      <c r="L85" s="184"/>
      <c r="M85" s="184">
        <v>6000</v>
      </c>
      <c r="N85" s="184"/>
    </row>
    <row r="86" spans="1:14" s="112" customFormat="1" ht="12.75">
      <c r="A86" s="95">
        <v>750</v>
      </c>
      <c r="B86" s="95"/>
      <c r="C86" s="95"/>
      <c r="D86" s="96" t="s">
        <v>110</v>
      </c>
      <c r="E86" s="194">
        <f t="shared" si="17"/>
        <v>6843204</v>
      </c>
      <c r="F86" s="194">
        <f t="shared" si="18"/>
        <v>6753779</v>
      </c>
      <c r="G86" s="194">
        <f aca="true" t="shared" si="20" ref="G86:N86">SUM(G87+G96+G105+G137+G152)</f>
        <v>3527060</v>
      </c>
      <c r="H86" s="194">
        <f t="shared" si="20"/>
        <v>215780</v>
      </c>
      <c r="I86" s="194">
        <f t="shared" si="20"/>
        <v>622650</v>
      </c>
      <c r="J86" s="194">
        <f t="shared" si="20"/>
        <v>0</v>
      </c>
      <c r="K86" s="194">
        <f t="shared" si="20"/>
        <v>0</v>
      </c>
      <c r="L86" s="194">
        <f t="shared" si="20"/>
        <v>0</v>
      </c>
      <c r="M86" s="194">
        <f t="shared" si="20"/>
        <v>2388289</v>
      </c>
      <c r="N86" s="194">
        <f t="shared" si="20"/>
        <v>89425</v>
      </c>
    </row>
    <row r="87" spans="1:14" s="76" customFormat="1" ht="12.75">
      <c r="A87" s="65"/>
      <c r="B87" s="65">
        <v>75011</v>
      </c>
      <c r="C87" s="65"/>
      <c r="D87" s="97" t="s">
        <v>111</v>
      </c>
      <c r="E87" s="195">
        <f t="shared" si="17"/>
        <v>478205</v>
      </c>
      <c r="F87" s="195">
        <f t="shared" si="18"/>
        <v>478205</v>
      </c>
      <c r="G87" s="195">
        <f>SUM(G88:G95)</f>
        <v>376637</v>
      </c>
      <c r="H87" s="195">
        <f aca="true" t="shared" si="21" ref="H87:N87">SUM(H88:H95)</f>
        <v>22780</v>
      </c>
      <c r="I87" s="195">
        <f t="shared" si="21"/>
        <v>66780</v>
      </c>
      <c r="J87" s="195">
        <f t="shared" si="21"/>
        <v>0</v>
      </c>
      <c r="K87" s="195">
        <f t="shared" si="21"/>
        <v>0</v>
      </c>
      <c r="L87" s="195">
        <f t="shared" si="21"/>
        <v>0</v>
      </c>
      <c r="M87" s="195">
        <f t="shared" si="21"/>
        <v>12008</v>
      </c>
      <c r="N87" s="195">
        <f t="shared" si="21"/>
        <v>0</v>
      </c>
    </row>
    <row r="88" spans="1:14" s="45" customFormat="1" ht="25.5">
      <c r="A88" s="78"/>
      <c r="B88" s="78"/>
      <c r="C88" s="82">
        <v>3020</v>
      </c>
      <c r="D88" s="85" t="s">
        <v>324</v>
      </c>
      <c r="E88" s="184">
        <f t="shared" si="17"/>
        <v>310</v>
      </c>
      <c r="F88" s="184">
        <f t="shared" si="18"/>
        <v>310</v>
      </c>
      <c r="G88" s="184"/>
      <c r="H88" s="184"/>
      <c r="I88" s="184"/>
      <c r="J88" s="184"/>
      <c r="K88" s="184"/>
      <c r="L88" s="184"/>
      <c r="M88" s="184">
        <v>310</v>
      </c>
      <c r="N88" s="184"/>
    </row>
    <row r="89" spans="1:14" s="45" customFormat="1" ht="25.5">
      <c r="A89" s="78"/>
      <c r="B89" s="78"/>
      <c r="C89" s="92">
        <v>4010</v>
      </c>
      <c r="D89" s="85" t="s">
        <v>66</v>
      </c>
      <c r="E89" s="184">
        <f t="shared" si="17"/>
        <v>376637</v>
      </c>
      <c r="F89" s="184">
        <f t="shared" si="18"/>
        <v>376637</v>
      </c>
      <c r="G89" s="184">
        <v>376637</v>
      </c>
      <c r="H89" s="184"/>
      <c r="I89" s="184"/>
      <c r="J89" s="184"/>
      <c r="K89" s="184"/>
      <c r="L89" s="184"/>
      <c r="M89" s="184"/>
      <c r="N89" s="184"/>
    </row>
    <row r="90" spans="1:14" s="45" customFormat="1" ht="12.75">
      <c r="A90" s="78"/>
      <c r="B90" s="78"/>
      <c r="C90" s="82">
        <v>4040</v>
      </c>
      <c r="D90" s="85" t="s">
        <v>67</v>
      </c>
      <c r="E90" s="184">
        <f t="shared" si="17"/>
        <v>22780</v>
      </c>
      <c r="F90" s="184">
        <f t="shared" si="18"/>
        <v>22780</v>
      </c>
      <c r="G90" s="184"/>
      <c r="H90" s="184">
        <v>22780</v>
      </c>
      <c r="I90" s="184"/>
      <c r="J90" s="184"/>
      <c r="K90" s="184"/>
      <c r="L90" s="184"/>
      <c r="M90" s="184"/>
      <c r="N90" s="184"/>
    </row>
    <row r="91" spans="1:14" s="45" customFormat="1" ht="12.75">
      <c r="A91" s="78"/>
      <c r="B91" s="78"/>
      <c r="C91" s="82">
        <v>4110</v>
      </c>
      <c r="D91" s="85" t="s">
        <v>68</v>
      </c>
      <c r="E91" s="184">
        <f t="shared" si="17"/>
        <v>57617</v>
      </c>
      <c r="F91" s="184">
        <f t="shared" si="18"/>
        <v>57617</v>
      </c>
      <c r="G91" s="184"/>
      <c r="H91" s="184"/>
      <c r="I91" s="184">
        <v>57617</v>
      </c>
      <c r="J91" s="184"/>
      <c r="K91" s="184"/>
      <c r="L91" s="184"/>
      <c r="M91" s="184"/>
      <c r="N91" s="184"/>
    </row>
    <row r="92" spans="1:14" s="45" customFormat="1" ht="12.75">
      <c r="A92" s="78"/>
      <c r="B92" s="78"/>
      <c r="C92" s="82">
        <v>4120</v>
      </c>
      <c r="D92" s="85" t="s">
        <v>69</v>
      </c>
      <c r="E92" s="184">
        <f t="shared" si="17"/>
        <v>9163</v>
      </c>
      <c r="F92" s="184">
        <f t="shared" si="18"/>
        <v>9163</v>
      </c>
      <c r="G92" s="184"/>
      <c r="H92" s="184"/>
      <c r="I92" s="184">
        <v>9163</v>
      </c>
      <c r="J92" s="184"/>
      <c r="K92" s="184"/>
      <c r="L92" s="184"/>
      <c r="M92" s="184"/>
      <c r="N92" s="184"/>
    </row>
    <row r="93" spans="1:14" s="45" customFormat="1" ht="12.75">
      <c r="A93" s="78"/>
      <c r="B93" s="78"/>
      <c r="C93" s="82">
        <v>4280</v>
      </c>
      <c r="D93" s="85" t="s">
        <v>112</v>
      </c>
      <c r="E93" s="184">
        <f t="shared" si="17"/>
        <v>250</v>
      </c>
      <c r="F93" s="184">
        <f t="shared" si="18"/>
        <v>250</v>
      </c>
      <c r="G93" s="184"/>
      <c r="H93" s="184"/>
      <c r="I93" s="184"/>
      <c r="J93" s="184"/>
      <c r="K93" s="184"/>
      <c r="L93" s="184"/>
      <c r="M93" s="184">
        <v>250</v>
      </c>
      <c r="N93" s="184"/>
    </row>
    <row r="94" spans="1:14" s="45" customFormat="1" ht="12.75">
      <c r="A94" s="78"/>
      <c r="B94" s="78"/>
      <c r="C94" s="82">
        <v>4410</v>
      </c>
      <c r="D94" s="85" t="s">
        <v>80</v>
      </c>
      <c r="E94" s="184">
        <f t="shared" si="17"/>
        <v>3600</v>
      </c>
      <c r="F94" s="184">
        <f t="shared" si="18"/>
        <v>3600</v>
      </c>
      <c r="G94" s="184"/>
      <c r="H94" s="184"/>
      <c r="I94" s="184"/>
      <c r="J94" s="184"/>
      <c r="K94" s="184"/>
      <c r="L94" s="184"/>
      <c r="M94" s="184">
        <v>3600</v>
      </c>
      <c r="N94" s="184"/>
    </row>
    <row r="95" spans="1:14" s="45" customFormat="1" ht="25.5">
      <c r="A95" s="78"/>
      <c r="B95" s="78"/>
      <c r="C95" s="82">
        <v>4440</v>
      </c>
      <c r="D95" s="85" t="s">
        <v>82</v>
      </c>
      <c r="E95" s="184">
        <f t="shared" si="17"/>
        <v>7848</v>
      </c>
      <c r="F95" s="184">
        <f t="shared" si="18"/>
        <v>7848</v>
      </c>
      <c r="G95" s="184"/>
      <c r="H95" s="184"/>
      <c r="I95" s="184"/>
      <c r="J95" s="184"/>
      <c r="K95" s="184"/>
      <c r="L95" s="184"/>
      <c r="M95" s="184">
        <f>6640+'[1]Arkusz1'!$K$20</f>
        <v>7848</v>
      </c>
      <c r="N95" s="184"/>
    </row>
    <row r="96" spans="1:14" s="76" customFormat="1" ht="12.75">
      <c r="A96" s="83"/>
      <c r="B96" s="83">
        <v>75019</v>
      </c>
      <c r="C96" s="86"/>
      <c r="D96" s="90" t="s">
        <v>113</v>
      </c>
      <c r="E96" s="195">
        <f t="shared" si="17"/>
        <v>386400</v>
      </c>
      <c r="F96" s="195">
        <f t="shared" si="18"/>
        <v>386400</v>
      </c>
      <c r="G96" s="195">
        <f aca="true" t="shared" si="22" ref="G96:M96">SUM(G97:G104)</f>
        <v>0</v>
      </c>
      <c r="H96" s="195">
        <f t="shared" si="22"/>
        <v>0</v>
      </c>
      <c r="I96" s="195">
        <f t="shared" si="22"/>
        <v>0</v>
      </c>
      <c r="J96" s="195">
        <f t="shared" si="22"/>
        <v>0</v>
      </c>
      <c r="K96" s="195">
        <f t="shared" si="22"/>
        <v>0</v>
      </c>
      <c r="L96" s="195">
        <f t="shared" si="22"/>
        <v>0</v>
      </c>
      <c r="M96" s="195">
        <f t="shared" si="22"/>
        <v>386400</v>
      </c>
      <c r="N96" s="195">
        <f>SUM(N97:N103)</f>
        <v>0</v>
      </c>
    </row>
    <row r="97" spans="1:14" s="45" customFormat="1" ht="25.5">
      <c r="A97" s="81"/>
      <c r="B97" s="81"/>
      <c r="C97" s="82">
        <v>3030</v>
      </c>
      <c r="D97" s="85" t="s">
        <v>114</v>
      </c>
      <c r="E97" s="184">
        <f t="shared" si="17"/>
        <v>363740</v>
      </c>
      <c r="F97" s="184">
        <f t="shared" si="18"/>
        <v>363740</v>
      </c>
      <c r="G97" s="184"/>
      <c r="H97" s="184"/>
      <c r="I97" s="184"/>
      <c r="J97" s="184"/>
      <c r="K97" s="184"/>
      <c r="L97" s="184"/>
      <c r="M97" s="184">
        <v>363740</v>
      </c>
      <c r="N97" s="184"/>
    </row>
    <row r="98" spans="1:14" s="45" customFormat="1" ht="12.75">
      <c r="A98" s="81"/>
      <c r="B98" s="81"/>
      <c r="C98" s="82">
        <v>4210</v>
      </c>
      <c r="D98" s="85" t="s">
        <v>71</v>
      </c>
      <c r="E98" s="184">
        <f t="shared" si="17"/>
        <v>4810</v>
      </c>
      <c r="F98" s="184">
        <f t="shared" si="18"/>
        <v>4810</v>
      </c>
      <c r="G98" s="184"/>
      <c r="H98" s="184"/>
      <c r="I98" s="184"/>
      <c r="J98" s="184"/>
      <c r="K98" s="184"/>
      <c r="L98" s="184"/>
      <c r="M98" s="184">
        <v>4810</v>
      </c>
      <c r="N98" s="184"/>
    </row>
    <row r="99" spans="1:14" s="45" customFormat="1" ht="12.75">
      <c r="A99" s="81"/>
      <c r="B99" s="81"/>
      <c r="C99" s="82">
        <v>4300</v>
      </c>
      <c r="D99" s="85" t="s">
        <v>115</v>
      </c>
      <c r="E99" s="184">
        <f t="shared" si="17"/>
        <v>2250</v>
      </c>
      <c r="F99" s="184">
        <f t="shared" si="18"/>
        <v>2250</v>
      </c>
      <c r="G99" s="184"/>
      <c r="H99" s="184"/>
      <c r="I99" s="184"/>
      <c r="J99" s="184"/>
      <c r="K99" s="184"/>
      <c r="L99" s="184"/>
      <c r="M99" s="184">
        <v>2250</v>
      </c>
      <c r="N99" s="184"/>
    </row>
    <row r="100" spans="1:14" s="45" customFormat="1" ht="25.5">
      <c r="A100" s="81"/>
      <c r="B100" s="81"/>
      <c r="C100" s="82">
        <v>4360</v>
      </c>
      <c r="D100" s="85" t="s">
        <v>368</v>
      </c>
      <c r="E100" s="184">
        <f>F100+N100</f>
        <v>7000</v>
      </c>
      <c r="F100" s="184">
        <f>SUM(G100:M100)</f>
        <v>7000</v>
      </c>
      <c r="G100" s="184"/>
      <c r="H100" s="184"/>
      <c r="I100" s="184"/>
      <c r="J100" s="184"/>
      <c r="K100" s="184"/>
      <c r="L100" s="184"/>
      <c r="M100" s="184">
        <v>7000</v>
      </c>
      <c r="N100" s="184"/>
    </row>
    <row r="101" spans="1:14" s="45" customFormat="1" ht="25.5">
      <c r="A101" s="81"/>
      <c r="B101" s="81"/>
      <c r="C101" s="82">
        <v>4370</v>
      </c>
      <c r="D101" s="85" t="s">
        <v>322</v>
      </c>
      <c r="E101" s="184">
        <f t="shared" si="17"/>
        <v>0</v>
      </c>
      <c r="F101" s="184">
        <f t="shared" si="18"/>
        <v>0</v>
      </c>
      <c r="G101" s="184"/>
      <c r="H101" s="184"/>
      <c r="I101" s="184"/>
      <c r="J101" s="184"/>
      <c r="K101" s="184"/>
      <c r="L101" s="184"/>
      <c r="M101" s="184">
        <v>0</v>
      </c>
      <c r="N101" s="184"/>
    </row>
    <row r="102" spans="1:14" s="45" customFormat="1" ht="38.25">
      <c r="A102" s="81"/>
      <c r="B102" s="81"/>
      <c r="C102" s="82">
        <v>4400</v>
      </c>
      <c r="D102" s="85" t="s">
        <v>375</v>
      </c>
      <c r="E102" s="184">
        <f t="shared" si="17"/>
        <v>1600</v>
      </c>
      <c r="F102" s="184">
        <f t="shared" si="18"/>
        <v>1600</v>
      </c>
      <c r="G102" s="184"/>
      <c r="H102" s="184"/>
      <c r="I102" s="184"/>
      <c r="J102" s="184"/>
      <c r="K102" s="184"/>
      <c r="L102" s="184"/>
      <c r="M102" s="184">
        <v>1600</v>
      </c>
      <c r="N102" s="184"/>
    </row>
    <row r="103" spans="1:14" s="45" customFormat="1" ht="12.75">
      <c r="A103" s="81"/>
      <c r="B103" s="81"/>
      <c r="C103" s="82">
        <v>4410</v>
      </c>
      <c r="D103" s="85" t="s">
        <v>80</v>
      </c>
      <c r="E103" s="184">
        <f t="shared" si="17"/>
        <v>2000</v>
      </c>
      <c r="F103" s="184">
        <f t="shared" si="18"/>
        <v>2000</v>
      </c>
      <c r="G103" s="184"/>
      <c r="H103" s="184"/>
      <c r="I103" s="184"/>
      <c r="J103" s="184"/>
      <c r="K103" s="184"/>
      <c r="L103" s="184"/>
      <c r="M103" s="184">
        <v>2000</v>
      </c>
      <c r="N103" s="184"/>
    </row>
    <row r="104" spans="1:14" s="45" customFormat="1" ht="38.25">
      <c r="A104" s="81"/>
      <c r="B104" s="81"/>
      <c r="C104" s="82">
        <v>4700</v>
      </c>
      <c r="D104" s="85" t="s">
        <v>323</v>
      </c>
      <c r="E104" s="184">
        <f t="shared" si="17"/>
        <v>5000</v>
      </c>
      <c r="F104" s="184">
        <f t="shared" si="18"/>
        <v>5000</v>
      </c>
      <c r="G104" s="184"/>
      <c r="H104" s="184"/>
      <c r="I104" s="184"/>
      <c r="J104" s="184"/>
      <c r="K104" s="184"/>
      <c r="L104" s="184"/>
      <c r="M104" s="184">
        <v>5000</v>
      </c>
      <c r="N104" s="184"/>
    </row>
    <row r="105" spans="1:14" s="76" customFormat="1" ht="12.75">
      <c r="A105" s="83"/>
      <c r="B105" s="83">
        <v>75020</v>
      </c>
      <c r="C105" s="86"/>
      <c r="D105" s="90" t="s">
        <v>116</v>
      </c>
      <c r="E105" s="195">
        <f t="shared" si="17"/>
        <v>5862799</v>
      </c>
      <c r="F105" s="195">
        <f t="shared" si="18"/>
        <v>5773374</v>
      </c>
      <c r="G105" s="195">
        <f aca="true" t="shared" si="23" ref="G105:N105">SUM(G106:G136)</f>
        <v>3150423</v>
      </c>
      <c r="H105" s="195">
        <f t="shared" si="23"/>
        <v>193000</v>
      </c>
      <c r="I105" s="195">
        <f t="shared" si="23"/>
        <v>554951</v>
      </c>
      <c r="J105" s="195">
        <f t="shared" si="23"/>
        <v>0</v>
      </c>
      <c r="K105" s="195">
        <f t="shared" si="23"/>
        <v>0</v>
      </c>
      <c r="L105" s="195">
        <f t="shared" si="23"/>
        <v>0</v>
      </c>
      <c r="M105" s="195">
        <f t="shared" si="23"/>
        <v>1875000</v>
      </c>
      <c r="N105" s="195">
        <f t="shared" si="23"/>
        <v>89425</v>
      </c>
    </row>
    <row r="106" spans="1:14" s="45" customFormat="1" ht="51">
      <c r="A106" s="81"/>
      <c r="B106" s="81"/>
      <c r="C106" s="82">
        <v>2900</v>
      </c>
      <c r="D106" s="85" t="s">
        <v>144</v>
      </c>
      <c r="E106" s="184">
        <f t="shared" si="17"/>
        <v>7700</v>
      </c>
      <c r="F106" s="184">
        <f t="shared" si="18"/>
        <v>7700</v>
      </c>
      <c r="G106" s="184"/>
      <c r="H106" s="184"/>
      <c r="I106" s="184"/>
      <c r="J106" s="184"/>
      <c r="K106" s="184"/>
      <c r="L106" s="184"/>
      <c r="M106" s="184">
        <v>7700</v>
      </c>
      <c r="N106" s="184"/>
    </row>
    <row r="107" spans="1:14" s="45" customFormat="1" ht="25.5">
      <c r="A107" s="94"/>
      <c r="B107" s="78"/>
      <c r="C107" s="82">
        <v>3020</v>
      </c>
      <c r="D107" s="85" t="s">
        <v>324</v>
      </c>
      <c r="E107" s="184">
        <f t="shared" si="17"/>
        <v>8600</v>
      </c>
      <c r="F107" s="184">
        <f t="shared" si="18"/>
        <v>8600</v>
      </c>
      <c r="G107" s="184"/>
      <c r="H107" s="184"/>
      <c r="I107" s="184"/>
      <c r="J107" s="184"/>
      <c r="K107" s="184"/>
      <c r="L107" s="184"/>
      <c r="M107" s="184">
        <v>8600</v>
      </c>
      <c r="N107" s="184"/>
    </row>
    <row r="108" spans="1:14" s="45" customFormat="1" ht="12.75">
      <c r="A108" s="94"/>
      <c r="B108" s="78"/>
      <c r="C108" s="82">
        <v>3250</v>
      </c>
      <c r="D108" s="85" t="s">
        <v>145</v>
      </c>
      <c r="E108" s="184">
        <f t="shared" si="17"/>
        <v>13100</v>
      </c>
      <c r="F108" s="184">
        <f t="shared" si="18"/>
        <v>13100</v>
      </c>
      <c r="G108" s="184"/>
      <c r="H108" s="184"/>
      <c r="I108" s="184"/>
      <c r="J108" s="184"/>
      <c r="K108" s="184"/>
      <c r="L108" s="184"/>
      <c r="M108" s="184">
        <v>13100</v>
      </c>
      <c r="N108" s="184"/>
    </row>
    <row r="109" spans="1:14" s="45" customFormat="1" ht="25.5">
      <c r="A109" s="94"/>
      <c r="B109" s="78"/>
      <c r="C109" s="92">
        <v>4010</v>
      </c>
      <c r="D109" s="85" t="s">
        <v>66</v>
      </c>
      <c r="E109" s="184">
        <f t="shared" si="17"/>
        <v>3150423</v>
      </c>
      <c r="F109" s="184">
        <f t="shared" si="18"/>
        <v>3150423</v>
      </c>
      <c r="G109" s="184">
        <f>3009000+141423</f>
        <v>3150423</v>
      </c>
      <c r="H109" s="184"/>
      <c r="I109" s="184"/>
      <c r="J109" s="184"/>
      <c r="K109" s="184"/>
      <c r="L109" s="184"/>
      <c r="M109" s="184"/>
      <c r="N109" s="184"/>
    </row>
    <row r="110" spans="1:14" s="45" customFormat="1" ht="12.75">
      <c r="A110" s="94"/>
      <c r="B110" s="78"/>
      <c r="C110" s="82">
        <v>4040</v>
      </c>
      <c r="D110" s="85" t="s">
        <v>67</v>
      </c>
      <c r="E110" s="184">
        <f t="shared" si="17"/>
        <v>193000</v>
      </c>
      <c r="F110" s="184">
        <f t="shared" si="18"/>
        <v>193000</v>
      </c>
      <c r="G110" s="184"/>
      <c r="H110" s="184">
        <v>193000</v>
      </c>
      <c r="I110" s="184"/>
      <c r="J110" s="184"/>
      <c r="K110" s="184"/>
      <c r="L110" s="184"/>
      <c r="M110" s="184"/>
      <c r="N110" s="184"/>
    </row>
    <row r="111" spans="1:14" s="45" customFormat="1" ht="12.75">
      <c r="A111" s="94"/>
      <c r="B111" s="78"/>
      <c r="C111" s="82">
        <v>4110</v>
      </c>
      <c r="D111" s="85" t="s">
        <v>68</v>
      </c>
      <c r="E111" s="184">
        <f t="shared" si="17"/>
        <v>478486</v>
      </c>
      <c r="F111" s="184">
        <f t="shared" si="18"/>
        <v>478486</v>
      </c>
      <c r="G111" s="184"/>
      <c r="H111" s="184"/>
      <c r="I111" s="184">
        <f>456000+22486</f>
        <v>478486</v>
      </c>
      <c r="J111" s="184"/>
      <c r="K111" s="184"/>
      <c r="L111" s="184"/>
      <c r="M111" s="184"/>
      <c r="N111" s="184"/>
    </row>
    <row r="112" spans="1:14" s="45" customFormat="1" ht="12.75">
      <c r="A112" s="94"/>
      <c r="B112" s="78"/>
      <c r="C112" s="82">
        <v>4120</v>
      </c>
      <c r="D112" s="85" t="s">
        <v>69</v>
      </c>
      <c r="E112" s="184">
        <f t="shared" si="17"/>
        <v>76465</v>
      </c>
      <c r="F112" s="184">
        <f t="shared" si="18"/>
        <v>76465</v>
      </c>
      <c r="G112" s="184"/>
      <c r="H112" s="184"/>
      <c r="I112" s="184">
        <f>73000+3465</f>
        <v>76465</v>
      </c>
      <c r="J112" s="184"/>
      <c r="K112" s="184"/>
      <c r="L112" s="184"/>
      <c r="M112" s="184"/>
      <c r="N112" s="184"/>
    </row>
    <row r="113" spans="1:14" s="45" customFormat="1" ht="12.75">
      <c r="A113" s="94"/>
      <c r="B113" s="78"/>
      <c r="C113" s="82">
        <v>4140</v>
      </c>
      <c r="D113" s="85" t="s">
        <v>372</v>
      </c>
      <c r="E113" s="184">
        <f t="shared" si="17"/>
        <v>2000</v>
      </c>
      <c r="F113" s="184">
        <f t="shared" si="18"/>
        <v>2000</v>
      </c>
      <c r="G113" s="184"/>
      <c r="H113" s="184"/>
      <c r="I113" s="184"/>
      <c r="J113" s="184"/>
      <c r="K113" s="184"/>
      <c r="L113" s="184"/>
      <c r="M113" s="184">
        <v>2000</v>
      </c>
      <c r="N113" s="184"/>
    </row>
    <row r="114" spans="1:14" s="45" customFormat="1" ht="12.75">
      <c r="A114" s="94"/>
      <c r="B114" s="78"/>
      <c r="C114" s="82">
        <v>4170</v>
      </c>
      <c r="D114" s="85" t="s">
        <v>104</v>
      </c>
      <c r="E114" s="184">
        <f t="shared" si="17"/>
        <v>20200</v>
      </c>
      <c r="F114" s="184">
        <f t="shared" si="18"/>
        <v>20200</v>
      </c>
      <c r="G114" s="184"/>
      <c r="H114" s="184"/>
      <c r="I114" s="184"/>
      <c r="J114" s="184"/>
      <c r="K114" s="184"/>
      <c r="L114" s="184"/>
      <c r="M114" s="184">
        <f>5200+15000</f>
        <v>20200</v>
      </c>
      <c r="N114" s="184"/>
    </row>
    <row r="115" spans="1:14" s="45" customFormat="1" ht="12.75">
      <c r="A115" s="94"/>
      <c r="B115" s="78"/>
      <c r="C115" s="82">
        <v>4210</v>
      </c>
      <c r="D115" s="85" t="s">
        <v>71</v>
      </c>
      <c r="E115" s="184">
        <f t="shared" si="17"/>
        <v>641200</v>
      </c>
      <c r="F115" s="184">
        <f t="shared" si="18"/>
        <v>641200</v>
      </c>
      <c r="G115" s="184"/>
      <c r="H115" s="184"/>
      <c r="I115" s="184"/>
      <c r="J115" s="184"/>
      <c r="K115" s="184"/>
      <c r="L115" s="184"/>
      <c r="M115" s="184">
        <f>658200-2000-15000</f>
        <v>641200</v>
      </c>
      <c r="N115" s="184"/>
    </row>
    <row r="116" spans="1:14" s="45" customFormat="1" ht="25.5">
      <c r="A116" s="94"/>
      <c r="B116" s="78"/>
      <c r="C116" s="82">
        <v>4230</v>
      </c>
      <c r="D116" s="85" t="s">
        <v>353</v>
      </c>
      <c r="E116" s="184">
        <f t="shared" si="17"/>
        <v>2000</v>
      </c>
      <c r="F116" s="184">
        <f t="shared" si="18"/>
        <v>2000</v>
      </c>
      <c r="G116" s="184"/>
      <c r="H116" s="184"/>
      <c r="I116" s="184"/>
      <c r="J116" s="184"/>
      <c r="K116" s="184"/>
      <c r="L116" s="184"/>
      <c r="M116" s="184">
        <v>2000</v>
      </c>
      <c r="N116" s="184"/>
    </row>
    <row r="117" spans="1:14" s="45" customFormat="1" ht="12.75">
      <c r="A117" s="94"/>
      <c r="B117" s="78"/>
      <c r="C117" s="82">
        <v>4260</v>
      </c>
      <c r="D117" s="85" t="s">
        <v>72</v>
      </c>
      <c r="E117" s="184">
        <f t="shared" si="17"/>
        <v>188000</v>
      </c>
      <c r="F117" s="184">
        <f t="shared" si="18"/>
        <v>188000</v>
      </c>
      <c r="G117" s="184"/>
      <c r="H117" s="184"/>
      <c r="I117" s="184"/>
      <c r="J117" s="184"/>
      <c r="K117" s="184"/>
      <c r="L117" s="184"/>
      <c r="M117" s="184">
        <v>188000</v>
      </c>
      <c r="N117" s="184"/>
    </row>
    <row r="118" spans="1:14" s="45" customFormat="1" ht="12.75">
      <c r="A118" s="78"/>
      <c r="B118" s="78"/>
      <c r="C118" s="82">
        <v>4270</v>
      </c>
      <c r="D118" s="85" t="s">
        <v>73</v>
      </c>
      <c r="E118" s="184">
        <f t="shared" si="17"/>
        <v>85600</v>
      </c>
      <c r="F118" s="184">
        <f t="shared" si="18"/>
        <v>85600</v>
      </c>
      <c r="G118" s="184"/>
      <c r="H118" s="184"/>
      <c r="I118" s="184"/>
      <c r="J118" s="184"/>
      <c r="K118" s="184"/>
      <c r="L118" s="184"/>
      <c r="M118" s="184">
        <f>26500+45000+14100</f>
        <v>85600</v>
      </c>
      <c r="N118" s="184"/>
    </row>
    <row r="119" spans="1:14" s="45" customFormat="1" ht="12.75">
      <c r="A119" s="78"/>
      <c r="B119" s="78"/>
      <c r="C119" s="82">
        <v>4280</v>
      </c>
      <c r="D119" s="98" t="s">
        <v>74</v>
      </c>
      <c r="E119" s="184">
        <f t="shared" si="17"/>
        <v>1700</v>
      </c>
      <c r="F119" s="184">
        <f t="shared" si="18"/>
        <v>1700</v>
      </c>
      <c r="G119" s="184"/>
      <c r="H119" s="184"/>
      <c r="I119" s="184"/>
      <c r="J119" s="184"/>
      <c r="K119" s="184"/>
      <c r="L119" s="184"/>
      <c r="M119" s="184">
        <v>1700</v>
      </c>
      <c r="N119" s="184"/>
    </row>
    <row r="120" spans="1:14" s="45" customFormat="1" ht="12.75">
      <c r="A120" s="78"/>
      <c r="B120" s="78"/>
      <c r="C120" s="82">
        <v>4300</v>
      </c>
      <c r="D120" s="85" t="s">
        <v>54</v>
      </c>
      <c r="E120" s="184">
        <f t="shared" si="17"/>
        <v>553300</v>
      </c>
      <c r="F120" s="184">
        <f t="shared" si="18"/>
        <v>553300</v>
      </c>
      <c r="G120" s="184"/>
      <c r="H120" s="184"/>
      <c r="I120" s="184"/>
      <c r="J120" s="184"/>
      <c r="K120" s="184"/>
      <c r="L120" s="184"/>
      <c r="M120" s="184">
        <f>559500-1000-200-5000</f>
        <v>553300</v>
      </c>
      <c r="N120" s="184"/>
    </row>
    <row r="121" spans="1:14" s="45" customFormat="1" ht="25.5">
      <c r="A121" s="78"/>
      <c r="B121" s="78"/>
      <c r="C121" s="82">
        <v>4350</v>
      </c>
      <c r="D121" s="85" t="s">
        <v>75</v>
      </c>
      <c r="E121" s="184">
        <f t="shared" si="17"/>
        <v>7000</v>
      </c>
      <c r="F121" s="184">
        <f t="shared" si="18"/>
        <v>7000</v>
      </c>
      <c r="G121" s="184"/>
      <c r="H121" s="184"/>
      <c r="I121" s="184"/>
      <c r="J121" s="184"/>
      <c r="K121" s="184"/>
      <c r="L121" s="184"/>
      <c r="M121" s="184">
        <v>7000</v>
      </c>
      <c r="N121" s="184"/>
    </row>
    <row r="122" spans="1:14" s="45" customFormat="1" ht="38.25">
      <c r="A122" s="78"/>
      <c r="B122" s="78"/>
      <c r="C122" s="82">
        <v>4360</v>
      </c>
      <c r="D122" s="85" t="s">
        <v>321</v>
      </c>
      <c r="E122" s="184">
        <f t="shared" si="17"/>
        <v>19000</v>
      </c>
      <c r="F122" s="184">
        <f t="shared" si="18"/>
        <v>19000</v>
      </c>
      <c r="G122" s="184"/>
      <c r="H122" s="184"/>
      <c r="I122" s="184"/>
      <c r="J122" s="184"/>
      <c r="K122" s="184"/>
      <c r="L122" s="184"/>
      <c r="M122" s="184">
        <v>19000</v>
      </c>
      <c r="N122" s="184"/>
    </row>
    <row r="123" spans="1:14" s="45" customFormat="1" ht="25.5">
      <c r="A123" s="78"/>
      <c r="B123" s="78"/>
      <c r="C123" s="82">
        <v>4370</v>
      </c>
      <c r="D123" s="85" t="s">
        <v>322</v>
      </c>
      <c r="E123" s="184">
        <f t="shared" si="17"/>
        <v>40000</v>
      </c>
      <c r="F123" s="184">
        <f t="shared" si="18"/>
        <v>40000</v>
      </c>
      <c r="G123" s="184"/>
      <c r="H123" s="184"/>
      <c r="I123" s="184"/>
      <c r="J123" s="184"/>
      <c r="K123" s="184"/>
      <c r="L123" s="184"/>
      <c r="M123" s="184">
        <v>40000</v>
      </c>
      <c r="N123" s="184"/>
    </row>
    <row r="124" spans="1:14" s="45" customFormat="1" ht="25.5">
      <c r="A124" s="78"/>
      <c r="B124" s="78"/>
      <c r="C124" s="82">
        <v>4380</v>
      </c>
      <c r="D124" s="85" t="s">
        <v>320</v>
      </c>
      <c r="E124" s="184">
        <f t="shared" si="17"/>
        <v>1000</v>
      </c>
      <c r="F124" s="184">
        <f t="shared" si="18"/>
        <v>1000</v>
      </c>
      <c r="G124" s="184"/>
      <c r="H124" s="184"/>
      <c r="I124" s="184"/>
      <c r="J124" s="184"/>
      <c r="K124" s="184"/>
      <c r="L124" s="184"/>
      <c r="M124" s="184">
        <v>1000</v>
      </c>
      <c r="N124" s="184"/>
    </row>
    <row r="125" spans="1:14" s="45" customFormat="1" ht="38.25">
      <c r="A125" s="78"/>
      <c r="B125" s="78"/>
      <c r="C125" s="82">
        <v>4400</v>
      </c>
      <c r="D125" s="85" t="s">
        <v>375</v>
      </c>
      <c r="E125" s="184">
        <f t="shared" si="17"/>
        <v>113000</v>
      </c>
      <c r="F125" s="184">
        <f t="shared" si="18"/>
        <v>113000</v>
      </c>
      <c r="G125" s="184"/>
      <c r="H125" s="184"/>
      <c r="I125" s="184"/>
      <c r="J125" s="184"/>
      <c r="K125" s="184"/>
      <c r="L125" s="184"/>
      <c r="M125" s="184">
        <v>113000</v>
      </c>
      <c r="N125" s="184"/>
    </row>
    <row r="126" spans="1:14" s="45" customFormat="1" ht="12.75">
      <c r="A126" s="78"/>
      <c r="B126" s="78"/>
      <c r="C126" s="82">
        <v>4410</v>
      </c>
      <c r="D126" s="85" t="s">
        <v>80</v>
      </c>
      <c r="E126" s="184">
        <f t="shared" si="17"/>
        <v>18000</v>
      </c>
      <c r="F126" s="184">
        <f t="shared" si="18"/>
        <v>18000</v>
      </c>
      <c r="G126" s="184"/>
      <c r="H126" s="184"/>
      <c r="I126" s="184"/>
      <c r="J126" s="184"/>
      <c r="K126" s="184"/>
      <c r="L126" s="184"/>
      <c r="M126" s="184">
        <v>18000</v>
      </c>
      <c r="N126" s="184"/>
    </row>
    <row r="127" spans="1:14" s="45" customFormat="1" ht="12.75">
      <c r="A127" s="78"/>
      <c r="B127" s="78"/>
      <c r="C127" s="82">
        <v>4420</v>
      </c>
      <c r="D127" s="85" t="s">
        <v>371</v>
      </c>
      <c r="E127" s="184">
        <f t="shared" si="17"/>
        <v>5000</v>
      </c>
      <c r="F127" s="184">
        <f>SUM(G127:M127)</f>
        <v>5000</v>
      </c>
      <c r="G127" s="184"/>
      <c r="H127" s="184"/>
      <c r="I127" s="184"/>
      <c r="J127" s="184"/>
      <c r="K127" s="184"/>
      <c r="L127" s="184"/>
      <c r="M127" s="184">
        <v>5000</v>
      </c>
      <c r="N127" s="184"/>
    </row>
    <row r="128" spans="1:14" s="45" customFormat="1" ht="12.75">
      <c r="A128" s="78"/>
      <c r="B128" s="78"/>
      <c r="C128" s="82">
        <v>4430</v>
      </c>
      <c r="D128" s="85" t="s">
        <v>81</v>
      </c>
      <c r="E128" s="184">
        <f t="shared" si="17"/>
        <v>12000</v>
      </c>
      <c r="F128" s="184">
        <f t="shared" si="18"/>
        <v>12000</v>
      </c>
      <c r="G128" s="184"/>
      <c r="H128" s="184"/>
      <c r="I128" s="184"/>
      <c r="J128" s="184"/>
      <c r="K128" s="184"/>
      <c r="L128" s="184"/>
      <c r="M128" s="184">
        <v>12000</v>
      </c>
      <c r="N128" s="184"/>
    </row>
    <row r="129" spans="1:14" s="45" customFormat="1" ht="25.5">
      <c r="A129" s="78"/>
      <c r="B129" s="78"/>
      <c r="C129" s="82">
        <v>4440</v>
      </c>
      <c r="D129" s="85" t="s">
        <v>82</v>
      </c>
      <c r="E129" s="184">
        <f t="shared" si="17"/>
        <v>66900</v>
      </c>
      <c r="F129" s="184">
        <f t="shared" si="18"/>
        <v>66900</v>
      </c>
      <c r="G129" s="184"/>
      <c r="H129" s="184"/>
      <c r="I129" s="184"/>
      <c r="J129" s="184"/>
      <c r="K129" s="184"/>
      <c r="L129" s="184"/>
      <c r="M129" s="184">
        <v>66900</v>
      </c>
      <c r="N129" s="184"/>
    </row>
    <row r="130" spans="1:14" s="45" customFormat="1" ht="12.75">
      <c r="A130" s="78"/>
      <c r="B130" s="78"/>
      <c r="C130" s="82">
        <v>4510</v>
      </c>
      <c r="D130" s="85" t="s">
        <v>361</v>
      </c>
      <c r="E130" s="184">
        <f>F130+N130</f>
        <v>500</v>
      </c>
      <c r="F130" s="184">
        <f>SUM(G130:M130)</f>
        <v>500</v>
      </c>
      <c r="G130" s="184"/>
      <c r="H130" s="184"/>
      <c r="I130" s="184"/>
      <c r="J130" s="184"/>
      <c r="K130" s="184"/>
      <c r="L130" s="184"/>
      <c r="M130" s="184">
        <v>500</v>
      </c>
      <c r="N130" s="184"/>
    </row>
    <row r="131" spans="1:14" s="45" customFormat="1" ht="38.25">
      <c r="A131" s="78"/>
      <c r="B131" s="78"/>
      <c r="C131" s="82">
        <v>4700</v>
      </c>
      <c r="D131" s="85" t="s">
        <v>323</v>
      </c>
      <c r="E131" s="184">
        <f t="shared" si="17"/>
        <v>15000</v>
      </c>
      <c r="F131" s="184">
        <f t="shared" si="18"/>
        <v>15000</v>
      </c>
      <c r="G131" s="184"/>
      <c r="H131" s="184"/>
      <c r="I131" s="184"/>
      <c r="J131" s="184"/>
      <c r="K131" s="184"/>
      <c r="L131" s="184"/>
      <c r="M131" s="184">
        <v>15000</v>
      </c>
      <c r="N131" s="184"/>
    </row>
    <row r="132" spans="1:14" s="45" customFormat="1" ht="38.25">
      <c r="A132" s="78"/>
      <c r="B132" s="78"/>
      <c r="C132" s="82">
        <v>4740</v>
      </c>
      <c r="D132" s="85" t="s">
        <v>107</v>
      </c>
      <c r="E132" s="184">
        <f t="shared" si="17"/>
        <v>14000</v>
      </c>
      <c r="F132" s="184">
        <f t="shared" si="18"/>
        <v>14000</v>
      </c>
      <c r="G132" s="184"/>
      <c r="H132" s="184"/>
      <c r="I132" s="184"/>
      <c r="J132" s="184"/>
      <c r="K132" s="184"/>
      <c r="L132" s="184"/>
      <c r="M132" s="184">
        <v>14000</v>
      </c>
      <c r="N132" s="184"/>
    </row>
    <row r="133" spans="1:14" s="45" customFormat="1" ht="25.5">
      <c r="A133" s="78"/>
      <c r="B133" s="78"/>
      <c r="C133" s="82">
        <v>4750</v>
      </c>
      <c r="D133" s="85" t="s">
        <v>108</v>
      </c>
      <c r="E133" s="184">
        <f t="shared" si="17"/>
        <v>40000</v>
      </c>
      <c r="F133" s="184">
        <f t="shared" si="18"/>
        <v>40000</v>
      </c>
      <c r="G133" s="184"/>
      <c r="H133" s="184"/>
      <c r="I133" s="184"/>
      <c r="J133" s="184"/>
      <c r="K133" s="184"/>
      <c r="L133" s="184"/>
      <c r="M133" s="184">
        <f>20000+15000+5000</f>
        <v>40000</v>
      </c>
      <c r="N133" s="184"/>
    </row>
    <row r="134" spans="1:14" s="45" customFormat="1" ht="25.5">
      <c r="A134" s="78"/>
      <c r="B134" s="78"/>
      <c r="C134" s="82">
        <v>4610</v>
      </c>
      <c r="D134" s="85" t="s">
        <v>90</v>
      </c>
      <c r="E134" s="184">
        <f t="shared" si="17"/>
        <v>200</v>
      </c>
      <c r="F134" s="184">
        <f t="shared" si="18"/>
        <v>200</v>
      </c>
      <c r="G134" s="184"/>
      <c r="H134" s="184"/>
      <c r="I134" s="184"/>
      <c r="J134" s="184"/>
      <c r="K134" s="184"/>
      <c r="L134" s="184"/>
      <c r="M134" s="184">
        <v>200</v>
      </c>
      <c r="N134" s="184"/>
    </row>
    <row r="135" spans="1:14" s="45" customFormat="1" ht="25.5">
      <c r="A135" s="78"/>
      <c r="B135" s="78"/>
      <c r="C135" s="82">
        <v>6050</v>
      </c>
      <c r="D135" s="93" t="s">
        <v>147</v>
      </c>
      <c r="E135" s="184">
        <f t="shared" si="17"/>
        <v>48425</v>
      </c>
      <c r="F135" s="184">
        <f t="shared" si="18"/>
        <v>0</v>
      </c>
      <c r="G135" s="184"/>
      <c r="H135" s="184"/>
      <c r="I135" s="184"/>
      <c r="J135" s="184"/>
      <c r="K135" s="184"/>
      <c r="L135" s="184"/>
      <c r="M135" s="184"/>
      <c r="N135" s="184">
        <f>3400+45025</f>
        <v>48425</v>
      </c>
    </row>
    <row r="136" spans="1:14" s="45" customFormat="1" ht="25.5">
      <c r="A136" s="78"/>
      <c r="B136" s="78"/>
      <c r="C136" s="82">
        <v>6060</v>
      </c>
      <c r="D136" s="93" t="s">
        <v>325</v>
      </c>
      <c r="E136" s="184">
        <f t="shared" si="17"/>
        <v>41000</v>
      </c>
      <c r="F136" s="184">
        <f t="shared" si="18"/>
        <v>0</v>
      </c>
      <c r="G136" s="184"/>
      <c r="H136" s="184"/>
      <c r="I136" s="184"/>
      <c r="J136" s="184"/>
      <c r="K136" s="184"/>
      <c r="L136" s="184"/>
      <c r="M136" s="184"/>
      <c r="N136" s="184">
        <v>41000</v>
      </c>
    </row>
    <row r="137" spans="1:14" s="76" customFormat="1" ht="12.75">
      <c r="A137" s="83"/>
      <c r="B137" s="83">
        <v>75045</v>
      </c>
      <c r="C137" s="86"/>
      <c r="D137" s="90" t="s">
        <v>148</v>
      </c>
      <c r="E137" s="195">
        <f t="shared" si="17"/>
        <v>63000</v>
      </c>
      <c r="F137" s="195">
        <f t="shared" si="18"/>
        <v>63000</v>
      </c>
      <c r="G137" s="195">
        <f>SUM(G138:G151)</f>
        <v>0</v>
      </c>
      <c r="H137" s="195">
        <f aca="true" t="shared" si="24" ref="H137:N137">SUM(H138:H151)</f>
        <v>0</v>
      </c>
      <c r="I137" s="195">
        <f t="shared" si="24"/>
        <v>919</v>
      </c>
      <c r="J137" s="195">
        <f t="shared" si="24"/>
        <v>0</v>
      </c>
      <c r="K137" s="195">
        <f t="shared" si="24"/>
        <v>0</v>
      </c>
      <c r="L137" s="195">
        <f t="shared" si="24"/>
        <v>0</v>
      </c>
      <c r="M137" s="195">
        <f t="shared" si="24"/>
        <v>62081</v>
      </c>
      <c r="N137" s="195">
        <f t="shared" si="24"/>
        <v>0</v>
      </c>
    </row>
    <row r="138" spans="1:14" s="45" customFormat="1" ht="25.5">
      <c r="A138" s="78"/>
      <c r="B138" s="78"/>
      <c r="C138" s="82">
        <v>3030</v>
      </c>
      <c r="D138" s="85" t="s">
        <v>114</v>
      </c>
      <c r="E138" s="184">
        <f t="shared" si="17"/>
        <v>10250</v>
      </c>
      <c r="F138" s="184">
        <f t="shared" si="18"/>
        <v>10250</v>
      </c>
      <c r="G138" s="184"/>
      <c r="H138" s="184"/>
      <c r="I138" s="184"/>
      <c r="J138" s="184"/>
      <c r="K138" s="184"/>
      <c r="L138" s="184"/>
      <c r="M138" s="184">
        <f>11000-750</f>
        <v>10250</v>
      </c>
      <c r="N138" s="184"/>
    </row>
    <row r="139" spans="1:14" s="45" customFormat="1" ht="12.75">
      <c r="A139" s="78"/>
      <c r="B139" s="78"/>
      <c r="C139" s="82">
        <v>4110</v>
      </c>
      <c r="D139" s="85" t="s">
        <v>68</v>
      </c>
      <c r="E139" s="184">
        <f t="shared" si="17"/>
        <v>784</v>
      </c>
      <c r="F139" s="184">
        <f t="shared" si="18"/>
        <v>784</v>
      </c>
      <c r="G139" s="184"/>
      <c r="H139" s="184"/>
      <c r="I139" s="184">
        <f>800-15-1</f>
        <v>784</v>
      </c>
      <c r="J139" s="184"/>
      <c r="K139" s="184"/>
      <c r="L139" s="184"/>
      <c r="M139" s="184"/>
      <c r="N139" s="184"/>
    </row>
    <row r="140" spans="1:14" s="45" customFormat="1" ht="12.75">
      <c r="A140" s="78"/>
      <c r="B140" s="78"/>
      <c r="C140" s="82">
        <v>4170</v>
      </c>
      <c r="D140" s="85" t="s">
        <v>104</v>
      </c>
      <c r="E140" s="184">
        <f t="shared" si="17"/>
        <v>5500</v>
      </c>
      <c r="F140" s="184">
        <f t="shared" si="18"/>
        <v>5500</v>
      </c>
      <c r="G140" s="184"/>
      <c r="H140" s="184"/>
      <c r="I140" s="184"/>
      <c r="J140" s="184"/>
      <c r="K140" s="184"/>
      <c r="L140" s="184"/>
      <c r="M140" s="184">
        <f>4800+700</f>
        <v>5500</v>
      </c>
      <c r="N140" s="184"/>
    </row>
    <row r="141" spans="1:14" s="45" customFormat="1" ht="12.75">
      <c r="A141" s="78"/>
      <c r="B141" s="78"/>
      <c r="C141" s="82">
        <v>4120</v>
      </c>
      <c r="D141" s="85" t="s">
        <v>69</v>
      </c>
      <c r="E141" s="184">
        <f t="shared" si="17"/>
        <v>135</v>
      </c>
      <c r="F141" s="184">
        <f t="shared" si="18"/>
        <v>135</v>
      </c>
      <c r="G141" s="184"/>
      <c r="H141" s="184"/>
      <c r="I141" s="184">
        <f>100+35</f>
        <v>135</v>
      </c>
      <c r="J141" s="184"/>
      <c r="K141" s="184"/>
      <c r="L141" s="184"/>
      <c r="M141" s="184"/>
      <c r="N141" s="184"/>
    </row>
    <row r="142" spans="1:14" s="45" customFormat="1" ht="12.75">
      <c r="A142" s="78"/>
      <c r="B142" s="78"/>
      <c r="C142" s="82">
        <v>4210</v>
      </c>
      <c r="D142" s="85" t="s">
        <v>71</v>
      </c>
      <c r="E142" s="184">
        <f t="shared" si="17"/>
        <v>10621</v>
      </c>
      <c r="F142" s="184">
        <f t="shared" si="18"/>
        <v>10621</v>
      </c>
      <c r="G142" s="184"/>
      <c r="H142" s="184"/>
      <c r="I142" s="184"/>
      <c r="J142" s="184"/>
      <c r="K142" s="184"/>
      <c r="L142" s="184"/>
      <c r="M142" s="184">
        <f>16100-4890-589</f>
        <v>10621</v>
      </c>
      <c r="N142" s="184"/>
    </row>
    <row r="143" spans="1:14" s="45" customFormat="1" ht="25.5">
      <c r="A143" s="78"/>
      <c r="B143" s="78"/>
      <c r="C143" s="82">
        <v>4230</v>
      </c>
      <c r="D143" s="85" t="s">
        <v>373</v>
      </c>
      <c r="E143" s="184">
        <f t="shared" si="17"/>
        <v>270</v>
      </c>
      <c r="F143" s="184">
        <f t="shared" si="18"/>
        <v>270</v>
      </c>
      <c r="G143" s="184"/>
      <c r="H143" s="184"/>
      <c r="I143" s="184"/>
      <c r="J143" s="184"/>
      <c r="K143" s="184"/>
      <c r="L143" s="184"/>
      <c r="M143" s="184">
        <f>300-30</f>
        <v>270</v>
      </c>
      <c r="N143" s="184"/>
    </row>
    <row r="144" spans="1:14" s="45" customFormat="1" ht="12.75">
      <c r="A144" s="78"/>
      <c r="B144" s="78"/>
      <c r="C144" s="82">
        <v>4270</v>
      </c>
      <c r="D144" s="85" t="s">
        <v>73</v>
      </c>
      <c r="E144" s="184">
        <f t="shared" si="17"/>
        <v>0</v>
      </c>
      <c r="F144" s="184">
        <f t="shared" si="18"/>
        <v>0</v>
      </c>
      <c r="G144" s="184"/>
      <c r="H144" s="184"/>
      <c r="I144" s="184"/>
      <c r="J144" s="184"/>
      <c r="K144" s="184"/>
      <c r="L144" s="184"/>
      <c r="M144" s="184">
        <v>0</v>
      </c>
      <c r="N144" s="184"/>
    </row>
    <row r="145" spans="1:14" s="45" customFormat="1" ht="12.75">
      <c r="A145" s="78"/>
      <c r="B145" s="78"/>
      <c r="C145" s="82">
        <v>4280</v>
      </c>
      <c r="D145" s="85" t="s">
        <v>105</v>
      </c>
      <c r="E145" s="184">
        <f t="shared" si="17"/>
        <v>24000</v>
      </c>
      <c r="F145" s="184">
        <f t="shared" si="18"/>
        <v>24000</v>
      </c>
      <c r="G145" s="184"/>
      <c r="H145" s="184"/>
      <c r="I145" s="184"/>
      <c r="J145" s="184"/>
      <c r="K145" s="184"/>
      <c r="L145" s="184"/>
      <c r="M145" s="184">
        <f>24000</f>
        <v>24000</v>
      </c>
      <c r="N145" s="184"/>
    </row>
    <row r="146" spans="1:14" s="45" customFormat="1" ht="38.25">
      <c r="A146" s="78"/>
      <c r="B146" s="78"/>
      <c r="C146" s="82">
        <v>4400</v>
      </c>
      <c r="D146" s="85" t="s">
        <v>375</v>
      </c>
      <c r="E146" s="184">
        <f t="shared" si="17"/>
        <v>4697</v>
      </c>
      <c r="F146" s="184">
        <f t="shared" si="18"/>
        <v>4697</v>
      </c>
      <c r="G146" s="184"/>
      <c r="H146" s="184"/>
      <c r="I146" s="184"/>
      <c r="J146" s="184"/>
      <c r="K146" s="184"/>
      <c r="L146" s="184"/>
      <c r="M146" s="184">
        <f>4200+500-3</f>
        <v>4697</v>
      </c>
      <c r="N146" s="184"/>
    </row>
    <row r="147" spans="1:14" s="45" customFormat="1" ht="12.75">
      <c r="A147" s="78"/>
      <c r="B147" s="78"/>
      <c r="C147" s="82">
        <v>4300</v>
      </c>
      <c r="D147" s="85" t="s">
        <v>54</v>
      </c>
      <c r="E147" s="184">
        <f aca="true" t="shared" si="25" ref="E147:E205">F147+N147</f>
        <v>637</v>
      </c>
      <c r="F147" s="184">
        <f aca="true" t="shared" si="26" ref="F147:F205">SUM(G147:M147)</f>
        <v>637</v>
      </c>
      <c r="G147" s="184"/>
      <c r="H147" s="184"/>
      <c r="I147" s="184"/>
      <c r="J147" s="184"/>
      <c r="K147" s="184"/>
      <c r="L147" s="184"/>
      <c r="M147" s="184">
        <f>600-147+184</f>
        <v>637</v>
      </c>
      <c r="N147" s="184"/>
    </row>
    <row r="148" spans="1:14" s="45" customFormat="1" ht="38.25">
      <c r="A148" s="78"/>
      <c r="B148" s="78"/>
      <c r="C148" s="82">
        <v>4370</v>
      </c>
      <c r="D148" s="85" t="s">
        <v>326</v>
      </c>
      <c r="E148" s="184">
        <f>F148+N148</f>
        <v>142</v>
      </c>
      <c r="F148" s="184">
        <f>SUM(G148:M148)</f>
        <v>142</v>
      </c>
      <c r="G148" s="184"/>
      <c r="H148" s="184"/>
      <c r="I148" s="184"/>
      <c r="J148" s="184"/>
      <c r="K148" s="184"/>
      <c r="L148" s="184"/>
      <c r="M148" s="184">
        <f>300-158</f>
        <v>142</v>
      </c>
      <c r="N148" s="184"/>
    </row>
    <row r="149" spans="1:14" s="45" customFormat="1" ht="12.75">
      <c r="A149" s="78"/>
      <c r="B149" s="78"/>
      <c r="C149" s="82">
        <v>4410</v>
      </c>
      <c r="D149" s="85" t="s">
        <v>80</v>
      </c>
      <c r="E149" s="184">
        <f>F149+N149</f>
        <v>0</v>
      </c>
      <c r="F149" s="184">
        <f>SUM(G149:M149)</f>
        <v>0</v>
      </c>
      <c r="G149" s="184"/>
      <c r="H149" s="184"/>
      <c r="I149" s="184"/>
      <c r="J149" s="184"/>
      <c r="K149" s="184"/>
      <c r="L149" s="184"/>
      <c r="M149" s="184">
        <f>200-200</f>
        <v>0</v>
      </c>
      <c r="N149" s="184"/>
    </row>
    <row r="150" spans="1:14" s="45" customFormat="1" ht="25.5">
      <c r="A150" s="78"/>
      <c r="B150" s="78"/>
      <c r="C150" s="82">
        <v>4750</v>
      </c>
      <c r="D150" s="85" t="s">
        <v>108</v>
      </c>
      <c r="E150" s="184">
        <f t="shared" si="25"/>
        <v>5862</v>
      </c>
      <c r="F150" s="184">
        <f t="shared" si="26"/>
        <v>5862</v>
      </c>
      <c r="G150" s="184"/>
      <c r="H150" s="184"/>
      <c r="I150" s="184"/>
      <c r="J150" s="184"/>
      <c r="K150" s="184"/>
      <c r="L150" s="184"/>
      <c r="M150" s="184">
        <f>5295+567</f>
        <v>5862</v>
      </c>
      <c r="N150" s="184"/>
    </row>
    <row r="151" spans="1:14" s="45" customFormat="1" ht="38.25">
      <c r="A151" s="78"/>
      <c r="B151" s="78"/>
      <c r="C151" s="82">
        <v>4740</v>
      </c>
      <c r="D151" s="85" t="s">
        <v>107</v>
      </c>
      <c r="E151" s="184">
        <f t="shared" si="25"/>
        <v>102</v>
      </c>
      <c r="F151" s="184">
        <f t="shared" si="26"/>
        <v>102</v>
      </c>
      <c r="G151" s="184"/>
      <c r="H151" s="184"/>
      <c r="I151" s="184"/>
      <c r="J151" s="184"/>
      <c r="K151" s="184"/>
      <c r="L151" s="184"/>
      <c r="M151" s="184">
        <f>102</f>
        <v>102</v>
      </c>
      <c r="N151" s="184"/>
    </row>
    <row r="152" spans="1:14" s="76" customFormat="1" ht="25.5">
      <c r="A152" s="83"/>
      <c r="B152" s="83">
        <v>75075</v>
      </c>
      <c r="C152" s="86"/>
      <c r="D152" s="90" t="s">
        <v>149</v>
      </c>
      <c r="E152" s="195">
        <f t="shared" si="25"/>
        <v>52800</v>
      </c>
      <c r="F152" s="195">
        <f t="shared" si="26"/>
        <v>52800</v>
      </c>
      <c r="G152" s="195">
        <f aca="true" t="shared" si="27" ref="G152:N152">SUM(G153:G154)</f>
        <v>0</v>
      </c>
      <c r="H152" s="195">
        <f t="shared" si="27"/>
        <v>0</v>
      </c>
      <c r="I152" s="195">
        <f t="shared" si="27"/>
        <v>0</v>
      </c>
      <c r="J152" s="195">
        <f t="shared" si="27"/>
        <v>0</v>
      </c>
      <c r="K152" s="195">
        <f t="shared" si="27"/>
        <v>0</v>
      </c>
      <c r="L152" s="195">
        <f t="shared" si="27"/>
        <v>0</v>
      </c>
      <c r="M152" s="195">
        <f t="shared" si="27"/>
        <v>52800</v>
      </c>
      <c r="N152" s="195">
        <f t="shared" si="27"/>
        <v>0</v>
      </c>
    </row>
    <row r="153" spans="1:14" s="45" customFormat="1" ht="12.75">
      <c r="A153" s="78"/>
      <c r="B153" s="78"/>
      <c r="C153" s="82">
        <v>4210</v>
      </c>
      <c r="D153" s="85" t="s">
        <v>71</v>
      </c>
      <c r="E153" s="184">
        <f t="shared" si="25"/>
        <v>6000</v>
      </c>
      <c r="F153" s="184">
        <f t="shared" si="26"/>
        <v>6000</v>
      </c>
      <c r="G153" s="184"/>
      <c r="H153" s="184"/>
      <c r="I153" s="184"/>
      <c r="J153" s="184"/>
      <c r="K153" s="184"/>
      <c r="L153" s="184"/>
      <c r="M153" s="184">
        <v>6000</v>
      </c>
      <c r="N153" s="184"/>
    </row>
    <row r="154" spans="1:14" s="45" customFormat="1" ht="12.75">
      <c r="A154" s="78"/>
      <c r="B154" s="78"/>
      <c r="C154" s="82">
        <v>4300</v>
      </c>
      <c r="D154" s="85" t="s">
        <v>54</v>
      </c>
      <c r="E154" s="184">
        <f t="shared" si="25"/>
        <v>46800</v>
      </c>
      <c r="F154" s="184">
        <f t="shared" si="26"/>
        <v>46800</v>
      </c>
      <c r="G154" s="184"/>
      <c r="H154" s="184"/>
      <c r="I154" s="184"/>
      <c r="J154" s="184"/>
      <c r="K154" s="184"/>
      <c r="L154" s="184"/>
      <c r="M154" s="184">
        <v>46800</v>
      </c>
      <c r="N154" s="184"/>
    </row>
    <row r="155" spans="1:14" s="112" customFormat="1" ht="25.5">
      <c r="A155" s="78">
        <v>754</v>
      </c>
      <c r="B155" s="78"/>
      <c r="C155" s="79"/>
      <c r="D155" s="91" t="s">
        <v>150</v>
      </c>
      <c r="E155" s="194">
        <f t="shared" si="25"/>
        <v>64142</v>
      </c>
      <c r="F155" s="194">
        <f t="shared" si="26"/>
        <v>64142</v>
      </c>
      <c r="G155" s="194">
        <f>SUM(G156+G160)</f>
        <v>0</v>
      </c>
      <c r="H155" s="194">
        <f aca="true" t="shared" si="28" ref="H155:N155">SUM(H156+H160)</f>
        <v>0</v>
      </c>
      <c r="I155" s="194">
        <f t="shared" si="28"/>
        <v>0</v>
      </c>
      <c r="J155" s="194">
        <f t="shared" si="28"/>
        <v>47142</v>
      </c>
      <c r="K155" s="194">
        <f t="shared" si="28"/>
        <v>0</v>
      </c>
      <c r="L155" s="194">
        <f t="shared" si="28"/>
        <v>0</v>
      </c>
      <c r="M155" s="194">
        <f>SUM(M156+M158+M160)</f>
        <v>17000</v>
      </c>
      <c r="N155" s="194">
        <f t="shared" si="28"/>
        <v>0</v>
      </c>
    </row>
    <row r="156" spans="1:14" s="76" customFormat="1" ht="12.75">
      <c r="A156" s="78"/>
      <c r="B156" s="83">
        <v>75404</v>
      </c>
      <c r="C156" s="86"/>
      <c r="D156" s="90" t="s">
        <v>151</v>
      </c>
      <c r="E156" s="195">
        <f t="shared" si="25"/>
        <v>12000</v>
      </c>
      <c r="F156" s="195">
        <f t="shared" si="26"/>
        <v>12000</v>
      </c>
      <c r="G156" s="195">
        <f aca="true" t="shared" si="29" ref="G156:N156">G157</f>
        <v>0</v>
      </c>
      <c r="H156" s="195">
        <f t="shared" si="29"/>
        <v>0</v>
      </c>
      <c r="I156" s="195">
        <f t="shared" si="29"/>
        <v>0</v>
      </c>
      <c r="J156" s="195">
        <f t="shared" si="29"/>
        <v>0</v>
      </c>
      <c r="K156" s="195">
        <f t="shared" si="29"/>
        <v>0</v>
      </c>
      <c r="L156" s="195">
        <f t="shared" si="29"/>
        <v>0</v>
      </c>
      <c r="M156" s="195">
        <f t="shared" si="29"/>
        <v>12000</v>
      </c>
      <c r="N156" s="195">
        <f t="shared" si="29"/>
        <v>0</v>
      </c>
    </row>
    <row r="157" spans="1:14" s="45" customFormat="1" ht="12.75">
      <c r="A157" s="78"/>
      <c r="B157" s="78"/>
      <c r="C157" s="82">
        <v>4210</v>
      </c>
      <c r="D157" s="85" t="s">
        <v>71</v>
      </c>
      <c r="E157" s="184">
        <f t="shared" si="25"/>
        <v>12000</v>
      </c>
      <c r="F157" s="184">
        <f t="shared" si="26"/>
        <v>12000</v>
      </c>
      <c r="G157" s="184"/>
      <c r="H157" s="184"/>
      <c r="I157" s="184"/>
      <c r="J157" s="184"/>
      <c r="K157" s="184"/>
      <c r="L157" s="184"/>
      <c r="M157" s="184">
        <v>12000</v>
      </c>
      <c r="N157" s="184"/>
    </row>
    <row r="158" spans="1:14" s="45" customFormat="1" ht="25.5" customHeight="1">
      <c r="A158" s="78"/>
      <c r="B158" s="83">
        <v>75411</v>
      </c>
      <c r="C158" s="82"/>
      <c r="D158" s="90" t="s">
        <v>178</v>
      </c>
      <c r="E158" s="195">
        <f>F159+N159</f>
        <v>3000</v>
      </c>
      <c r="F158" s="195">
        <f>SUM(G158:M158)</f>
        <v>3000</v>
      </c>
      <c r="G158" s="195">
        <f aca="true" t="shared" si="30" ref="G158:N158">G159</f>
        <v>0</v>
      </c>
      <c r="H158" s="195">
        <f t="shared" si="30"/>
        <v>0</v>
      </c>
      <c r="I158" s="195">
        <f t="shared" si="30"/>
        <v>0</v>
      </c>
      <c r="J158" s="195">
        <f t="shared" si="30"/>
        <v>0</v>
      </c>
      <c r="K158" s="195">
        <f t="shared" si="30"/>
        <v>0</v>
      </c>
      <c r="L158" s="195">
        <f t="shared" si="30"/>
        <v>0</v>
      </c>
      <c r="M158" s="195">
        <f t="shared" si="30"/>
        <v>3000</v>
      </c>
      <c r="N158" s="195">
        <f t="shared" si="30"/>
        <v>0</v>
      </c>
    </row>
    <row r="159" spans="1:14" s="45" customFormat="1" ht="12.75">
      <c r="A159" s="78"/>
      <c r="B159" s="78"/>
      <c r="C159" s="82">
        <v>4210</v>
      </c>
      <c r="D159" s="85" t="s">
        <v>71</v>
      </c>
      <c r="E159" s="184">
        <f>F159+N159</f>
        <v>3000</v>
      </c>
      <c r="F159" s="184">
        <f>SUM(G159:M159)</f>
        <v>3000</v>
      </c>
      <c r="G159" s="184"/>
      <c r="H159" s="184"/>
      <c r="I159" s="184"/>
      <c r="J159" s="184"/>
      <c r="K159" s="184"/>
      <c r="L159" s="184"/>
      <c r="M159" s="184">
        <v>3000</v>
      </c>
      <c r="N159" s="184"/>
    </row>
    <row r="160" spans="1:14" s="76" customFormat="1" ht="12.75">
      <c r="A160" s="78"/>
      <c r="B160" s="83">
        <v>75495</v>
      </c>
      <c r="C160" s="86"/>
      <c r="D160" s="90" t="s">
        <v>152</v>
      </c>
      <c r="E160" s="195">
        <f t="shared" si="25"/>
        <v>49142</v>
      </c>
      <c r="F160" s="195">
        <f t="shared" si="26"/>
        <v>49142</v>
      </c>
      <c r="G160" s="195">
        <f>SUM(G161:G162)</f>
        <v>0</v>
      </c>
      <c r="H160" s="195">
        <f aca="true" t="shared" si="31" ref="H160:N160">SUM(H161:H162)</f>
        <v>0</v>
      </c>
      <c r="I160" s="195">
        <f t="shared" si="31"/>
        <v>0</v>
      </c>
      <c r="J160" s="195">
        <f t="shared" si="31"/>
        <v>47142</v>
      </c>
      <c r="K160" s="195">
        <f t="shared" si="31"/>
        <v>0</v>
      </c>
      <c r="L160" s="195">
        <f t="shared" si="31"/>
        <v>0</v>
      </c>
      <c r="M160" s="195">
        <f t="shared" si="31"/>
        <v>2000</v>
      </c>
      <c r="N160" s="195">
        <f t="shared" si="31"/>
        <v>0</v>
      </c>
    </row>
    <row r="161" spans="1:14" s="45" customFormat="1" ht="12.75">
      <c r="A161" s="78"/>
      <c r="B161" s="78"/>
      <c r="C161" s="82">
        <v>4210</v>
      </c>
      <c r="D161" s="85" t="s">
        <v>153</v>
      </c>
      <c r="E161" s="184">
        <f t="shared" si="25"/>
        <v>2000</v>
      </c>
      <c r="F161" s="184">
        <f t="shared" si="26"/>
        <v>2000</v>
      </c>
      <c r="G161" s="184"/>
      <c r="H161" s="184"/>
      <c r="I161" s="184"/>
      <c r="J161" s="184"/>
      <c r="K161" s="184"/>
      <c r="L161" s="184"/>
      <c r="M161" s="184">
        <v>2000</v>
      </c>
      <c r="N161" s="184"/>
    </row>
    <row r="162" spans="1:14" s="45" customFormat="1" ht="76.5">
      <c r="A162" s="78"/>
      <c r="B162" s="78"/>
      <c r="C162" s="82">
        <v>2320</v>
      </c>
      <c r="D162" s="85" t="s">
        <v>194</v>
      </c>
      <c r="E162" s="184">
        <f t="shared" si="25"/>
        <v>47142</v>
      </c>
      <c r="F162" s="184">
        <f t="shared" si="26"/>
        <v>47142</v>
      </c>
      <c r="G162" s="184"/>
      <c r="H162" s="184"/>
      <c r="I162" s="184"/>
      <c r="J162" s="184">
        <f>30000+17142</f>
        <v>47142</v>
      </c>
      <c r="K162" s="184"/>
      <c r="L162" s="184"/>
      <c r="M162" s="184"/>
      <c r="N162" s="184"/>
    </row>
    <row r="163" spans="1:14" s="112" customFormat="1" ht="12.75">
      <c r="A163" s="78">
        <v>757</v>
      </c>
      <c r="B163" s="78"/>
      <c r="C163" s="79"/>
      <c r="D163" s="91" t="s">
        <v>154</v>
      </c>
      <c r="E163" s="194">
        <f t="shared" si="25"/>
        <v>258000</v>
      </c>
      <c r="F163" s="194">
        <f t="shared" si="26"/>
        <v>258000</v>
      </c>
      <c r="G163" s="194">
        <f aca="true" t="shared" si="32" ref="G163:N164">SUM(G164)</f>
        <v>0</v>
      </c>
      <c r="H163" s="194">
        <f t="shared" si="32"/>
        <v>0</v>
      </c>
      <c r="I163" s="194">
        <f t="shared" si="32"/>
        <v>0</v>
      </c>
      <c r="J163" s="194">
        <f t="shared" si="32"/>
        <v>0</v>
      </c>
      <c r="K163" s="194">
        <f t="shared" si="32"/>
        <v>258000</v>
      </c>
      <c r="L163" s="194">
        <f t="shared" si="32"/>
        <v>0</v>
      </c>
      <c r="M163" s="194">
        <f t="shared" si="32"/>
        <v>0</v>
      </c>
      <c r="N163" s="194">
        <f t="shared" si="32"/>
        <v>0</v>
      </c>
    </row>
    <row r="164" spans="1:14" s="76" customFormat="1" ht="38.25">
      <c r="A164" s="83"/>
      <c r="B164" s="83">
        <v>75702</v>
      </c>
      <c r="C164" s="86"/>
      <c r="D164" s="90" t="s">
        <v>155</v>
      </c>
      <c r="E164" s="195">
        <f t="shared" si="25"/>
        <v>258000</v>
      </c>
      <c r="F164" s="195">
        <f t="shared" si="26"/>
        <v>258000</v>
      </c>
      <c r="G164" s="195">
        <f>SUM(G165)</f>
        <v>0</v>
      </c>
      <c r="H164" s="195">
        <f t="shared" si="32"/>
        <v>0</v>
      </c>
      <c r="I164" s="195">
        <f t="shared" si="32"/>
        <v>0</v>
      </c>
      <c r="J164" s="195">
        <f t="shared" si="32"/>
        <v>0</v>
      </c>
      <c r="K164" s="195">
        <f t="shared" si="32"/>
        <v>258000</v>
      </c>
      <c r="L164" s="195">
        <f t="shared" si="32"/>
        <v>0</v>
      </c>
      <c r="M164" s="195">
        <f t="shared" si="32"/>
        <v>0</v>
      </c>
      <c r="N164" s="195">
        <f t="shared" si="32"/>
        <v>0</v>
      </c>
    </row>
    <row r="165" spans="1:14" s="45" customFormat="1" ht="38.25">
      <c r="A165" s="78"/>
      <c r="B165" s="78"/>
      <c r="C165" s="82">
        <v>8070</v>
      </c>
      <c r="D165" s="85" t="s">
        <v>156</v>
      </c>
      <c r="E165" s="184">
        <f t="shared" si="25"/>
        <v>258000</v>
      </c>
      <c r="F165" s="184">
        <f t="shared" si="26"/>
        <v>258000</v>
      </c>
      <c r="G165" s="184"/>
      <c r="H165" s="184"/>
      <c r="I165" s="184"/>
      <c r="J165" s="184"/>
      <c r="K165" s="184">
        <v>258000</v>
      </c>
      <c r="L165" s="184"/>
      <c r="M165" s="184"/>
      <c r="N165" s="184"/>
    </row>
    <row r="166" spans="1:14" s="112" customFormat="1" ht="12.75">
      <c r="A166" s="78">
        <v>758</v>
      </c>
      <c r="B166" s="78"/>
      <c r="C166" s="79"/>
      <c r="D166" s="91" t="s">
        <v>157</v>
      </c>
      <c r="E166" s="194">
        <f t="shared" si="25"/>
        <v>323250</v>
      </c>
      <c r="F166" s="194">
        <f t="shared" si="26"/>
        <v>66250</v>
      </c>
      <c r="G166" s="194">
        <f>G167</f>
        <v>0</v>
      </c>
      <c r="H166" s="194">
        <f aca="true" t="shared" si="33" ref="H166:N166">H167</f>
        <v>0</v>
      </c>
      <c r="I166" s="194">
        <f t="shared" si="33"/>
        <v>0</v>
      </c>
      <c r="J166" s="194">
        <f t="shared" si="33"/>
        <v>0</v>
      </c>
      <c r="K166" s="194">
        <f t="shared" si="33"/>
        <v>0</v>
      </c>
      <c r="L166" s="194">
        <f t="shared" si="33"/>
        <v>0</v>
      </c>
      <c r="M166" s="194">
        <f t="shared" si="33"/>
        <v>66250</v>
      </c>
      <c r="N166" s="194">
        <f t="shared" si="33"/>
        <v>257000</v>
      </c>
    </row>
    <row r="167" spans="1:14" s="76" customFormat="1" ht="12.75">
      <c r="A167" s="83"/>
      <c r="B167" s="83">
        <v>75818</v>
      </c>
      <c r="C167" s="86"/>
      <c r="D167" s="90" t="s">
        <v>158</v>
      </c>
      <c r="E167" s="195">
        <f t="shared" si="25"/>
        <v>323250</v>
      </c>
      <c r="F167" s="195">
        <f t="shared" si="26"/>
        <v>66250</v>
      </c>
      <c r="G167" s="195">
        <f aca="true" t="shared" si="34" ref="G167:N167">SUM(G168:G169)</f>
        <v>0</v>
      </c>
      <c r="H167" s="195">
        <f t="shared" si="34"/>
        <v>0</v>
      </c>
      <c r="I167" s="195">
        <f t="shared" si="34"/>
        <v>0</v>
      </c>
      <c r="J167" s="195">
        <f t="shared" si="34"/>
        <v>0</v>
      </c>
      <c r="K167" s="195">
        <f t="shared" si="34"/>
        <v>0</v>
      </c>
      <c r="L167" s="195">
        <f t="shared" si="34"/>
        <v>0</v>
      </c>
      <c r="M167" s="195">
        <f t="shared" si="34"/>
        <v>66250</v>
      </c>
      <c r="N167" s="195">
        <f t="shared" si="34"/>
        <v>257000</v>
      </c>
    </row>
    <row r="168" spans="1:14" s="45" customFormat="1" ht="12.75">
      <c r="A168" s="78"/>
      <c r="B168" s="78"/>
      <c r="C168" s="82">
        <v>4810</v>
      </c>
      <c r="D168" s="85" t="s">
        <v>159</v>
      </c>
      <c r="E168" s="184">
        <f t="shared" si="25"/>
        <v>66250</v>
      </c>
      <c r="F168" s="184">
        <f t="shared" si="26"/>
        <v>66250</v>
      </c>
      <c r="G168" s="184"/>
      <c r="H168" s="184"/>
      <c r="I168" s="184"/>
      <c r="J168" s="184"/>
      <c r="K168" s="184"/>
      <c r="L168" s="184"/>
      <c r="M168" s="184">
        <f>850000-590152-125312-64286-4000</f>
        <v>66250</v>
      </c>
      <c r="N168" s="184"/>
    </row>
    <row r="169" spans="1:14" s="45" customFormat="1" ht="25.5">
      <c r="A169" s="78"/>
      <c r="B169" s="78"/>
      <c r="C169" s="82">
        <v>6800</v>
      </c>
      <c r="D169" s="85" t="s">
        <v>232</v>
      </c>
      <c r="E169" s="184">
        <f t="shared" si="25"/>
        <v>257000</v>
      </c>
      <c r="F169" s="184">
        <f>SUM(G169:M169)</f>
        <v>0</v>
      </c>
      <c r="G169" s="184"/>
      <c r="H169" s="184"/>
      <c r="I169" s="184"/>
      <c r="J169" s="184"/>
      <c r="K169" s="184"/>
      <c r="L169" s="184"/>
      <c r="M169" s="196"/>
      <c r="N169" s="184">
        <f>300000-7500-35500</f>
        <v>257000</v>
      </c>
    </row>
    <row r="170" spans="1:14" s="112" customFormat="1" ht="12.75">
      <c r="A170" s="78">
        <v>801</v>
      </c>
      <c r="B170" s="78"/>
      <c r="C170" s="79"/>
      <c r="D170" s="91" t="s">
        <v>160</v>
      </c>
      <c r="E170" s="194">
        <f t="shared" si="25"/>
        <v>12622716</v>
      </c>
      <c r="F170" s="194">
        <f t="shared" si="26"/>
        <v>12472716</v>
      </c>
      <c r="G170" s="194">
        <f aca="true" t="shared" si="35" ref="G170:N170">SUM(G171+G178+G200+G212+G242+G266+G273+G277+G289)</f>
        <v>7882071</v>
      </c>
      <c r="H170" s="194">
        <f t="shared" si="35"/>
        <v>581680</v>
      </c>
      <c r="I170" s="194">
        <f t="shared" si="35"/>
        <v>1428424</v>
      </c>
      <c r="J170" s="194">
        <f t="shared" si="35"/>
        <v>116000</v>
      </c>
      <c r="K170" s="194">
        <f t="shared" si="35"/>
        <v>0</v>
      </c>
      <c r="L170" s="194">
        <f t="shared" si="35"/>
        <v>0</v>
      </c>
      <c r="M170" s="194">
        <f t="shared" si="35"/>
        <v>2464541</v>
      </c>
      <c r="N170" s="194">
        <f t="shared" si="35"/>
        <v>150000</v>
      </c>
    </row>
    <row r="171" spans="1:14" s="76" customFormat="1" ht="12.75">
      <c r="A171" s="78"/>
      <c r="B171" s="83">
        <v>80102</v>
      </c>
      <c r="C171" s="86"/>
      <c r="D171" s="90" t="s">
        <v>161</v>
      </c>
      <c r="E171" s="195">
        <f t="shared" si="25"/>
        <v>836070</v>
      </c>
      <c r="F171" s="195">
        <f t="shared" si="26"/>
        <v>836070</v>
      </c>
      <c r="G171" s="195">
        <f aca="true" t="shared" si="36" ref="G171:N171">SUM(G172:G177)</f>
        <v>650100</v>
      </c>
      <c r="H171" s="195">
        <f t="shared" si="36"/>
        <v>42800</v>
      </c>
      <c r="I171" s="195">
        <f t="shared" si="36"/>
        <v>112760</v>
      </c>
      <c r="J171" s="195">
        <f t="shared" si="36"/>
        <v>0</v>
      </c>
      <c r="K171" s="195">
        <f t="shared" si="36"/>
        <v>0</v>
      </c>
      <c r="L171" s="195">
        <f t="shared" si="36"/>
        <v>0</v>
      </c>
      <c r="M171" s="195">
        <f t="shared" si="36"/>
        <v>30410</v>
      </c>
      <c r="N171" s="195">
        <f t="shared" si="36"/>
        <v>0</v>
      </c>
    </row>
    <row r="172" spans="1:14" s="45" customFormat="1" ht="25.5">
      <c r="A172" s="78"/>
      <c r="B172" s="78"/>
      <c r="C172" s="82">
        <v>3020</v>
      </c>
      <c r="D172" s="85" t="s">
        <v>324</v>
      </c>
      <c r="E172" s="184">
        <f t="shared" si="25"/>
        <v>1530</v>
      </c>
      <c r="F172" s="184">
        <f t="shared" si="26"/>
        <v>1530</v>
      </c>
      <c r="G172" s="184"/>
      <c r="H172" s="184"/>
      <c r="I172" s="184"/>
      <c r="J172" s="184"/>
      <c r="K172" s="184"/>
      <c r="L172" s="184"/>
      <c r="M172" s="184">
        <v>1530</v>
      </c>
      <c r="N172" s="184"/>
    </row>
    <row r="173" spans="1:14" s="45" customFormat="1" ht="25.5">
      <c r="A173" s="78"/>
      <c r="B173" s="78"/>
      <c r="C173" s="82">
        <v>4010</v>
      </c>
      <c r="D173" s="85" t="s">
        <v>66</v>
      </c>
      <c r="E173" s="184">
        <f t="shared" si="25"/>
        <v>650100</v>
      </c>
      <c r="F173" s="184">
        <f t="shared" si="26"/>
        <v>650100</v>
      </c>
      <c r="G173" s="184">
        <f>607210+42890</f>
        <v>650100</v>
      </c>
      <c r="H173" s="184"/>
      <c r="I173" s="184"/>
      <c r="J173" s="184"/>
      <c r="K173" s="184"/>
      <c r="L173" s="184"/>
      <c r="M173" s="184"/>
      <c r="N173" s="184"/>
    </row>
    <row r="174" spans="1:14" s="45" customFormat="1" ht="12.75">
      <c r="A174" s="78"/>
      <c r="B174" s="78"/>
      <c r="C174" s="82">
        <v>4040</v>
      </c>
      <c r="D174" s="85" t="s">
        <v>67</v>
      </c>
      <c r="E174" s="184">
        <f t="shared" si="25"/>
        <v>42800</v>
      </c>
      <c r="F174" s="184">
        <f t="shared" si="26"/>
        <v>42800</v>
      </c>
      <c r="G174" s="184"/>
      <c r="H174" s="184">
        <v>42800</v>
      </c>
      <c r="I174" s="184"/>
      <c r="J174" s="184"/>
      <c r="K174" s="184"/>
      <c r="L174" s="184"/>
      <c r="M174" s="184"/>
      <c r="N174" s="184"/>
    </row>
    <row r="175" spans="1:14" s="45" customFormat="1" ht="12.75">
      <c r="A175" s="78"/>
      <c r="B175" s="78"/>
      <c r="C175" s="82">
        <v>4110</v>
      </c>
      <c r="D175" s="85" t="s">
        <v>162</v>
      </c>
      <c r="E175" s="184">
        <f t="shared" si="25"/>
        <v>96110</v>
      </c>
      <c r="F175" s="184">
        <f t="shared" si="26"/>
        <v>96110</v>
      </c>
      <c r="G175" s="184"/>
      <c r="H175" s="184"/>
      <c r="I175" s="184">
        <f>89960+6150</f>
        <v>96110</v>
      </c>
      <c r="J175" s="184"/>
      <c r="K175" s="184"/>
      <c r="L175" s="184"/>
      <c r="M175" s="184"/>
      <c r="N175" s="184"/>
    </row>
    <row r="176" spans="1:14" s="45" customFormat="1" ht="12.75">
      <c r="A176" s="78"/>
      <c r="B176" s="78"/>
      <c r="C176" s="82">
        <v>4120</v>
      </c>
      <c r="D176" s="85" t="s">
        <v>69</v>
      </c>
      <c r="E176" s="184">
        <f t="shared" si="25"/>
        <v>16650</v>
      </c>
      <c r="F176" s="184">
        <f t="shared" si="26"/>
        <v>16650</v>
      </c>
      <c r="G176" s="184"/>
      <c r="H176" s="184"/>
      <c r="I176" s="184">
        <f>15600+1050</f>
        <v>16650</v>
      </c>
      <c r="J176" s="184"/>
      <c r="K176" s="184"/>
      <c r="L176" s="184"/>
      <c r="M176" s="184"/>
      <c r="N176" s="184"/>
    </row>
    <row r="177" spans="1:14" s="45" customFormat="1" ht="25.5">
      <c r="A177" s="78"/>
      <c r="B177" s="78"/>
      <c r="C177" s="82">
        <v>4440</v>
      </c>
      <c r="D177" s="85" t="s">
        <v>82</v>
      </c>
      <c r="E177" s="184">
        <f t="shared" si="25"/>
        <v>28880</v>
      </c>
      <c r="F177" s="184">
        <f t="shared" si="26"/>
        <v>28880</v>
      </c>
      <c r="G177" s="184"/>
      <c r="H177" s="184"/>
      <c r="I177" s="184"/>
      <c r="J177" s="184"/>
      <c r="K177" s="184"/>
      <c r="L177" s="184"/>
      <c r="M177" s="184">
        <v>28880</v>
      </c>
      <c r="N177" s="184"/>
    </row>
    <row r="178" spans="1:14" s="76" customFormat="1" ht="12.75">
      <c r="A178" s="78"/>
      <c r="B178" s="83">
        <v>80111</v>
      </c>
      <c r="C178" s="86"/>
      <c r="D178" s="90" t="s">
        <v>163</v>
      </c>
      <c r="E178" s="195">
        <f t="shared" si="25"/>
        <v>925080</v>
      </c>
      <c r="F178" s="195">
        <f t="shared" si="26"/>
        <v>925080</v>
      </c>
      <c r="G178" s="195">
        <f aca="true" t="shared" si="37" ref="G178:N178">SUM(G179:G199)</f>
        <v>559730</v>
      </c>
      <c r="H178" s="195">
        <f t="shared" si="37"/>
        <v>38500</v>
      </c>
      <c r="I178" s="195">
        <f t="shared" si="37"/>
        <v>97380</v>
      </c>
      <c r="J178" s="195">
        <f t="shared" si="37"/>
        <v>0</v>
      </c>
      <c r="K178" s="195">
        <f t="shared" si="37"/>
        <v>0</v>
      </c>
      <c r="L178" s="195">
        <f t="shared" si="37"/>
        <v>0</v>
      </c>
      <c r="M178" s="195">
        <f t="shared" si="37"/>
        <v>229470</v>
      </c>
      <c r="N178" s="195">
        <f t="shared" si="37"/>
        <v>0</v>
      </c>
    </row>
    <row r="179" spans="1:14" s="45" customFormat="1" ht="25.5">
      <c r="A179" s="78"/>
      <c r="B179" s="78"/>
      <c r="C179" s="82">
        <v>3020</v>
      </c>
      <c r="D179" s="85" t="s">
        <v>324</v>
      </c>
      <c r="E179" s="184">
        <f t="shared" si="25"/>
        <v>6290</v>
      </c>
      <c r="F179" s="184">
        <f t="shared" si="26"/>
        <v>6290</v>
      </c>
      <c r="G179" s="184"/>
      <c r="H179" s="184"/>
      <c r="I179" s="184"/>
      <c r="J179" s="184"/>
      <c r="K179" s="184"/>
      <c r="L179" s="184"/>
      <c r="M179" s="184">
        <v>6290</v>
      </c>
      <c r="N179" s="184"/>
    </row>
    <row r="180" spans="1:14" s="45" customFormat="1" ht="25.5">
      <c r="A180" s="78"/>
      <c r="B180" s="78"/>
      <c r="C180" s="82">
        <v>4010</v>
      </c>
      <c r="D180" s="85" t="s">
        <v>66</v>
      </c>
      <c r="E180" s="184">
        <f t="shared" si="25"/>
        <v>559730</v>
      </c>
      <c r="F180" s="184">
        <f t="shared" si="26"/>
        <v>559730</v>
      </c>
      <c r="G180" s="184">
        <f>517300+42430</f>
        <v>559730</v>
      </c>
      <c r="H180" s="184"/>
      <c r="I180" s="184"/>
      <c r="J180" s="184"/>
      <c r="K180" s="184"/>
      <c r="L180" s="184"/>
      <c r="M180" s="184"/>
      <c r="N180" s="184"/>
    </row>
    <row r="181" spans="1:14" s="45" customFormat="1" ht="12.75">
      <c r="A181" s="78"/>
      <c r="B181" s="78"/>
      <c r="C181" s="82">
        <v>4040</v>
      </c>
      <c r="D181" s="85" t="s">
        <v>67</v>
      </c>
      <c r="E181" s="184">
        <f t="shared" si="25"/>
        <v>38500</v>
      </c>
      <c r="F181" s="184">
        <f t="shared" si="26"/>
        <v>38500</v>
      </c>
      <c r="G181" s="184"/>
      <c r="H181" s="184">
        <v>38500</v>
      </c>
      <c r="I181" s="184"/>
      <c r="J181" s="184"/>
      <c r="K181" s="184"/>
      <c r="L181" s="184"/>
      <c r="M181" s="184"/>
      <c r="N181" s="184"/>
    </row>
    <row r="182" spans="1:14" s="45" customFormat="1" ht="12.75">
      <c r="A182" s="78"/>
      <c r="B182" s="78"/>
      <c r="C182" s="82">
        <v>4110</v>
      </c>
      <c r="D182" s="85" t="s">
        <v>162</v>
      </c>
      <c r="E182" s="184">
        <f t="shared" si="25"/>
        <v>83000</v>
      </c>
      <c r="F182" s="184">
        <f t="shared" si="26"/>
        <v>83000</v>
      </c>
      <c r="G182" s="184"/>
      <c r="H182" s="184"/>
      <c r="I182" s="184">
        <f>76920+'[1]Arkusz1'!$K$40</f>
        <v>83000</v>
      </c>
      <c r="J182" s="184"/>
      <c r="K182" s="184"/>
      <c r="L182" s="184"/>
      <c r="M182" s="184"/>
      <c r="N182" s="184"/>
    </row>
    <row r="183" spans="1:14" s="45" customFormat="1" ht="12.75">
      <c r="A183" s="78"/>
      <c r="B183" s="78"/>
      <c r="C183" s="82">
        <v>4120</v>
      </c>
      <c r="D183" s="85" t="s">
        <v>164</v>
      </c>
      <c r="E183" s="184">
        <f t="shared" si="25"/>
        <v>14380</v>
      </c>
      <c r="F183" s="184">
        <f t="shared" si="26"/>
        <v>14380</v>
      </c>
      <c r="G183" s="184"/>
      <c r="H183" s="184"/>
      <c r="I183" s="184">
        <f>13340+'[1]Arkusz1'!$K$41</f>
        <v>14380</v>
      </c>
      <c r="J183" s="184"/>
      <c r="K183" s="184"/>
      <c r="L183" s="184"/>
      <c r="M183" s="184"/>
      <c r="N183" s="184"/>
    </row>
    <row r="184" spans="1:14" s="45" customFormat="1" ht="12.75">
      <c r="A184" s="78"/>
      <c r="B184" s="78"/>
      <c r="C184" s="82">
        <v>4170</v>
      </c>
      <c r="D184" s="85" t="s">
        <v>104</v>
      </c>
      <c r="E184" s="184">
        <f t="shared" si="25"/>
        <v>2570</v>
      </c>
      <c r="F184" s="184">
        <f t="shared" si="26"/>
        <v>2570</v>
      </c>
      <c r="G184" s="184"/>
      <c r="H184" s="184"/>
      <c r="I184" s="184"/>
      <c r="J184" s="184"/>
      <c r="K184" s="184"/>
      <c r="L184" s="184"/>
      <c r="M184" s="184">
        <v>2570</v>
      </c>
      <c r="N184" s="184"/>
    </row>
    <row r="185" spans="1:14" s="45" customFormat="1" ht="12.75">
      <c r="A185" s="78"/>
      <c r="B185" s="78"/>
      <c r="C185" s="82">
        <v>4210</v>
      </c>
      <c r="D185" s="85" t="s">
        <v>71</v>
      </c>
      <c r="E185" s="184">
        <f t="shared" si="25"/>
        <v>18240</v>
      </c>
      <c r="F185" s="184">
        <f t="shared" si="26"/>
        <v>18240</v>
      </c>
      <c r="G185" s="184"/>
      <c r="H185" s="184"/>
      <c r="I185" s="184"/>
      <c r="J185" s="184"/>
      <c r="K185" s="184"/>
      <c r="L185" s="184"/>
      <c r="M185" s="184">
        <v>18240</v>
      </c>
      <c r="N185" s="184"/>
    </row>
    <row r="186" spans="1:14" s="45" customFormat="1" ht="25.5">
      <c r="A186" s="78"/>
      <c r="B186" s="78"/>
      <c r="C186" s="82">
        <v>4240</v>
      </c>
      <c r="D186" s="85" t="s">
        <v>165</v>
      </c>
      <c r="E186" s="184">
        <f t="shared" si="25"/>
        <v>0</v>
      </c>
      <c r="F186" s="184">
        <f t="shared" si="26"/>
        <v>0</v>
      </c>
      <c r="G186" s="184"/>
      <c r="H186" s="184"/>
      <c r="I186" s="184"/>
      <c r="J186" s="184"/>
      <c r="K186" s="184"/>
      <c r="L186" s="184"/>
      <c r="M186" s="184">
        <v>0</v>
      </c>
      <c r="N186" s="184"/>
    </row>
    <row r="187" spans="1:14" s="45" customFormat="1" ht="12.75">
      <c r="A187" s="78"/>
      <c r="B187" s="78"/>
      <c r="C187" s="82">
        <v>4260</v>
      </c>
      <c r="D187" s="85" t="s">
        <v>72</v>
      </c>
      <c r="E187" s="184">
        <f t="shared" si="25"/>
        <v>79800</v>
      </c>
      <c r="F187" s="184">
        <f t="shared" si="26"/>
        <v>79800</v>
      </c>
      <c r="G187" s="184"/>
      <c r="H187" s="184"/>
      <c r="I187" s="184"/>
      <c r="J187" s="184"/>
      <c r="K187" s="184"/>
      <c r="L187" s="184"/>
      <c r="M187" s="184">
        <v>79800</v>
      </c>
      <c r="N187" s="184"/>
    </row>
    <row r="188" spans="1:14" s="45" customFormat="1" ht="12.75">
      <c r="A188" s="78"/>
      <c r="B188" s="78"/>
      <c r="C188" s="82">
        <v>4270</v>
      </c>
      <c r="D188" s="85" t="s">
        <v>89</v>
      </c>
      <c r="E188" s="184">
        <f t="shared" si="25"/>
        <v>29700</v>
      </c>
      <c r="F188" s="184">
        <f t="shared" si="26"/>
        <v>29700</v>
      </c>
      <c r="G188" s="184"/>
      <c r="H188" s="184"/>
      <c r="I188" s="184"/>
      <c r="J188" s="184"/>
      <c r="K188" s="184"/>
      <c r="L188" s="184"/>
      <c r="M188" s="184">
        <f>2700+27000</f>
        <v>29700</v>
      </c>
      <c r="N188" s="184"/>
    </row>
    <row r="189" spans="1:14" s="45" customFormat="1" ht="12.75">
      <c r="A189" s="78"/>
      <c r="B189" s="78"/>
      <c r="C189" s="82">
        <v>4280</v>
      </c>
      <c r="D189" s="85" t="s">
        <v>74</v>
      </c>
      <c r="E189" s="184">
        <f t="shared" si="25"/>
        <v>1570</v>
      </c>
      <c r="F189" s="184">
        <f t="shared" si="26"/>
        <v>1570</v>
      </c>
      <c r="G189" s="184"/>
      <c r="H189" s="184"/>
      <c r="I189" s="184"/>
      <c r="J189" s="184"/>
      <c r="K189" s="184"/>
      <c r="L189" s="184"/>
      <c r="M189" s="184">
        <v>1570</v>
      </c>
      <c r="N189" s="184"/>
    </row>
    <row r="190" spans="1:14" s="45" customFormat="1" ht="12.75">
      <c r="A190" s="78"/>
      <c r="B190" s="78"/>
      <c r="C190" s="82">
        <v>4300</v>
      </c>
      <c r="D190" s="85" t="s">
        <v>54</v>
      </c>
      <c r="E190" s="184">
        <f t="shared" si="25"/>
        <v>43467</v>
      </c>
      <c r="F190" s="184">
        <f t="shared" si="26"/>
        <v>43467</v>
      </c>
      <c r="G190" s="184"/>
      <c r="H190" s="184"/>
      <c r="I190" s="184"/>
      <c r="J190" s="184"/>
      <c r="K190" s="184"/>
      <c r="L190" s="184"/>
      <c r="M190" s="184">
        <f>43400+67</f>
        <v>43467</v>
      </c>
      <c r="N190" s="184"/>
    </row>
    <row r="191" spans="1:14" s="45" customFormat="1" ht="25.5">
      <c r="A191" s="78"/>
      <c r="B191" s="78"/>
      <c r="C191" s="82">
        <v>4350</v>
      </c>
      <c r="D191" s="85" t="s">
        <v>75</v>
      </c>
      <c r="E191" s="184">
        <f t="shared" si="25"/>
        <v>5220</v>
      </c>
      <c r="F191" s="184">
        <f t="shared" si="26"/>
        <v>5220</v>
      </c>
      <c r="G191" s="184"/>
      <c r="H191" s="184"/>
      <c r="I191" s="184"/>
      <c r="J191" s="184"/>
      <c r="K191" s="184"/>
      <c r="L191" s="184"/>
      <c r="M191" s="184">
        <v>5220</v>
      </c>
      <c r="N191" s="184"/>
    </row>
    <row r="192" spans="1:14" s="45" customFormat="1" ht="38.25">
      <c r="A192" s="78"/>
      <c r="B192" s="78"/>
      <c r="C192" s="82">
        <v>4370</v>
      </c>
      <c r="D192" s="85" t="s">
        <v>166</v>
      </c>
      <c r="E192" s="184">
        <f t="shared" si="25"/>
        <v>5740</v>
      </c>
      <c r="F192" s="184">
        <f t="shared" si="26"/>
        <v>5740</v>
      </c>
      <c r="G192" s="184"/>
      <c r="H192" s="184"/>
      <c r="I192" s="184"/>
      <c r="J192" s="184"/>
      <c r="K192" s="184"/>
      <c r="L192" s="184"/>
      <c r="M192" s="184">
        <v>5740</v>
      </c>
      <c r="N192" s="184"/>
    </row>
    <row r="193" spans="1:14" s="45" customFormat="1" ht="12.75">
      <c r="A193" s="78"/>
      <c r="B193" s="78"/>
      <c r="C193" s="82">
        <v>4410</v>
      </c>
      <c r="D193" s="85" t="s">
        <v>80</v>
      </c>
      <c r="E193" s="184">
        <f t="shared" si="25"/>
        <v>1030</v>
      </c>
      <c r="F193" s="184">
        <f t="shared" si="26"/>
        <v>1030</v>
      </c>
      <c r="G193" s="184"/>
      <c r="H193" s="184"/>
      <c r="I193" s="184"/>
      <c r="J193" s="184"/>
      <c r="K193" s="184"/>
      <c r="L193" s="184"/>
      <c r="M193" s="184">
        <v>1030</v>
      </c>
      <c r="N193" s="184"/>
    </row>
    <row r="194" spans="1:14" s="45" customFormat="1" ht="12.75">
      <c r="A194" s="78"/>
      <c r="B194" s="78"/>
      <c r="C194" s="82">
        <v>4430</v>
      </c>
      <c r="D194" s="85" t="s">
        <v>81</v>
      </c>
      <c r="E194" s="184">
        <f t="shared" si="25"/>
        <v>3760</v>
      </c>
      <c r="F194" s="184">
        <f t="shared" si="26"/>
        <v>3760</v>
      </c>
      <c r="G194" s="184"/>
      <c r="H194" s="184"/>
      <c r="I194" s="184"/>
      <c r="J194" s="184"/>
      <c r="K194" s="184"/>
      <c r="L194" s="184"/>
      <c r="M194" s="184">
        <v>3760</v>
      </c>
      <c r="N194" s="184"/>
    </row>
    <row r="195" spans="1:14" s="45" customFormat="1" ht="25.5">
      <c r="A195" s="78"/>
      <c r="B195" s="78"/>
      <c r="C195" s="82">
        <v>4440</v>
      </c>
      <c r="D195" s="85" t="s">
        <v>82</v>
      </c>
      <c r="E195" s="184">
        <f t="shared" si="25"/>
        <v>25820</v>
      </c>
      <c r="F195" s="184">
        <f t="shared" si="26"/>
        <v>25820</v>
      </c>
      <c r="G195" s="184"/>
      <c r="H195" s="184"/>
      <c r="I195" s="184"/>
      <c r="J195" s="184"/>
      <c r="K195" s="184"/>
      <c r="L195" s="184"/>
      <c r="M195" s="184">
        <v>25820</v>
      </c>
      <c r="N195" s="184"/>
    </row>
    <row r="196" spans="1:14" s="45" customFormat="1" ht="12.75">
      <c r="A196" s="78"/>
      <c r="B196" s="78"/>
      <c r="C196" s="82">
        <v>4510</v>
      </c>
      <c r="D196" s="85" t="s">
        <v>361</v>
      </c>
      <c r="E196" s="184">
        <f t="shared" si="25"/>
        <v>300</v>
      </c>
      <c r="F196" s="184">
        <f t="shared" si="26"/>
        <v>300</v>
      </c>
      <c r="G196" s="184"/>
      <c r="H196" s="184"/>
      <c r="I196" s="184"/>
      <c r="J196" s="184"/>
      <c r="K196" s="184"/>
      <c r="L196" s="184"/>
      <c r="M196" s="184">
        <v>300</v>
      </c>
      <c r="N196" s="184"/>
    </row>
    <row r="197" spans="1:14" s="45" customFormat="1" ht="38.25">
      <c r="A197" s="78"/>
      <c r="B197" s="78"/>
      <c r="C197" s="82">
        <v>4700</v>
      </c>
      <c r="D197" s="85" t="s">
        <v>323</v>
      </c>
      <c r="E197" s="184">
        <f t="shared" si="25"/>
        <v>1570</v>
      </c>
      <c r="F197" s="184">
        <f t="shared" si="26"/>
        <v>1570</v>
      </c>
      <c r="G197" s="184"/>
      <c r="H197" s="184"/>
      <c r="I197" s="184"/>
      <c r="J197" s="184"/>
      <c r="K197" s="184"/>
      <c r="L197" s="184"/>
      <c r="M197" s="184">
        <v>1570</v>
      </c>
      <c r="N197" s="184"/>
    </row>
    <row r="198" spans="1:14" s="45" customFormat="1" ht="38.25">
      <c r="A198" s="78"/>
      <c r="B198" s="78"/>
      <c r="C198" s="82">
        <v>4740</v>
      </c>
      <c r="D198" s="85" t="s">
        <v>107</v>
      </c>
      <c r="E198" s="184">
        <f t="shared" si="25"/>
        <v>1570</v>
      </c>
      <c r="F198" s="184">
        <f t="shared" si="26"/>
        <v>1570</v>
      </c>
      <c r="G198" s="184"/>
      <c r="H198" s="184"/>
      <c r="I198" s="184"/>
      <c r="J198" s="184"/>
      <c r="K198" s="184"/>
      <c r="L198" s="184"/>
      <c r="M198" s="184">
        <v>1570</v>
      </c>
      <c r="N198" s="184"/>
    </row>
    <row r="199" spans="1:14" s="45" customFormat="1" ht="25.5">
      <c r="A199" s="78"/>
      <c r="B199" s="78"/>
      <c r="C199" s="82">
        <v>4750</v>
      </c>
      <c r="D199" s="85" t="s">
        <v>167</v>
      </c>
      <c r="E199" s="184">
        <f t="shared" si="25"/>
        <v>2823</v>
      </c>
      <c r="F199" s="184">
        <f t="shared" si="26"/>
        <v>2823</v>
      </c>
      <c r="G199" s="184"/>
      <c r="H199" s="184"/>
      <c r="I199" s="184"/>
      <c r="J199" s="184"/>
      <c r="K199" s="184"/>
      <c r="L199" s="184"/>
      <c r="M199" s="184">
        <f>2400+423</f>
        <v>2823</v>
      </c>
      <c r="N199" s="184"/>
    </row>
    <row r="200" spans="1:14" s="76" customFormat="1" ht="12.75">
      <c r="A200" s="78"/>
      <c r="B200" s="83">
        <v>80120</v>
      </c>
      <c r="C200" s="86"/>
      <c r="D200" s="90" t="s">
        <v>168</v>
      </c>
      <c r="E200" s="195">
        <f t="shared" si="25"/>
        <v>2062481</v>
      </c>
      <c r="F200" s="195">
        <f t="shared" si="26"/>
        <v>2062481</v>
      </c>
      <c r="G200" s="195">
        <f>SUM(G201:G211)</f>
        <v>1443371</v>
      </c>
      <c r="H200" s="195">
        <f aca="true" t="shared" si="38" ref="H200:N200">SUM(H201:H211)</f>
        <v>111120</v>
      </c>
      <c r="I200" s="195">
        <f t="shared" si="38"/>
        <v>264530</v>
      </c>
      <c r="J200" s="195">
        <f t="shared" si="38"/>
        <v>77000</v>
      </c>
      <c r="K200" s="195">
        <f t="shared" si="38"/>
        <v>0</v>
      </c>
      <c r="L200" s="195">
        <f t="shared" si="38"/>
        <v>0</v>
      </c>
      <c r="M200" s="195">
        <f t="shared" si="38"/>
        <v>166460</v>
      </c>
      <c r="N200" s="195">
        <f t="shared" si="38"/>
        <v>0</v>
      </c>
    </row>
    <row r="201" spans="1:14" s="45" customFormat="1" ht="38.25">
      <c r="A201" s="78"/>
      <c r="B201" s="78"/>
      <c r="C201" s="82">
        <v>2540</v>
      </c>
      <c r="D201" s="85" t="s">
        <v>169</v>
      </c>
      <c r="E201" s="184">
        <f t="shared" si="25"/>
        <v>77000</v>
      </c>
      <c r="F201" s="184">
        <f t="shared" si="26"/>
        <v>77000</v>
      </c>
      <c r="G201" s="184"/>
      <c r="H201" s="184"/>
      <c r="I201" s="184"/>
      <c r="J201" s="184">
        <v>77000</v>
      </c>
      <c r="K201" s="184"/>
      <c r="L201" s="184"/>
      <c r="M201" s="184"/>
      <c r="N201" s="184"/>
    </row>
    <row r="202" spans="1:14" s="45" customFormat="1" ht="25.5">
      <c r="A202" s="78"/>
      <c r="B202" s="78"/>
      <c r="C202" s="82">
        <v>3020</v>
      </c>
      <c r="D202" s="85" t="s">
        <v>324</v>
      </c>
      <c r="E202" s="184">
        <f t="shared" si="25"/>
        <v>53380</v>
      </c>
      <c r="F202" s="184">
        <f t="shared" si="26"/>
        <v>53380</v>
      </c>
      <c r="G202" s="184"/>
      <c r="H202" s="184"/>
      <c r="I202" s="184"/>
      <c r="J202" s="184"/>
      <c r="K202" s="184"/>
      <c r="L202" s="184"/>
      <c r="M202" s="184">
        <f>49000+'[1]Arkusz1'!$K$43</f>
        <v>53380</v>
      </c>
      <c r="N202" s="184"/>
    </row>
    <row r="203" spans="1:14" s="45" customFormat="1" ht="25.5">
      <c r="A203" s="78"/>
      <c r="B203" s="78"/>
      <c r="C203" s="82">
        <v>4010</v>
      </c>
      <c r="D203" s="85" t="s">
        <v>66</v>
      </c>
      <c r="E203" s="184">
        <f t="shared" si="25"/>
        <v>1443371</v>
      </c>
      <c r="F203" s="184">
        <f t="shared" si="26"/>
        <v>1443371</v>
      </c>
      <c r="G203" s="184">
        <f>1326690+'[1]Arkusz1'!$K$44</f>
        <v>1443371</v>
      </c>
      <c r="H203" s="184"/>
      <c r="I203" s="184"/>
      <c r="J203" s="184"/>
      <c r="K203" s="184"/>
      <c r="L203" s="184"/>
      <c r="M203" s="184"/>
      <c r="N203" s="184"/>
    </row>
    <row r="204" spans="1:14" s="45" customFormat="1" ht="12.75">
      <c r="A204" s="78"/>
      <c r="B204" s="78"/>
      <c r="C204" s="82">
        <v>4040</v>
      </c>
      <c r="D204" s="85" t="s">
        <v>67</v>
      </c>
      <c r="E204" s="184">
        <f t="shared" si="25"/>
        <v>111120</v>
      </c>
      <c r="F204" s="184">
        <f t="shared" si="26"/>
        <v>111120</v>
      </c>
      <c r="G204" s="184"/>
      <c r="H204" s="184">
        <v>111120</v>
      </c>
      <c r="I204" s="184"/>
      <c r="J204" s="184"/>
      <c r="K204" s="184"/>
      <c r="L204" s="184"/>
      <c r="M204" s="184"/>
      <c r="N204" s="184"/>
    </row>
    <row r="205" spans="1:14" s="45" customFormat="1" ht="12.75">
      <c r="A205" s="78"/>
      <c r="B205" s="78"/>
      <c r="C205" s="82">
        <v>4110</v>
      </c>
      <c r="D205" s="85" t="s">
        <v>162</v>
      </c>
      <c r="E205" s="184">
        <f t="shared" si="25"/>
        <v>227200</v>
      </c>
      <c r="F205" s="184">
        <f t="shared" si="26"/>
        <v>227200</v>
      </c>
      <c r="G205" s="184"/>
      <c r="H205" s="184"/>
      <c r="I205" s="184">
        <f>209310+'[1]Arkusz1'!$K$45</f>
        <v>227200</v>
      </c>
      <c r="J205" s="184"/>
      <c r="K205" s="184"/>
      <c r="L205" s="184"/>
      <c r="M205" s="184"/>
      <c r="N205" s="184"/>
    </row>
    <row r="206" spans="1:14" s="45" customFormat="1" ht="12.75">
      <c r="A206" s="78"/>
      <c r="B206" s="78"/>
      <c r="C206" s="82">
        <v>4120</v>
      </c>
      <c r="D206" s="85" t="s">
        <v>69</v>
      </c>
      <c r="E206" s="184">
        <f aca="true" t="shared" si="39" ref="E206:E271">F206+N206</f>
        <v>37330</v>
      </c>
      <c r="F206" s="184">
        <f aca="true" t="shared" si="40" ref="F206:F271">SUM(G206:M206)</f>
        <v>37330</v>
      </c>
      <c r="G206" s="184"/>
      <c r="H206" s="184"/>
      <c r="I206" s="184">
        <f>34510+'[1]Arkusz1'!$K$46</f>
        <v>37330</v>
      </c>
      <c r="J206" s="184"/>
      <c r="K206" s="184"/>
      <c r="L206" s="184"/>
      <c r="M206" s="184"/>
      <c r="N206" s="184"/>
    </row>
    <row r="207" spans="1:14" s="45" customFormat="1" ht="12.75">
      <c r="A207" s="78"/>
      <c r="B207" s="78"/>
      <c r="C207" s="82">
        <v>4210</v>
      </c>
      <c r="D207" s="85" t="s">
        <v>71</v>
      </c>
      <c r="E207" s="184">
        <f t="shared" si="39"/>
        <v>9530</v>
      </c>
      <c r="F207" s="184">
        <f t="shared" si="40"/>
        <v>9530</v>
      </c>
      <c r="G207" s="184"/>
      <c r="H207" s="184"/>
      <c r="I207" s="184"/>
      <c r="J207" s="184"/>
      <c r="K207" s="184"/>
      <c r="L207" s="184"/>
      <c r="M207" s="184">
        <v>9530</v>
      </c>
      <c r="N207" s="184"/>
    </row>
    <row r="208" spans="1:14" s="45" customFormat="1" ht="25.5">
      <c r="A208" s="78"/>
      <c r="B208" s="78"/>
      <c r="C208" s="82">
        <v>4240</v>
      </c>
      <c r="D208" s="85" t="s">
        <v>165</v>
      </c>
      <c r="E208" s="184">
        <f t="shared" si="39"/>
        <v>0</v>
      </c>
      <c r="F208" s="184">
        <f t="shared" si="40"/>
        <v>0</v>
      </c>
      <c r="G208" s="184"/>
      <c r="H208" s="184"/>
      <c r="I208" s="184"/>
      <c r="J208" s="184"/>
      <c r="K208" s="184"/>
      <c r="L208" s="184"/>
      <c r="M208" s="184">
        <v>0</v>
      </c>
      <c r="N208" s="184"/>
    </row>
    <row r="209" spans="1:14" s="45" customFormat="1" ht="12.75">
      <c r="A209" s="78"/>
      <c r="B209" s="78"/>
      <c r="C209" s="82">
        <v>4260</v>
      </c>
      <c r="D209" s="85" t="s">
        <v>72</v>
      </c>
      <c r="E209" s="184">
        <f t="shared" si="39"/>
        <v>5300</v>
      </c>
      <c r="F209" s="184">
        <f t="shared" si="40"/>
        <v>5300</v>
      </c>
      <c r="G209" s="184"/>
      <c r="H209" s="184"/>
      <c r="I209" s="184"/>
      <c r="J209" s="184"/>
      <c r="K209" s="184"/>
      <c r="L209" s="184"/>
      <c r="M209" s="184">
        <v>5300</v>
      </c>
      <c r="N209" s="184"/>
    </row>
    <row r="210" spans="1:15" s="45" customFormat="1" ht="12.75">
      <c r="A210" s="78"/>
      <c r="B210" s="78"/>
      <c r="C210" s="82">
        <v>4300</v>
      </c>
      <c r="D210" s="85" t="s">
        <v>54</v>
      </c>
      <c r="E210" s="184">
        <f t="shared" si="39"/>
        <v>12960</v>
      </c>
      <c r="F210" s="184">
        <f t="shared" si="40"/>
        <v>12960</v>
      </c>
      <c r="G210" s="184"/>
      <c r="H210" s="184"/>
      <c r="I210" s="184"/>
      <c r="J210" s="184"/>
      <c r="K210" s="184"/>
      <c r="L210" s="184"/>
      <c r="M210" s="184">
        <v>12960</v>
      </c>
      <c r="N210" s="184"/>
      <c r="O210" s="45">
        <v>11680</v>
      </c>
    </row>
    <row r="211" spans="1:14" s="45" customFormat="1" ht="25.5">
      <c r="A211" s="78"/>
      <c r="B211" s="78"/>
      <c r="C211" s="82">
        <v>4440</v>
      </c>
      <c r="D211" s="85" t="s">
        <v>82</v>
      </c>
      <c r="E211" s="184">
        <f t="shared" si="39"/>
        <v>85290</v>
      </c>
      <c r="F211" s="184">
        <f t="shared" si="40"/>
        <v>85290</v>
      </c>
      <c r="G211" s="184"/>
      <c r="H211" s="184"/>
      <c r="I211" s="184"/>
      <c r="J211" s="184"/>
      <c r="K211" s="184"/>
      <c r="L211" s="184"/>
      <c r="M211" s="184">
        <v>85290</v>
      </c>
      <c r="N211" s="184"/>
    </row>
    <row r="212" spans="1:14" s="76" customFormat="1" ht="12.75">
      <c r="A212" s="114"/>
      <c r="B212" s="83">
        <v>80130</v>
      </c>
      <c r="C212" s="86"/>
      <c r="D212" s="90" t="s">
        <v>170</v>
      </c>
      <c r="E212" s="195">
        <f t="shared" si="39"/>
        <v>6587881</v>
      </c>
      <c r="F212" s="195">
        <f t="shared" si="40"/>
        <v>6437881</v>
      </c>
      <c r="G212" s="195">
        <f aca="true" t="shared" si="41" ref="G212:N212">SUM(G213:G241)</f>
        <v>3882620</v>
      </c>
      <c r="H212" s="195">
        <f t="shared" si="41"/>
        <v>290180</v>
      </c>
      <c r="I212" s="195">
        <f t="shared" si="41"/>
        <v>719304</v>
      </c>
      <c r="J212" s="195">
        <f t="shared" si="41"/>
        <v>30000</v>
      </c>
      <c r="K212" s="195">
        <f t="shared" si="41"/>
        <v>0</v>
      </c>
      <c r="L212" s="195">
        <f t="shared" si="41"/>
        <v>0</v>
      </c>
      <c r="M212" s="195">
        <f t="shared" si="41"/>
        <v>1515777</v>
      </c>
      <c r="N212" s="195">
        <f t="shared" si="41"/>
        <v>150000</v>
      </c>
    </row>
    <row r="213" spans="1:14" s="45" customFormat="1" ht="76.5">
      <c r="A213" s="103"/>
      <c r="B213" s="78"/>
      <c r="C213" s="82">
        <v>2330</v>
      </c>
      <c r="D213" s="85" t="s">
        <v>78</v>
      </c>
      <c r="E213" s="184">
        <f>F213+N213</f>
        <v>30000</v>
      </c>
      <c r="F213" s="184">
        <f>SUM(G213:M213)</f>
        <v>30000</v>
      </c>
      <c r="G213" s="184"/>
      <c r="H213" s="184"/>
      <c r="I213" s="184"/>
      <c r="J213" s="184">
        <v>30000</v>
      </c>
      <c r="K213" s="184"/>
      <c r="L213" s="184"/>
      <c r="M213" s="184"/>
      <c r="N213" s="184"/>
    </row>
    <row r="214" spans="1:14" s="45" customFormat="1" ht="25.5">
      <c r="A214" s="103"/>
      <c r="B214" s="78"/>
      <c r="C214" s="82">
        <v>3020</v>
      </c>
      <c r="D214" s="85" t="s">
        <v>324</v>
      </c>
      <c r="E214" s="184">
        <f t="shared" si="39"/>
        <v>206710</v>
      </c>
      <c r="F214" s="184">
        <f t="shared" si="40"/>
        <v>206710</v>
      </c>
      <c r="G214" s="184"/>
      <c r="H214" s="184"/>
      <c r="I214" s="184"/>
      <c r="J214" s="184"/>
      <c r="K214" s="184"/>
      <c r="L214" s="184"/>
      <c r="M214" s="184">
        <f>192670+'[1]Arkusz1'!$K$48</f>
        <v>206710</v>
      </c>
      <c r="N214" s="184"/>
    </row>
    <row r="215" spans="1:14" s="45" customFormat="1" ht="25.5">
      <c r="A215" s="103"/>
      <c r="B215" s="78"/>
      <c r="C215" s="82">
        <v>4010</v>
      </c>
      <c r="D215" s="85" t="s">
        <v>66</v>
      </c>
      <c r="E215" s="184">
        <f t="shared" si="39"/>
        <v>3882620</v>
      </c>
      <c r="F215" s="184">
        <f t="shared" si="40"/>
        <v>3882620</v>
      </c>
      <c r="G215" s="184">
        <f>3653650+'[1]Arkusz1'!$K$49</f>
        <v>3882620</v>
      </c>
      <c r="H215" s="184"/>
      <c r="I215" s="184"/>
      <c r="J215" s="184"/>
      <c r="K215" s="184"/>
      <c r="L215" s="184"/>
      <c r="M215" s="184"/>
      <c r="N215" s="184"/>
    </row>
    <row r="216" spans="1:14" s="45" customFormat="1" ht="12.75">
      <c r="A216" s="103"/>
      <c r="B216" s="78"/>
      <c r="C216" s="82">
        <v>4040</v>
      </c>
      <c r="D216" s="85" t="s">
        <v>67</v>
      </c>
      <c r="E216" s="184">
        <f t="shared" si="39"/>
        <v>290180</v>
      </c>
      <c r="F216" s="184">
        <f t="shared" si="40"/>
        <v>290180</v>
      </c>
      <c r="G216" s="184"/>
      <c r="H216" s="184">
        <v>290180</v>
      </c>
      <c r="I216" s="184"/>
      <c r="J216" s="184"/>
      <c r="K216" s="184"/>
      <c r="L216" s="184"/>
      <c r="M216" s="184"/>
      <c r="N216" s="184"/>
    </row>
    <row r="217" spans="1:14" s="45" customFormat="1" ht="12.75">
      <c r="A217" s="103"/>
      <c r="B217" s="78"/>
      <c r="C217" s="82">
        <v>4110</v>
      </c>
      <c r="D217" s="85" t="s">
        <v>162</v>
      </c>
      <c r="E217" s="184">
        <f t="shared" si="39"/>
        <v>618534</v>
      </c>
      <c r="F217" s="184">
        <f t="shared" si="40"/>
        <v>618534</v>
      </c>
      <c r="G217" s="184"/>
      <c r="H217" s="184"/>
      <c r="I217" s="184">
        <f>580130+'[1]Arkusz1'!$K$50+1314</f>
        <v>618534</v>
      </c>
      <c r="J217" s="184"/>
      <c r="K217" s="184"/>
      <c r="L217" s="184"/>
      <c r="M217" s="184"/>
      <c r="N217" s="184"/>
    </row>
    <row r="218" spans="1:14" s="45" customFormat="1" ht="12.75">
      <c r="A218" s="103"/>
      <c r="B218" s="78"/>
      <c r="C218" s="82">
        <v>4120</v>
      </c>
      <c r="D218" s="85" t="s">
        <v>69</v>
      </c>
      <c r="E218" s="184">
        <f t="shared" si="39"/>
        <v>100770</v>
      </c>
      <c r="F218" s="184">
        <f t="shared" si="40"/>
        <v>100770</v>
      </c>
      <c r="G218" s="184"/>
      <c r="H218" s="184"/>
      <c r="I218" s="184">
        <f>94650+'[1]Arkusz1'!$K$51+210</f>
        <v>100770</v>
      </c>
      <c r="J218" s="184"/>
      <c r="K218" s="184"/>
      <c r="L218" s="184"/>
      <c r="M218" s="184"/>
      <c r="N218" s="184"/>
    </row>
    <row r="219" spans="1:14" s="45" customFormat="1" ht="12.75">
      <c r="A219" s="103"/>
      <c r="B219" s="78"/>
      <c r="C219" s="82">
        <v>4140</v>
      </c>
      <c r="D219" s="85" t="s">
        <v>171</v>
      </c>
      <c r="E219" s="184">
        <f t="shared" si="39"/>
        <v>93600</v>
      </c>
      <c r="F219" s="184">
        <f t="shared" si="40"/>
        <v>93600</v>
      </c>
      <c r="G219" s="184"/>
      <c r="H219" s="184"/>
      <c r="I219" s="184"/>
      <c r="J219" s="184"/>
      <c r="K219" s="184"/>
      <c r="L219" s="184"/>
      <c r="M219" s="184">
        <v>93600</v>
      </c>
      <c r="N219" s="184"/>
    </row>
    <row r="220" spans="1:14" s="45" customFormat="1" ht="12.75">
      <c r="A220" s="103"/>
      <c r="B220" s="78"/>
      <c r="C220" s="82">
        <v>4170</v>
      </c>
      <c r="D220" s="85" t="s">
        <v>104</v>
      </c>
      <c r="E220" s="184">
        <f t="shared" si="39"/>
        <v>133367</v>
      </c>
      <c r="F220" s="184">
        <f t="shared" si="40"/>
        <v>133367</v>
      </c>
      <c r="G220" s="184"/>
      <c r="H220" s="184"/>
      <c r="I220" s="184"/>
      <c r="J220" s="184"/>
      <c r="K220" s="184"/>
      <c r="L220" s="184"/>
      <c r="M220" s="184">
        <f>124800+8567</f>
        <v>133367</v>
      </c>
      <c r="N220" s="184"/>
    </row>
    <row r="221" spans="1:14" s="45" customFormat="1" ht="12.75">
      <c r="A221" s="103"/>
      <c r="B221" s="78"/>
      <c r="C221" s="82">
        <v>4210</v>
      </c>
      <c r="D221" s="85" t="s">
        <v>71</v>
      </c>
      <c r="E221" s="184">
        <f t="shared" si="39"/>
        <v>374076</v>
      </c>
      <c r="F221" s="184">
        <f t="shared" si="40"/>
        <v>374076</v>
      </c>
      <c r="G221" s="184"/>
      <c r="H221" s="184"/>
      <c r="I221" s="184"/>
      <c r="J221" s="184"/>
      <c r="K221" s="184"/>
      <c r="L221" s="184"/>
      <c r="M221" s="184">
        <f>365920+15000+3156-10000</f>
        <v>374076</v>
      </c>
      <c r="N221" s="184"/>
    </row>
    <row r="222" spans="1:14" s="45" customFormat="1" ht="25.5">
      <c r="A222" s="103"/>
      <c r="B222" s="78"/>
      <c r="C222" s="82">
        <v>4240</v>
      </c>
      <c r="D222" s="85" t="s">
        <v>172</v>
      </c>
      <c r="E222" s="184">
        <f t="shared" si="39"/>
        <v>20400</v>
      </c>
      <c r="F222" s="184">
        <f t="shared" si="40"/>
        <v>20400</v>
      </c>
      <c r="G222" s="184"/>
      <c r="H222" s="184"/>
      <c r="I222" s="184"/>
      <c r="J222" s="184"/>
      <c r="K222" s="184"/>
      <c r="L222" s="184"/>
      <c r="M222" s="184">
        <f>8400+12000</f>
        <v>20400</v>
      </c>
      <c r="N222" s="184"/>
    </row>
    <row r="223" spans="1:14" s="45" customFormat="1" ht="12.75">
      <c r="A223" s="103"/>
      <c r="B223" s="78"/>
      <c r="C223" s="82">
        <v>4260</v>
      </c>
      <c r="D223" s="85" t="s">
        <v>72</v>
      </c>
      <c r="E223" s="184">
        <f t="shared" si="39"/>
        <v>174870</v>
      </c>
      <c r="F223" s="184">
        <f t="shared" si="40"/>
        <v>174870</v>
      </c>
      <c r="G223" s="184"/>
      <c r="H223" s="184"/>
      <c r="I223" s="184"/>
      <c r="J223" s="184"/>
      <c r="K223" s="184"/>
      <c r="L223" s="184"/>
      <c r="M223" s="184">
        <v>174870</v>
      </c>
      <c r="N223" s="184"/>
    </row>
    <row r="224" spans="1:14" s="45" customFormat="1" ht="12.75">
      <c r="A224" s="103"/>
      <c r="B224" s="78"/>
      <c r="C224" s="82">
        <v>4270</v>
      </c>
      <c r="D224" s="85" t="s">
        <v>73</v>
      </c>
      <c r="E224" s="184">
        <f t="shared" si="39"/>
        <v>61810</v>
      </c>
      <c r="F224" s="184">
        <f t="shared" si="40"/>
        <v>61810</v>
      </c>
      <c r="G224" s="184"/>
      <c r="H224" s="184"/>
      <c r="I224" s="184"/>
      <c r="J224" s="184"/>
      <c r="K224" s="184"/>
      <c r="L224" s="184"/>
      <c r="M224" s="184">
        <f>17910+43900</f>
        <v>61810</v>
      </c>
      <c r="N224" s="184"/>
    </row>
    <row r="225" spans="1:14" s="45" customFormat="1" ht="12.75">
      <c r="A225" s="103"/>
      <c r="B225" s="78"/>
      <c r="C225" s="82">
        <v>4280</v>
      </c>
      <c r="D225" s="85" t="s">
        <v>74</v>
      </c>
      <c r="E225" s="184">
        <f t="shared" si="39"/>
        <v>8800</v>
      </c>
      <c r="F225" s="184">
        <f t="shared" si="40"/>
        <v>8800</v>
      </c>
      <c r="G225" s="184"/>
      <c r="H225" s="184"/>
      <c r="I225" s="184"/>
      <c r="J225" s="184"/>
      <c r="K225" s="184"/>
      <c r="L225" s="184"/>
      <c r="M225" s="184">
        <v>8800</v>
      </c>
      <c r="N225" s="184"/>
    </row>
    <row r="226" spans="1:14" s="45" customFormat="1" ht="12.75">
      <c r="A226" s="103"/>
      <c r="B226" s="78"/>
      <c r="C226" s="82">
        <v>4300</v>
      </c>
      <c r="D226" s="85" t="s">
        <v>115</v>
      </c>
      <c r="E226" s="184">
        <f t="shared" si="39"/>
        <v>107963</v>
      </c>
      <c r="F226" s="184">
        <f t="shared" si="40"/>
        <v>107963</v>
      </c>
      <c r="G226" s="184"/>
      <c r="H226" s="184"/>
      <c r="I226" s="184"/>
      <c r="J226" s="184"/>
      <c r="K226" s="184"/>
      <c r="L226" s="184"/>
      <c r="M226" s="184">
        <f>115660-5000+61+2000-4758</f>
        <v>107963</v>
      </c>
      <c r="N226" s="184"/>
    </row>
    <row r="227" spans="1:14" s="45" customFormat="1" ht="25.5">
      <c r="A227" s="103"/>
      <c r="B227" s="78"/>
      <c r="C227" s="82">
        <v>4350</v>
      </c>
      <c r="D227" s="85" t="s">
        <v>75</v>
      </c>
      <c r="E227" s="184">
        <f t="shared" si="39"/>
        <v>8960</v>
      </c>
      <c r="F227" s="184">
        <f t="shared" si="40"/>
        <v>8960</v>
      </c>
      <c r="G227" s="184"/>
      <c r="H227" s="184"/>
      <c r="I227" s="184"/>
      <c r="J227" s="184"/>
      <c r="K227" s="184"/>
      <c r="L227" s="184"/>
      <c r="M227" s="184">
        <v>8960</v>
      </c>
      <c r="N227" s="184"/>
    </row>
    <row r="228" spans="1:14" s="45" customFormat="1" ht="38.25">
      <c r="A228" s="103"/>
      <c r="B228" s="78"/>
      <c r="C228" s="82">
        <v>4360</v>
      </c>
      <c r="D228" s="85" t="s">
        <v>173</v>
      </c>
      <c r="E228" s="184">
        <f t="shared" si="39"/>
        <v>5120</v>
      </c>
      <c r="F228" s="184">
        <f t="shared" si="40"/>
        <v>5120</v>
      </c>
      <c r="G228" s="184"/>
      <c r="H228" s="184"/>
      <c r="I228" s="184"/>
      <c r="J228" s="184"/>
      <c r="K228" s="184"/>
      <c r="L228" s="184"/>
      <c r="M228" s="184">
        <v>5120</v>
      </c>
      <c r="N228" s="184"/>
    </row>
    <row r="229" spans="1:14" s="45" customFormat="1" ht="38.25">
      <c r="A229" s="103"/>
      <c r="B229" s="78"/>
      <c r="C229" s="82">
        <v>4370</v>
      </c>
      <c r="D229" s="85" t="s">
        <v>166</v>
      </c>
      <c r="E229" s="184">
        <f t="shared" si="39"/>
        <v>26600</v>
      </c>
      <c r="F229" s="184">
        <f t="shared" si="40"/>
        <v>26600</v>
      </c>
      <c r="G229" s="184"/>
      <c r="H229" s="184"/>
      <c r="I229" s="184"/>
      <c r="J229" s="184"/>
      <c r="K229" s="184"/>
      <c r="L229" s="184"/>
      <c r="M229" s="184">
        <v>26600</v>
      </c>
      <c r="N229" s="184"/>
    </row>
    <row r="230" spans="1:14" s="45" customFormat="1" ht="12.75">
      <c r="A230" s="103"/>
      <c r="B230" s="78"/>
      <c r="C230" s="82">
        <v>4410</v>
      </c>
      <c r="D230" s="85" t="s">
        <v>80</v>
      </c>
      <c r="E230" s="184">
        <f t="shared" si="39"/>
        <v>8920</v>
      </c>
      <c r="F230" s="184">
        <f t="shared" si="40"/>
        <v>8920</v>
      </c>
      <c r="G230" s="184"/>
      <c r="H230" s="184"/>
      <c r="I230" s="184"/>
      <c r="J230" s="184"/>
      <c r="K230" s="184"/>
      <c r="L230" s="184"/>
      <c r="M230" s="184">
        <v>8920</v>
      </c>
      <c r="N230" s="184"/>
    </row>
    <row r="231" spans="1:14" s="45" customFormat="1" ht="12.75">
      <c r="A231" s="103"/>
      <c r="B231" s="78"/>
      <c r="C231" s="82">
        <v>4430</v>
      </c>
      <c r="D231" s="85" t="s">
        <v>81</v>
      </c>
      <c r="E231" s="184">
        <f t="shared" si="39"/>
        <v>23703</v>
      </c>
      <c r="F231" s="184">
        <f t="shared" si="40"/>
        <v>23703</v>
      </c>
      <c r="G231" s="184"/>
      <c r="H231" s="184"/>
      <c r="I231" s="184"/>
      <c r="J231" s="184"/>
      <c r="K231" s="184"/>
      <c r="L231" s="184"/>
      <c r="M231" s="184">
        <f>23480+'[1]Arkusz1'!$K$52</f>
        <v>23703</v>
      </c>
      <c r="N231" s="184"/>
    </row>
    <row r="232" spans="1:14" s="45" customFormat="1" ht="25.5">
      <c r="A232" s="103"/>
      <c r="B232" s="78"/>
      <c r="C232" s="82">
        <v>4440</v>
      </c>
      <c r="D232" s="85" t="s">
        <v>82</v>
      </c>
      <c r="E232" s="184">
        <f t="shared" si="39"/>
        <v>211250</v>
      </c>
      <c r="F232" s="184">
        <f t="shared" si="40"/>
        <v>211250</v>
      </c>
      <c r="G232" s="184"/>
      <c r="H232" s="184"/>
      <c r="I232" s="184"/>
      <c r="J232" s="184"/>
      <c r="K232" s="184"/>
      <c r="L232" s="184"/>
      <c r="M232" s="184">
        <f>211250</f>
        <v>211250</v>
      </c>
      <c r="N232" s="184"/>
    </row>
    <row r="233" spans="1:14" s="45" customFormat="1" ht="12.75">
      <c r="A233" s="103"/>
      <c r="B233" s="78"/>
      <c r="C233" s="82">
        <v>4510</v>
      </c>
      <c r="D233" s="85" t="s">
        <v>361</v>
      </c>
      <c r="E233" s="184">
        <f t="shared" si="39"/>
        <v>500</v>
      </c>
      <c r="F233" s="184">
        <f t="shared" si="40"/>
        <v>500</v>
      </c>
      <c r="G233" s="184"/>
      <c r="H233" s="184"/>
      <c r="I233" s="184"/>
      <c r="J233" s="184"/>
      <c r="K233" s="184"/>
      <c r="L233" s="184"/>
      <c r="M233" s="184">
        <v>500</v>
      </c>
      <c r="N233" s="184"/>
    </row>
    <row r="234" spans="1:14" s="45" customFormat="1" ht="12.75">
      <c r="A234" s="103"/>
      <c r="B234" s="78"/>
      <c r="C234" s="82">
        <v>4480</v>
      </c>
      <c r="D234" s="85" t="s">
        <v>174</v>
      </c>
      <c r="E234" s="184">
        <f t="shared" si="39"/>
        <v>2907</v>
      </c>
      <c r="F234" s="184">
        <f t="shared" si="40"/>
        <v>2907</v>
      </c>
      <c r="G234" s="184"/>
      <c r="H234" s="184"/>
      <c r="I234" s="184"/>
      <c r="J234" s="184"/>
      <c r="K234" s="184"/>
      <c r="L234" s="184"/>
      <c r="M234" s="184">
        <f>3130-223</f>
        <v>2907</v>
      </c>
      <c r="N234" s="184"/>
    </row>
    <row r="235" spans="1:14" s="45" customFormat="1" ht="38.25">
      <c r="A235" s="103"/>
      <c r="B235" s="78"/>
      <c r="C235" s="82">
        <v>4500</v>
      </c>
      <c r="D235" s="85" t="s">
        <v>135</v>
      </c>
      <c r="E235" s="184">
        <f t="shared" si="39"/>
        <v>758</v>
      </c>
      <c r="F235" s="184">
        <f t="shared" si="40"/>
        <v>758</v>
      </c>
      <c r="G235" s="184"/>
      <c r="H235" s="184"/>
      <c r="I235" s="184"/>
      <c r="J235" s="184"/>
      <c r="K235" s="184"/>
      <c r="L235" s="184"/>
      <c r="M235" s="184">
        <v>758</v>
      </c>
      <c r="N235" s="184"/>
    </row>
    <row r="236" spans="1:14" s="45" customFormat="1" ht="38.25">
      <c r="A236" s="103"/>
      <c r="B236" s="78"/>
      <c r="C236" s="82">
        <v>4700</v>
      </c>
      <c r="D236" s="85" t="s">
        <v>323</v>
      </c>
      <c r="E236" s="184">
        <f t="shared" si="39"/>
        <v>7970</v>
      </c>
      <c r="F236" s="184">
        <f t="shared" si="40"/>
        <v>7970</v>
      </c>
      <c r="G236" s="184"/>
      <c r="H236" s="184"/>
      <c r="I236" s="184"/>
      <c r="J236" s="184"/>
      <c r="K236" s="184"/>
      <c r="L236" s="184"/>
      <c r="M236" s="184">
        <v>7970</v>
      </c>
      <c r="N236" s="184"/>
    </row>
    <row r="237" spans="1:14" s="45" customFormat="1" ht="38.25">
      <c r="A237" s="103"/>
      <c r="B237" s="78"/>
      <c r="C237" s="82">
        <v>4740</v>
      </c>
      <c r="D237" s="85" t="s">
        <v>107</v>
      </c>
      <c r="E237" s="184">
        <f t="shared" si="39"/>
        <v>10750</v>
      </c>
      <c r="F237" s="184">
        <f t="shared" si="40"/>
        <v>10750</v>
      </c>
      <c r="G237" s="184"/>
      <c r="H237" s="184"/>
      <c r="I237" s="184"/>
      <c r="J237" s="184"/>
      <c r="K237" s="184"/>
      <c r="L237" s="184"/>
      <c r="M237" s="184">
        <v>10750</v>
      </c>
      <c r="N237" s="184"/>
    </row>
    <row r="238" spans="1:14" s="45" customFormat="1" ht="25.5">
      <c r="A238" s="103"/>
      <c r="B238" s="78"/>
      <c r="C238" s="82">
        <v>4750</v>
      </c>
      <c r="D238" s="85" t="s">
        <v>167</v>
      </c>
      <c r="E238" s="184">
        <f t="shared" si="39"/>
        <v>25003</v>
      </c>
      <c r="F238" s="184">
        <f t="shared" si="40"/>
        <v>25003</v>
      </c>
      <c r="G238" s="184"/>
      <c r="H238" s="184"/>
      <c r="I238" s="184"/>
      <c r="J238" s="184"/>
      <c r="K238" s="184"/>
      <c r="L238" s="184"/>
      <c r="M238" s="184">
        <f>15580+5000+423+4000</f>
        <v>25003</v>
      </c>
      <c r="N238" s="184"/>
    </row>
    <row r="239" spans="1:14" s="45" customFormat="1" ht="25.5">
      <c r="A239" s="103"/>
      <c r="B239" s="78"/>
      <c r="C239" s="82">
        <v>4610</v>
      </c>
      <c r="D239" s="85" t="s">
        <v>136</v>
      </c>
      <c r="E239" s="184">
        <f t="shared" si="39"/>
        <v>1740</v>
      </c>
      <c r="F239" s="184">
        <f t="shared" si="40"/>
        <v>1740</v>
      </c>
      <c r="G239" s="184"/>
      <c r="H239" s="184"/>
      <c r="I239" s="184"/>
      <c r="J239" s="184"/>
      <c r="K239" s="184"/>
      <c r="L239" s="184"/>
      <c r="M239" s="184">
        <v>1740</v>
      </c>
      <c r="N239" s="184"/>
    </row>
    <row r="240" spans="1:14" s="45" customFormat="1" ht="25.5">
      <c r="A240" s="103"/>
      <c r="B240" s="78"/>
      <c r="C240" s="82">
        <v>6050</v>
      </c>
      <c r="D240" s="93" t="s">
        <v>86</v>
      </c>
      <c r="E240" s="184">
        <f t="shared" si="39"/>
        <v>150000</v>
      </c>
      <c r="F240" s="184">
        <f t="shared" si="40"/>
        <v>0</v>
      </c>
      <c r="G240" s="184"/>
      <c r="H240" s="184"/>
      <c r="I240" s="184"/>
      <c r="J240" s="184"/>
      <c r="K240" s="184"/>
      <c r="L240" s="184"/>
      <c r="M240" s="184"/>
      <c r="N240" s="184">
        <v>150000</v>
      </c>
    </row>
    <row r="241" spans="1:14" s="45" customFormat="1" ht="25.5">
      <c r="A241" s="103"/>
      <c r="B241" s="78"/>
      <c r="C241" s="82">
        <v>6060</v>
      </c>
      <c r="D241" s="93" t="s">
        <v>325</v>
      </c>
      <c r="E241" s="184">
        <f t="shared" si="39"/>
        <v>0</v>
      </c>
      <c r="F241" s="184">
        <f t="shared" si="40"/>
        <v>0</v>
      </c>
      <c r="G241" s="184"/>
      <c r="H241" s="184"/>
      <c r="I241" s="184"/>
      <c r="J241" s="184"/>
      <c r="K241" s="184"/>
      <c r="L241" s="184"/>
      <c r="M241" s="184"/>
      <c r="N241" s="184">
        <v>0</v>
      </c>
    </row>
    <row r="242" spans="1:14" s="76" customFormat="1" ht="12.75">
      <c r="A242" s="114"/>
      <c r="B242" s="83">
        <v>80132</v>
      </c>
      <c r="C242" s="86"/>
      <c r="D242" s="90" t="s">
        <v>175</v>
      </c>
      <c r="E242" s="195">
        <f t="shared" si="39"/>
        <v>1033910</v>
      </c>
      <c r="F242" s="195">
        <f t="shared" si="40"/>
        <v>1033910</v>
      </c>
      <c r="G242" s="195">
        <f aca="true" t="shared" si="42" ref="G242:N242">SUM(G243:G264)</f>
        <v>645930</v>
      </c>
      <c r="H242" s="195">
        <f t="shared" si="42"/>
        <v>44640</v>
      </c>
      <c r="I242" s="195">
        <f t="shared" si="42"/>
        <v>111910</v>
      </c>
      <c r="J242" s="195">
        <f t="shared" si="42"/>
        <v>0</v>
      </c>
      <c r="K242" s="195">
        <f t="shared" si="42"/>
        <v>0</v>
      </c>
      <c r="L242" s="195">
        <f t="shared" si="42"/>
        <v>0</v>
      </c>
      <c r="M242" s="195">
        <f t="shared" si="42"/>
        <v>231430</v>
      </c>
      <c r="N242" s="195">
        <f t="shared" si="42"/>
        <v>0</v>
      </c>
    </row>
    <row r="243" spans="1:14" s="45" customFormat="1" ht="25.5">
      <c r="A243" s="103"/>
      <c r="B243" s="78"/>
      <c r="C243" s="82">
        <v>3020</v>
      </c>
      <c r="D243" s="85" t="s">
        <v>324</v>
      </c>
      <c r="E243" s="184">
        <f t="shared" si="39"/>
        <v>17400</v>
      </c>
      <c r="F243" s="184">
        <f t="shared" si="40"/>
        <v>17400</v>
      </c>
      <c r="G243" s="184"/>
      <c r="H243" s="184"/>
      <c r="I243" s="184"/>
      <c r="J243" s="184"/>
      <c r="K243" s="184"/>
      <c r="L243" s="184"/>
      <c r="M243" s="184">
        <f>15900+1500</f>
        <v>17400</v>
      </c>
      <c r="N243" s="184"/>
    </row>
    <row r="244" spans="1:14" s="45" customFormat="1" ht="25.5">
      <c r="A244" s="103"/>
      <c r="B244" s="78"/>
      <c r="C244" s="82">
        <v>4010</v>
      </c>
      <c r="D244" s="85" t="s">
        <v>66</v>
      </c>
      <c r="E244" s="184">
        <f t="shared" si="39"/>
        <v>645930</v>
      </c>
      <c r="F244" s="184">
        <f t="shared" si="40"/>
        <v>645930</v>
      </c>
      <c r="G244" s="184">
        <f>603380+'[1]Arkusz1'!$K$56</f>
        <v>645930</v>
      </c>
      <c r="H244" s="184"/>
      <c r="I244" s="184"/>
      <c r="J244" s="184"/>
      <c r="K244" s="184"/>
      <c r="L244" s="184"/>
      <c r="M244" s="184"/>
      <c r="N244" s="184"/>
    </row>
    <row r="245" spans="1:14" s="45" customFormat="1" ht="12.75">
      <c r="A245" s="103"/>
      <c r="B245" s="78"/>
      <c r="C245" s="82">
        <v>4040</v>
      </c>
      <c r="D245" s="85" t="s">
        <v>67</v>
      </c>
      <c r="E245" s="184">
        <f t="shared" si="39"/>
        <v>44640</v>
      </c>
      <c r="F245" s="184">
        <f t="shared" si="40"/>
        <v>44640</v>
      </c>
      <c r="G245" s="184"/>
      <c r="H245" s="184">
        <v>44640</v>
      </c>
      <c r="I245" s="184"/>
      <c r="J245" s="184"/>
      <c r="K245" s="184"/>
      <c r="L245" s="184"/>
      <c r="M245" s="184"/>
      <c r="N245" s="184"/>
    </row>
    <row r="246" spans="1:14" s="45" customFormat="1" ht="12.75">
      <c r="A246" s="103"/>
      <c r="B246" s="78"/>
      <c r="C246" s="82">
        <v>4110</v>
      </c>
      <c r="D246" s="85" t="s">
        <v>162</v>
      </c>
      <c r="E246" s="184">
        <f t="shared" si="39"/>
        <v>95170</v>
      </c>
      <c r="F246" s="184">
        <f t="shared" si="40"/>
        <v>95170</v>
      </c>
      <c r="G246" s="184"/>
      <c r="H246" s="184"/>
      <c r="I246" s="184">
        <f>88910+'[1]Arkusz1'!$K$57</f>
        <v>95170</v>
      </c>
      <c r="J246" s="184"/>
      <c r="K246" s="184"/>
      <c r="L246" s="184"/>
      <c r="M246" s="184"/>
      <c r="N246" s="184"/>
    </row>
    <row r="247" spans="1:14" s="45" customFormat="1" ht="12.75">
      <c r="A247" s="103"/>
      <c r="B247" s="78"/>
      <c r="C247" s="82">
        <v>4120</v>
      </c>
      <c r="D247" s="85" t="s">
        <v>69</v>
      </c>
      <c r="E247" s="184">
        <f t="shared" si="39"/>
        <v>16740</v>
      </c>
      <c r="F247" s="184">
        <f t="shared" si="40"/>
        <v>16740</v>
      </c>
      <c r="G247" s="184"/>
      <c r="H247" s="184"/>
      <c r="I247" s="184">
        <f>15550+'[1]Arkusz1'!$K$58</f>
        <v>16740</v>
      </c>
      <c r="J247" s="184"/>
      <c r="K247" s="184"/>
      <c r="L247" s="184"/>
      <c r="M247" s="184"/>
      <c r="N247" s="184"/>
    </row>
    <row r="248" spans="1:14" s="45" customFormat="1" ht="12.75">
      <c r="A248" s="103"/>
      <c r="B248" s="78"/>
      <c r="C248" s="82">
        <v>4170</v>
      </c>
      <c r="D248" s="85" t="s">
        <v>104</v>
      </c>
      <c r="E248" s="184">
        <f t="shared" si="39"/>
        <v>2670</v>
      </c>
      <c r="F248" s="184">
        <f t="shared" si="40"/>
        <v>2670</v>
      </c>
      <c r="G248" s="184"/>
      <c r="H248" s="184"/>
      <c r="I248" s="184"/>
      <c r="J248" s="184"/>
      <c r="K248" s="184"/>
      <c r="L248" s="184"/>
      <c r="M248" s="184">
        <v>2670</v>
      </c>
      <c r="N248" s="184"/>
    </row>
    <row r="249" spans="1:14" s="45" customFormat="1" ht="12.75">
      <c r="A249" s="103"/>
      <c r="B249" s="78"/>
      <c r="C249" s="82">
        <v>4210</v>
      </c>
      <c r="D249" s="85" t="s">
        <v>71</v>
      </c>
      <c r="E249" s="184">
        <f t="shared" si="39"/>
        <v>23470</v>
      </c>
      <c r="F249" s="184">
        <f t="shared" si="40"/>
        <v>23470</v>
      </c>
      <c r="G249" s="184"/>
      <c r="H249" s="184"/>
      <c r="I249" s="184"/>
      <c r="J249" s="184"/>
      <c r="K249" s="184"/>
      <c r="L249" s="184"/>
      <c r="M249" s="184">
        <v>23470</v>
      </c>
      <c r="N249" s="184"/>
    </row>
    <row r="250" spans="1:14" s="45" customFormat="1" ht="25.5">
      <c r="A250" s="103"/>
      <c r="B250" s="81"/>
      <c r="C250" s="82">
        <v>4240</v>
      </c>
      <c r="D250" s="85" t="s">
        <v>172</v>
      </c>
      <c r="E250" s="184">
        <f t="shared" si="39"/>
        <v>50000</v>
      </c>
      <c r="F250" s="184">
        <f t="shared" si="40"/>
        <v>50000</v>
      </c>
      <c r="G250" s="184"/>
      <c r="H250" s="184"/>
      <c r="I250" s="184"/>
      <c r="J250" s="184"/>
      <c r="K250" s="184"/>
      <c r="L250" s="184"/>
      <c r="M250" s="184">
        <v>50000</v>
      </c>
      <c r="N250" s="184"/>
    </row>
    <row r="251" spans="1:14" s="45" customFormat="1" ht="12.75">
      <c r="A251" s="103"/>
      <c r="B251" s="78"/>
      <c r="C251" s="82">
        <v>4260</v>
      </c>
      <c r="D251" s="85" t="s">
        <v>72</v>
      </c>
      <c r="E251" s="184">
        <f t="shared" si="39"/>
        <v>12200</v>
      </c>
      <c r="F251" s="184">
        <f t="shared" si="40"/>
        <v>12200</v>
      </c>
      <c r="G251" s="184"/>
      <c r="H251" s="184"/>
      <c r="I251" s="184"/>
      <c r="J251" s="184"/>
      <c r="K251" s="184"/>
      <c r="L251" s="184"/>
      <c r="M251" s="184">
        <v>12200</v>
      </c>
      <c r="N251" s="184"/>
    </row>
    <row r="252" spans="1:14" s="45" customFormat="1" ht="12.75">
      <c r="A252" s="103"/>
      <c r="B252" s="78"/>
      <c r="C252" s="82">
        <v>4270</v>
      </c>
      <c r="D252" s="85" t="s">
        <v>73</v>
      </c>
      <c r="E252" s="184">
        <f t="shared" si="39"/>
        <v>24090</v>
      </c>
      <c r="F252" s="184">
        <f t="shared" si="40"/>
        <v>24090</v>
      </c>
      <c r="G252" s="184"/>
      <c r="H252" s="184"/>
      <c r="I252" s="184"/>
      <c r="J252" s="184"/>
      <c r="K252" s="184"/>
      <c r="L252" s="184"/>
      <c r="M252" s="184">
        <v>24090</v>
      </c>
      <c r="N252" s="184"/>
    </row>
    <row r="253" spans="1:14" s="45" customFormat="1" ht="12.75">
      <c r="A253" s="103"/>
      <c r="B253" s="78"/>
      <c r="C253" s="82">
        <v>4280</v>
      </c>
      <c r="D253" s="85" t="s">
        <v>74</v>
      </c>
      <c r="E253" s="184">
        <f t="shared" si="39"/>
        <v>630</v>
      </c>
      <c r="F253" s="184">
        <f t="shared" si="40"/>
        <v>630</v>
      </c>
      <c r="G253" s="184"/>
      <c r="H253" s="184"/>
      <c r="I253" s="184"/>
      <c r="J253" s="184"/>
      <c r="K253" s="184"/>
      <c r="L253" s="184"/>
      <c r="M253" s="184">
        <v>630</v>
      </c>
      <c r="N253" s="184"/>
    </row>
    <row r="254" spans="1:14" s="45" customFormat="1" ht="12.75">
      <c r="A254" s="103"/>
      <c r="B254" s="78"/>
      <c r="C254" s="82">
        <v>4300</v>
      </c>
      <c r="D254" s="85" t="s">
        <v>115</v>
      </c>
      <c r="E254" s="184">
        <f t="shared" si="39"/>
        <v>4807</v>
      </c>
      <c r="F254" s="184">
        <f t="shared" si="40"/>
        <v>4807</v>
      </c>
      <c r="G254" s="184"/>
      <c r="H254" s="184"/>
      <c r="I254" s="184"/>
      <c r="J254" s="184"/>
      <c r="K254" s="184"/>
      <c r="L254" s="184"/>
      <c r="M254" s="184">
        <f>4740+67</f>
        <v>4807</v>
      </c>
      <c r="N254" s="184"/>
    </row>
    <row r="255" spans="1:14" s="45" customFormat="1" ht="25.5">
      <c r="A255" s="103"/>
      <c r="B255" s="78"/>
      <c r="C255" s="82">
        <v>4350</v>
      </c>
      <c r="D255" s="85" t="s">
        <v>75</v>
      </c>
      <c r="E255" s="184">
        <f t="shared" si="39"/>
        <v>2250</v>
      </c>
      <c r="F255" s="184">
        <f t="shared" si="40"/>
        <v>2250</v>
      </c>
      <c r="G255" s="184"/>
      <c r="H255" s="184"/>
      <c r="I255" s="184"/>
      <c r="J255" s="184"/>
      <c r="K255" s="184"/>
      <c r="L255" s="184"/>
      <c r="M255" s="184">
        <v>2250</v>
      </c>
      <c r="N255" s="184"/>
    </row>
    <row r="256" spans="1:14" s="45" customFormat="1" ht="38.25">
      <c r="A256" s="103"/>
      <c r="B256" s="78"/>
      <c r="C256" s="82">
        <v>4370</v>
      </c>
      <c r="D256" s="85" t="s">
        <v>166</v>
      </c>
      <c r="E256" s="184">
        <f t="shared" si="39"/>
        <v>4710</v>
      </c>
      <c r="F256" s="184">
        <f t="shared" si="40"/>
        <v>4710</v>
      </c>
      <c r="G256" s="184"/>
      <c r="H256" s="184"/>
      <c r="I256" s="184"/>
      <c r="J256" s="184"/>
      <c r="K256" s="184"/>
      <c r="L256" s="184"/>
      <c r="M256" s="184">
        <v>4710</v>
      </c>
      <c r="N256" s="184"/>
    </row>
    <row r="257" spans="1:14" s="45" customFormat="1" ht="38.25">
      <c r="A257" s="103"/>
      <c r="B257" s="78"/>
      <c r="C257" s="82">
        <v>4400</v>
      </c>
      <c r="D257" s="85" t="s">
        <v>375</v>
      </c>
      <c r="E257" s="184">
        <f t="shared" si="39"/>
        <v>37450</v>
      </c>
      <c r="F257" s="184">
        <f t="shared" si="40"/>
        <v>37450</v>
      </c>
      <c r="G257" s="184"/>
      <c r="H257" s="184"/>
      <c r="I257" s="184"/>
      <c r="J257" s="184"/>
      <c r="K257" s="184"/>
      <c r="L257" s="184"/>
      <c r="M257" s="184">
        <v>37450</v>
      </c>
      <c r="N257" s="184"/>
    </row>
    <row r="258" spans="1:14" s="45" customFormat="1" ht="12.75">
      <c r="A258" s="103"/>
      <c r="B258" s="78"/>
      <c r="C258" s="82">
        <v>4410</v>
      </c>
      <c r="D258" s="85" t="s">
        <v>80</v>
      </c>
      <c r="E258" s="184">
        <f t="shared" si="39"/>
        <v>3760</v>
      </c>
      <c r="F258" s="184">
        <f t="shared" si="40"/>
        <v>3760</v>
      </c>
      <c r="G258" s="184"/>
      <c r="H258" s="184"/>
      <c r="I258" s="184"/>
      <c r="J258" s="184"/>
      <c r="K258" s="184"/>
      <c r="L258" s="184"/>
      <c r="M258" s="184">
        <v>3760</v>
      </c>
      <c r="N258" s="184"/>
    </row>
    <row r="259" spans="1:14" s="45" customFormat="1" ht="12.75">
      <c r="A259" s="103"/>
      <c r="B259" s="78"/>
      <c r="C259" s="82">
        <v>4430</v>
      </c>
      <c r="D259" s="85" t="s">
        <v>81</v>
      </c>
      <c r="E259" s="184">
        <f t="shared" si="39"/>
        <v>410</v>
      </c>
      <c r="F259" s="184">
        <f t="shared" si="40"/>
        <v>410</v>
      </c>
      <c r="G259" s="184"/>
      <c r="H259" s="184"/>
      <c r="I259" s="184"/>
      <c r="J259" s="184"/>
      <c r="K259" s="184"/>
      <c r="L259" s="184"/>
      <c r="M259" s="184">
        <v>410</v>
      </c>
      <c r="N259" s="184"/>
    </row>
    <row r="260" spans="1:14" s="45" customFormat="1" ht="25.5">
      <c r="A260" s="103"/>
      <c r="B260" s="78"/>
      <c r="C260" s="82">
        <v>4440</v>
      </c>
      <c r="D260" s="85" t="s">
        <v>82</v>
      </c>
      <c r="E260" s="184">
        <f t="shared" si="39"/>
        <v>42900</v>
      </c>
      <c r="F260" s="184">
        <f t="shared" si="40"/>
        <v>42900</v>
      </c>
      <c r="G260" s="184"/>
      <c r="H260" s="184"/>
      <c r="I260" s="184"/>
      <c r="J260" s="184"/>
      <c r="K260" s="184"/>
      <c r="L260" s="184"/>
      <c r="M260" s="184">
        <v>42900</v>
      </c>
      <c r="N260" s="184"/>
    </row>
    <row r="261" spans="1:14" s="45" customFormat="1" ht="12.75">
      <c r="A261" s="103"/>
      <c r="B261" s="78"/>
      <c r="C261" s="82">
        <v>4510</v>
      </c>
      <c r="D261" s="85" t="s">
        <v>361</v>
      </c>
      <c r="E261" s="184">
        <f t="shared" si="39"/>
        <v>200</v>
      </c>
      <c r="F261" s="184">
        <f t="shared" si="40"/>
        <v>200</v>
      </c>
      <c r="G261" s="184"/>
      <c r="H261" s="184"/>
      <c r="I261" s="184"/>
      <c r="J261" s="184"/>
      <c r="K261" s="184"/>
      <c r="L261" s="184"/>
      <c r="M261" s="184">
        <v>200</v>
      </c>
      <c r="N261" s="184"/>
    </row>
    <row r="262" spans="1:14" s="45" customFormat="1" ht="38.25">
      <c r="A262" s="103"/>
      <c r="B262" s="78"/>
      <c r="C262" s="82">
        <v>4700</v>
      </c>
      <c r="D262" s="85" t="s">
        <v>323</v>
      </c>
      <c r="E262" s="184">
        <f t="shared" si="39"/>
        <v>1980</v>
      </c>
      <c r="F262" s="184">
        <f t="shared" si="40"/>
        <v>1980</v>
      </c>
      <c r="G262" s="184"/>
      <c r="H262" s="184"/>
      <c r="I262" s="184"/>
      <c r="J262" s="184"/>
      <c r="K262" s="184"/>
      <c r="L262" s="184"/>
      <c r="M262" s="184">
        <v>1980</v>
      </c>
      <c r="N262" s="184"/>
    </row>
    <row r="263" spans="1:14" s="45" customFormat="1" ht="38.25">
      <c r="A263" s="103"/>
      <c r="B263" s="78"/>
      <c r="C263" s="82">
        <v>4740</v>
      </c>
      <c r="D263" s="85" t="s">
        <v>107</v>
      </c>
      <c r="E263" s="184">
        <f t="shared" si="39"/>
        <v>1040</v>
      </c>
      <c r="F263" s="184">
        <f t="shared" si="40"/>
        <v>1040</v>
      </c>
      <c r="G263" s="184"/>
      <c r="H263" s="184"/>
      <c r="I263" s="184"/>
      <c r="J263" s="184"/>
      <c r="K263" s="184"/>
      <c r="L263" s="184"/>
      <c r="M263" s="184">
        <v>1040</v>
      </c>
      <c r="N263" s="184"/>
    </row>
    <row r="264" spans="1:14" s="45" customFormat="1" ht="25.5">
      <c r="A264" s="103"/>
      <c r="B264" s="78"/>
      <c r="C264" s="82">
        <v>4750</v>
      </c>
      <c r="D264" s="85" t="s">
        <v>167</v>
      </c>
      <c r="E264" s="184">
        <f t="shared" si="39"/>
        <v>1463</v>
      </c>
      <c r="F264" s="184">
        <f t="shared" si="40"/>
        <v>1463</v>
      </c>
      <c r="G264" s="184"/>
      <c r="H264" s="184"/>
      <c r="I264" s="184"/>
      <c r="J264" s="184"/>
      <c r="K264" s="184"/>
      <c r="L264" s="184"/>
      <c r="M264" s="184">
        <f>1040+423</f>
        <v>1463</v>
      </c>
      <c r="N264" s="184"/>
    </row>
    <row r="265" spans="1:14" s="45" customFormat="1" ht="25.5">
      <c r="A265" s="103"/>
      <c r="B265" s="78"/>
      <c r="C265" s="82">
        <v>6060</v>
      </c>
      <c r="D265" s="85" t="s">
        <v>325</v>
      </c>
      <c r="E265" s="184"/>
      <c r="F265" s="184"/>
      <c r="G265" s="184"/>
      <c r="H265" s="184"/>
      <c r="I265" s="184"/>
      <c r="J265" s="184"/>
      <c r="K265" s="184"/>
      <c r="L265" s="184"/>
      <c r="M265" s="184"/>
      <c r="N265" s="184"/>
    </row>
    <row r="266" spans="1:14" s="76" customFormat="1" ht="12.75">
      <c r="A266" s="114"/>
      <c r="B266" s="83">
        <v>80134</v>
      </c>
      <c r="C266" s="86"/>
      <c r="D266" s="90" t="s">
        <v>176</v>
      </c>
      <c r="E266" s="195">
        <f t="shared" si="39"/>
        <v>381930</v>
      </c>
      <c r="F266" s="195">
        <f t="shared" si="40"/>
        <v>381930</v>
      </c>
      <c r="G266" s="195">
        <f>SUM(G267:G272)</f>
        <v>290800</v>
      </c>
      <c r="H266" s="195">
        <f aca="true" t="shared" si="43" ref="H266:N266">SUM(H267:H272)</f>
        <v>24300</v>
      </c>
      <c r="I266" s="195">
        <f t="shared" si="43"/>
        <v>51290</v>
      </c>
      <c r="J266" s="195">
        <f t="shared" si="43"/>
        <v>0</v>
      </c>
      <c r="K266" s="195">
        <f t="shared" si="43"/>
        <v>0</v>
      </c>
      <c r="L266" s="195">
        <f t="shared" si="43"/>
        <v>0</v>
      </c>
      <c r="M266" s="195">
        <f t="shared" si="43"/>
        <v>15540</v>
      </c>
      <c r="N266" s="195">
        <f t="shared" si="43"/>
        <v>0</v>
      </c>
    </row>
    <row r="267" spans="1:14" s="45" customFormat="1" ht="25.5">
      <c r="A267" s="103"/>
      <c r="B267" s="78"/>
      <c r="C267" s="82">
        <v>3020</v>
      </c>
      <c r="D267" s="85" t="s">
        <v>324</v>
      </c>
      <c r="E267" s="184">
        <f t="shared" si="39"/>
        <v>800</v>
      </c>
      <c r="F267" s="184">
        <f t="shared" si="40"/>
        <v>800</v>
      </c>
      <c r="G267" s="184"/>
      <c r="H267" s="184"/>
      <c r="I267" s="184"/>
      <c r="J267" s="184"/>
      <c r="K267" s="184"/>
      <c r="L267" s="184"/>
      <c r="M267" s="184">
        <v>800</v>
      </c>
      <c r="N267" s="184"/>
    </row>
    <row r="268" spans="1:14" s="45" customFormat="1" ht="25.5">
      <c r="A268" s="103"/>
      <c r="B268" s="78"/>
      <c r="C268" s="82">
        <v>4010</v>
      </c>
      <c r="D268" s="85" t="s">
        <v>66</v>
      </c>
      <c r="E268" s="184">
        <f t="shared" si="39"/>
        <v>290800</v>
      </c>
      <c r="F268" s="184">
        <f t="shared" si="40"/>
        <v>290800</v>
      </c>
      <c r="G268" s="184">
        <f>267760+'[1]Arkusz1'!$K$60</f>
        <v>290800</v>
      </c>
      <c r="H268" s="184"/>
      <c r="I268" s="184"/>
      <c r="J268" s="184"/>
      <c r="K268" s="184"/>
      <c r="L268" s="184"/>
      <c r="M268" s="184"/>
      <c r="N268" s="184"/>
    </row>
    <row r="269" spans="1:14" s="45" customFormat="1" ht="12.75">
      <c r="A269" s="103"/>
      <c r="B269" s="78"/>
      <c r="C269" s="82">
        <v>4040</v>
      </c>
      <c r="D269" s="85" t="s">
        <v>67</v>
      </c>
      <c r="E269" s="184">
        <f t="shared" si="39"/>
        <v>24300</v>
      </c>
      <c r="F269" s="184">
        <f t="shared" si="40"/>
        <v>24300</v>
      </c>
      <c r="G269" s="184"/>
      <c r="H269" s="184">
        <v>24300</v>
      </c>
      <c r="I269" s="184"/>
      <c r="J269" s="184"/>
      <c r="K269" s="184"/>
      <c r="L269" s="184"/>
      <c r="M269" s="184"/>
      <c r="N269" s="184"/>
    </row>
    <row r="270" spans="1:14" s="45" customFormat="1" ht="12.75">
      <c r="A270" s="103"/>
      <c r="B270" s="78"/>
      <c r="C270" s="82">
        <v>4110</v>
      </c>
      <c r="D270" s="85" t="s">
        <v>162</v>
      </c>
      <c r="E270" s="184">
        <f t="shared" si="39"/>
        <v>43720</v>
      </c>
      <c r="F270" s="184">
        <f t="shared" si="40"/>
        <v>43720</v>
      </c>
      <c r="G270" s="184"/>
      <c r="H270" s="184"/>
      <c r="I270" s="184">
        <f>40420+'[1]Arkusz1'!$K$61</f>
        <v>43720</v>
      </c>
      <c r="J270" s="184"/>
      <c r="K270" s="184"/>
      <c r="L270" s="184"/>
      <c r="M270" s="184"/>
      <c r="N270" s="184"/>
    </row>
    <row r="271" spans="1:14" s="45" customFormat="1" ht="12.75">
      <c r="A271" s="103"/>
      <c r="B271" s="78"/>
      <c r="C271" s="82">
        <v>4120</v>
      </c>
      <c r="D271" s="85" t="s">
        <v>69</v>
      </c>
      <c r="E271" s="184">
        <f t="shared" si="39"/>
        <v>7570</v>
      </c>
      <c r="F271" s="184">
        <f t="shared" si="40"/>
        <v>7570</v>
      </c>
      <c r="G271" s="184"/>
      <c r="H271" s="184"/>
      <c r="I271" s="184">
        <f>7010+'[1]Arkusz1'!$K$62</f>
        <v>7570</v>
      </c>
      <c r="J271" s="184"/>
      <c r="K271" s="184"/>
      <c r="L271" s="184"/>
      <c r="M271" s="184"/>
      <c r="N271" s="184"/>
    </row>
    <row r="272" spans="1:14" s="45" customFormat="1" ht="25.5">
      <c r="A272" s="103"/>
      <c r="B272" s="78"/>
      <c r="C272" s="82">
        <v>4440</v>
      </c>
      <c r="D272" s="85" t="s">
        <v>82</v>
      </c>
      <c r="E272" s="184">
        <f>F272+N272</f>
        <v>14740</v>
      </c>
      <c r="F272" s="184">
        <f>SUM(G272:M272)</f>
        <v>14740</v>
      </c>
      <c r="G272" s="184"/>
      <c r="H272" s="184"/>
      <c r="I272" s="184"/>
      <c r="J272" s="184"/>
      <c r="K272" s="184"/>
      <c r="L272" s="184"/>
      <c r="M272" s="184">
        <v>14740</v>
      </c>
      <c r="N272" s="184"/>
    </row>
    <row r="273" spans="1:14" s="76" customFormat="1" ht="25.5">
      <c r="A273" s="114"/>
      <c r="B273" s="83">
        <v>80146</v>
      </c>
      <c r="C273" s="86"/>
      <c r="D273" s="90" t="s">
        <v>177</v>
      </c>
      <c r="E273" s="195">
        <f aca="true" t="shared" si="44" ref="E273:E333">F273+N273</f>
        <v>63880</v>
      </c>
      <c r="F273" s="195">
        <f aca="true" t="shared" si="45" ref="F273:F333">SUM(G273:M273)</f>
        <v>63880</v>
      </c>
      <c r="G273" s="195">
        <f aca="true" t="shared" si="46" ref="G273:N273">SUM(G274:G276)</f>
        <v>0</v>
      </c>
      <c r="H273" s="195">
        <f t="shared" si="46"/>
        <v>0</v>
      </c>
      <c r="I273" s="195">
        <f t="shared" si="46"/>
        <v>0</v>
      </c>
      <c r="J273" s="195">
        <f t="shared" si="46"/>
        <v>9000</v>
      </c>
      <c r="K273" s="195">
        <f t="shared" si="46"/>
        <v>0</v>
      </c>
      <c r="L273" s="195">
        <f t="shared" si="46"/>
        <v>0</v>
      </c>
      <c r="M273" s="195">
        <f t="shared" si="46"/>
        <v>54880</v>
      </c>
      <c r="N273" s="195">
        <f t="shared" si="46"/>
        <v>0</v>
      </c>
    </row>
    <row r="274" spans="1:14" s="45" customFormat="1" ht="76.5">
      <c r="A274" s="103"/>
      <c r="B274" s="78"/>
      <c r="C274" s="82">
        <v>2310</v>
      </c>
      <c r="D274" s="85" t="s">
        <v>184</v>
      </c>
      <c r="E274" s="184">
        <f t="shared" si="44"/>
        <v>9000</v>
      </c>
      <c r="F274" s="184">
        <f t="shared" si="45"/>
        <v>9000</v>
      </c>
      <c r="G274" s="184"/>
      <c r="H274" s="184"/>
      <c r="I274" s="184"/>
      <c r="J274" s="184">
        <v>9000</v>
      </c>
      <c r="K274" s="184"/>
      <c r="L274" s="184"/>
      <c r="M274" s="184"/>
      <c r="N274" s="184"/>
    </row>
    <row r="275" spans="1:14" s="45" customFormat="1" ht="12.75">
      <c r="A275" s="103"/>
      <c r="B275" s="78"/>
      <c r="C275" s="82">
        <v>4300</v>
      </c>
      <c r="D275" s="85" t="s">
        <v>115</v>
      </c>
      <c r="E275" s="184">
        <f t="shared" si="44"/>
        <v>48100</v>
      </c>
      <c r="F275" s="184">
        <f t="shared" si="45"/>
        <v>48100</v>
      </c>
      <c r="G275" s="184"/>
      <c r="H275" s="184"/>
      <c r="I275" s="184"/>
      <c r="J275" s="184"/>
      <c r="K275" s="184"/>
      <c r="L275" s="184"/>
      <c r="M275" s="184">
        <v>48100</v>
      </c>
      <c r="N275" s="184"/>
    </row>
    <row r="276" spans="1:14" s="45" customFormat="1" ht="12.75">
      <c r="A276" s="103"/>
      <c r="B276" s="78"/>
      <c r="C276" s="82">
        <v>4410</v>
      </c>
      <c r="D276" s="85" t="s">
        <v>80</v>
      </c>
      <c r="E276" s="184">
        <f t="shared" si="44"/>
        <v>6780</v>
      </c>
      <c r="F276" s="184">
        <f t="shared" si="45"/>
        <v>6780</v>
      </c>
      <c r="G276" s="184"/>
      <c r="H276" s="184"/>
      <c r="I276" s="184"/>
      <c r="J276" s="184"/>
      <c r="K276" s="184"/>
      <c r="L276" s="184"/>
      <c r="M276" s="184">
        <v>6780</v>
      </c>
      <c r="N276" s="184"/>
    </row>
    <row r="277" spans="1:14" s="45" customFormat="1" ht="12.75">
      <c r="A277" s="103"/>
      <c r="B277" s="83">
        <v>80148</v>
      </c>
      <c r="C277" s="82"/>
      <c r="D277" s="90" t="s">
        <v>179</v>
      </c>
      <c r="E277" s="195">
        <f aca="true" t="shared" si="47" ref="E277:E285">F277+N277</f>
        <v>346560</v>
      </c>
      <c r="F277" s="195">
        <f aca="true" t="shared" si="48" ref="F277:F288">SUM(G277:M277)</f>
        <v>346560</v>
      </c>
      <c r="G277" s="195">
        <f aca="true" t="shared" si="49" ref="G277:N277">SUM(G278:G288)</f>
        <v>191040</v>
      </c>
      <c r="H277" s="195">
        <f t="shared" si="49"/>
        <v>15500</v>
      </c>
      <c r="I277" s="195">
        <f t="shared" si="49"/>
        <v>35010</v>
      </c>
      <c r="J277" s="195">
        <f t="shared" si="49"/>
        <v>0</v>
      </c>
      <c r="K277" s="195">
        <f t="shared" si="49"/>
        <v>0</v>
      </c>
      <c r="L277" s="195">
        <f t="shared" si="49"/>
        <v>0</v>
      </c>
      <c r="M277" s="195">
        <f t="shared" si="49"/>
        <v>105010</v>
      </c>
      <c r="N277" s="195">
        <f t="shared" si="49"/>
        <v>0</v>
      </c>
    </row>
    <row r="278" spans="1:14" s="45" customFormat="1" ht="25.5">
      <c r="A278" s="103"/>
      <c r="B278" s="78"/>
      <c r="C278" s="82">
        <v>3020</v>
      </c>
      <c r="D278" s="85" t="s">
        <v>324</v>
      </c>
      <c r="E278" s="184">
        <f t="shared" si="47"/>
        <v>4480</v>
      </c>
      <c r="F278" s="184">
        <f t="shared" si="48"/>
        <v>4480</v>
      </c>
      <c r="G278" s="184"/>
      <c r="H278" s="184"/>
      <c r="I278" s="184"/>
      <c r="J278" s="184"/>
      <c r="K278" s="184"/>
      <c r="L278" s="184"/>
      <c r="M278" s="184">
        <v>4480</v>
      </c>
      <c r="N278" s="184"/>
    </row>
    <row r="279" spans="1:14" s="45" customFormat="1" ht="25.5">
      <c r="A279" s="103"/>
      <c r="B279" s="78"/>
      <c r="C279" s="82">
        <v>4010</v>
      </c>
      <c r="D279" s="85" t="s">
        <v>66</v>
      </c>
      <c r="E279" s="184">
        <f t="shared" si="47"/>
        <v>191040</v>
      </c>
      <c r="F279" s="184">
        <f t="shared" si="48"/>
        <v>191040</v>
      </c>
      <c r="G279" s="184">
        <v>191040</v>
      </c>
      <c r="H279" s="184"/>
      <c r="I279" s="184"/>
      <c r="J279" s="184"/>
      <c r="K279" s="184"/>
      <c r="L279" s="184"/>
      <c r="M279" s="184"/>
      <c r="N279" s="184"/>
    </row>
    <row r="280" spans="1:14" s="45" customFormat="1" ht="12.75">
      <c r="A280" s="103"/>
      <c r="B280" s="78"/>
      <c r="C280" s="82">
        <v>4040</v>
      </c>
      <c r="D280" s="85" t="s">
        <v>67</v>
      </c>
      <c r="E280" s="184">
        <f t="shared" si="47"/>
        <v>15500</v>
      </c>
      <c r="F280" s="184">
        <f t="shared" si="48"/>
        <v>15500</v>
      </c>
      <c r="G280" s="184"/>
      <c r="H280" s="184">
        <v>15500</v>
      </c>
      <c r="I280" s="184"/>
      <c r="J280" s="184"/>
      <c r="K280" s="184"/>
      <c r="L280" s="184"/>
      <c r="M280" s="184"/>
      <c r="N280" s="184"/>
    </row>
    <row r="281" spans="1:14" s="45" customFormat="1" ht="12.75">
      <c r="A281" s="103"/>
      <c r="B281" s="78"/>
      <c r="C281" s="82">
        <v>4110</v>
      </c>
      <c r="D281" s="85" t="s">
        <v>162</v>
      </c>
      <c r="E281" s="184">
        <f t="shared" si="47"/>
        <v>30060</v>
      </c>
      <c r="F281" s="184">
        <f t="shared" si="48"/>
        <v>30060</v>
      </c>
      <c r="G281" s="184"/>
      <c r="H281" s="184"/>
      <c r="I281" s="184">
        <v>30060</v>
      </c>
      <c r="J281" s="184"/>
      <c r="K281" s="184"/>
      <c r="L281" s="184"/>
      <c r="M281" s="184"/>
      <c r="N281" s="184"/>
    </row>
    <row r="282" spans="1:14" s="45" customFormat="1" ht="12.75">
      <c r="A282" s="103"/>
      <c r="B282" s="78"/>
      <c r="C282" s="82">
        <v>4120</v>
      </c>
      <c r="D282" s="85" t="s">
        <v>69</v>
      </c>
      <c r="E282" s="184">
        <f t="shared" si="47"/>
        <v>4950</v>
      </c>
      <c r="F282" s="184">
        <f t="shared" si="48"/>
        <v>4950</v>
      </c>
      <c r="G282" s="184"/>
      <c r="H282" s="184"/>
      <c r="I282" s="184">
        <v>4950</v>
      </c>
      <c r="J282" s="184"/>
      <c r="K282" s="184"/>
      <c r="L282" s="184"/>
      <c r="M282" s="184"/>
      <c r="N282" s="184"/>
    </row>
    <row r="283" spans="1:14" s="45" customFormat="1" ht="12.75">
      <c r="A283" s="103"/>
      <c r="B283" s="78"/>
      <c r="C283" s="82">
        <v>4210</v>
      </c>
      <c r="D283" s="85" t="s">
        <v>71</v>
      </c>
      <c r="E283" s="184">
        <f t="shared" si="47"/>
        <v>71610</v>
      </c>
      <c r="F283" s="184">
        <f t="shared" si="48"/>
        <v>71610</v>
      </c>
      <c r="G283" s="184"/>
      <c r="H283" s="184"/>
      <c r="I283" s="184"/>
      <c r="J283" s="184"/>
      <c r="K283" s="184"/>
      <c r="L283" s="184"/>
      <c r="M283" s="184">
        <v>71610</v>
      </c>
      <c r="N283" s="184"/>
    </row>
    <row r="284" spans="1:14" s="45" customFormat="1" ht="12.75">
      <c r="A284" s="103"/>
      <c r="B284" s="78"/>
      <c r="C284" s="82">
        <v>4260</v>
      </c>
      <c r="D284" s="85" t="s">
        <v>72</v>
      </c>
      <c r="E284" s="184">
        <f t="shared" si="47"/>
        <v>15000</v>
      </c>
      <c r="F284" s="184">
        <f t="shared" si="48"/>
        <v>15000</v>
      </c>
      <c r="G284" s="184"/>
      <c r="H284" s="184"/>
      <c r="I284" s="184"/>
      <c r="J284" s="184"/>
      <c r="K284" s="184"/>
      <c r="L284" s="184"/>
      <c r="M284" s="184">
        <v>15000</v>
      </c>
      <c r="N284" s="184"/>
    </row>
    <row r="285" spans="1:14" s="45" customFormat="1" ht="12.75">
      <c r="A285" s="103"/>
      <c r="B285" s="78"/>
      <c r="C285" s="82">
        <v>4270</v>
      </c>
      <c r="D285" s="85" t="s">
        <v>73</v>
      </c>
      <c r="E285" s="184">
        <f t="shared" si="47"/>
        <v>570</v>
      </c>
      <c r="F285" s="184">
        <f t="shared" si="48"/>
        <v>570</v>
      </c>
      <c r="G285" s="184"/>
      <c r="H285" s="184"/>
      <c r="I285" s="184"/>
      <c r="J285" s="184"/>
      <c r="K285" s="184"/>
      <c r="L285" s="184"/>
      <c r="M285" s="184">
        <v>570</v>
      </c>
      <c r="N285" s="184"/>
    </row>
    <row r="286" spans="1:14" s="45" customFormat="1" ht="12.75">
      <c r="A286" s="103"/>
      <c r="B286" s="78"/>
      <c r="C286" s="82">
        <v>4280</v>
      </c>
      <c r="D286" s="85" t="s">
        <v>74</v>
      </c>
      <c r="E286" s="184">
        <f>N286+F286</f>
        <v>260</v>
      </c>
      <c r="F286" s="184">
        <f t="shared" si="48"/>
        <v>260</v>
      </c>
      <c r="G286" s="184"/>
      <c r="H286" s="184"/>
      <c r="I286" s="184"/>
      <c r="J286" s="184"/>
      <c r="K286" s="184"/>
      <c r="L286" s="184"/>
      <c r="M286" s="184">
        <v>260</v>
      </c>
      <c r="N286" s="184"/>
    </row>
    <row r="287" spans="1:14" s="45" customFormat="1" ht="12.75">
      <c r="A287" s="103"/>
      <c r="B287" s="78"/>
      <c r="C287" s="82">
        <v>4300</v>
      </c>
      <c r="D287" s="85" t="s">
        <v>115</v>
      </c>
      <c r="E287" s="184">
        <f>F287+N287</f>
        <v>5000</v>
      </c>
      <c r="F287" s="184">
        <f t="shared" si="48"/>
        <v>5000</v>
      </c>
      <c r="G287" s="184"/>
      <c r="H287" s="184"/>
      <c r="I287" s="184"/>
      <c r="J287" s="184"/>
      <c r="K287" s="184"/>
      <c r="L287" s="184"/>
      <c r="M287" s="184">
        <v>5000</v>
      </c>
      <c r="N287" s="184"/>
    </row>
    <row r="288" spans="1:14" s="45" customFormat="1" ht="25.5">
      <c r="A288" s="103"/>
      <c r="B288" s="78"/>
      <c r="C288" s="82">
        <v>4440</v>
      </c>
      <c r="D288" s="85" t="s">
        <v>82</v>
      </c>
      <c r="E288" s="184">
        <f>N288+F288</f>
        <v>8090</v>
      </c>
      <c r="F288" s="184">
        <f t="shared" si="48"/>
        <v>8090</v>
      </c>
      <c r="G288" s="184"/>
      <c r="H288" s="184"/>
      <c r="I288" s="184"/>
      <c r="J288" s="184"/>
      <c r="K288" s="184"/>
      <c r="L288" s="184"/>
      <c r="M288" s="184">
        <v>8090</v>
      </c>
      <c r="N288" s="184"/>
    </row>
    <row r="289" spans="1:14" s="76" customFormat="1" ht="12.75">
      <c r="A289" s="114"/>
      <c r="B289" s="83">
        <v>80195</v>
      </c>
      <c r="C289" s="86"/>
      <c r="D289" s="90" t="s">
        <v>152</v>
      </c>
      <c r="E289" s="195">
        <f t="shared" si="44"/>
        <v>384924</v>
      </c>
      <c r="F289" s="195">
        <f t="shared" si="45"/>
        <v>384924</v>
      </c>
      <c r="G289" s="195">
        <f>SUM(G290:G309)</f>
        <v>218480</v>
      </c>
      <c r="H289" s="195">
        <f aca="true" t="shared" si="50" ref="H289:N289">SUM(H290:H309)</f>
        <v>14640</v>
      </c>
      <c r="I289" s="195">
        <f t="shared" si="50"/>
        <v>36240</v>
      </c>
      <c r="J289" s="195">
        <f t="shared" si="50"/>
        <v>0</v>
      </c>
      <c r="K289" s="195">
        <f t="shared" si="50"/>
        <v>0</v>
      </c>
      <c r="L289" s="195">
        <f t="shared" si="50"/>
        <v>0</v>
      </c>
      <c r="M289" s="195">
        <f t="shared" si="50"/>
        <v>115564</v>
      </c>
      <c r="N289" s="195">
        <f t="shared" si="50"/>
        <v>0</v>
      </c>
    </row>
    <row r="290" spans="1:14" s="45" customFormat="1" ht="25.5">
      <c r="A290" s="103"/>
      <c r="B290" s="78"/>
      <c r="C290" s="82">
        <v>3020</v>
      </c>
      <c r="D290" s="85" t="s">
        <v>324</v>
      </c>
      <c r="E290" s="184">
        <f t="shared" si="44"/>
        <v>1640</v>
      </c>
      <c r="F290" s="184">
        <f t="shared" si="45"/>
        <v>1640</v>
      </c>
      <c r="G290" s="184"/>
      <c r="H290" s="184"/>
      <c r="I290" s="184"/>
      <c r="J290" s="184"/>
      <c r="K290" s="184"/>
      <c r="L290" s="184"/>
      <c r="M290" s="184">
        <v>1640</v>
      </c>
      <c r="N290" s="184"/>
    </row>
    <row r="291" spans="1:14" s="45" customFormat="1" ht="25.5">
      <c r="A291" s="103"/>
      <c r="B291" s="78"/>
      <c r="C291" s="82">
        <v>4010</v>
      </c>
      <c r="D291" s="85" t="s">
        <v>66</v>
      </c>
      <c r="E291" s="184">
        <f t="shared" si="44"/>
        <v>218480</v>
      </c>
      <c r="F291" s="184">
        <f t="shared" si="45"/>
        <v>218480</v>
      </c>
      <c r="G291" s="184">
        <v>218480</v>
      </c>
      <c r="H291" s="184"/>
      <c r="I291" s="184"/>
      <c r="J291" s="184"/>
      <c r="K291" s="184"/>
      <c r="L291" s="184"/>
      <c r="M291" s="184"/>
      <c r="N291" s="184"/>
    </row>
    <row r="292" spans="1:14" s="45" customFormat="1" ht="12.75">
      <c r="A292" s="103"/>
      <c r="B292" s="78"/>
      <c r="C292" s="82">
        <v>4040</v>
      </c>
      <c r="D292" s="85" t="s">
        <v>67</v>
      </c>
      <c r="E292" s="184">
        <f t="shared" si="44"/>
        <v>14640</v>
      </c>
      <c r="F292" s="184">
        <f t="shared" si="45"/>
        <v>14640</v>
      </c>
      <c r="G292" s="184"/>
      <c r="H292" s="184">
        <v>14640</v>
      </c>
      <c r="I292" s="184"/>
      <c r="J292" s="184"/>
      <c r="K292" s="184"/>
      <c r="L292" s="184"/>
      <c r="M292" s="184"/>
      <c r="N292" s="184"/>
    </row>
    <row r="293" spans="1:14" s="45" customFormat="1" ht="12.75">
      <c r="A293" s="103"/>
      <c r="B293" s="78"/>
      <c r="C293" s="82">
        <v>4110</v>
      </c>
      <c r="D293" s="85" t="s">
        <v>162</v>
      </c>
      <c r="E293" s="184">
        <f t="shared" si="44"/>
        <v>31060</v>
      </c>
      <c r="F293" s="184">
        <f t="shared" si="45"/>
        <v>31060</v>
      </c>
      <c r="G293" s="184"/>
      <c r="H293" s="184"/>
      <c r="I293" s="184">
        <v>31060</v>
      </c>
      <c r="J293" s="184"/>
      <c r="K293" s="184"/>
      <c r="L293" s="184"/>
      <c r="M293" s="184"/>
      <c r="N293" s="184"/>
    </row>
    <row r="294" spans="1:14" s="45" customFormat="1" ht="12.75">
      <c r="A294" s="103"/>
      <c r="B294" s="78"/>
      <c r="C294" s="82">
        <v>4120</v>
      </c>
      <c r="D294" s="85" t="s">
        <v>69</v>
      </c>
      <c r="E294" s="184">
        <f t="shared" si="44"/>
        <v>5180</v>
      </c>
      <c r="F294" s="184">
        <f t="shared" si="45"/>
        <v>5180</v>
      </c>
      <c r="G294" s="184"/>
      <c r="H294" s="184"/>
      <c r="I294" s="184">
        <v>5180</v>
      </c>
      <c r="J294" s="184"/>
      <c r="K294" s="184"/>
      <c r="L294" s="184"/>
      <c r="M294" s="184"/>
      <c r="N294" s="184"/>
    </row>
    <row r="295" spans="1:14" s="45" customFormat="1" ht="12.75">
      <c r="A295" s="103"/>
      <c r="B295" s="78"/>
      <c r="C295" s="82">
        <v>4170</v>
      </c>
      <c r="D295" s="85" t="s">
        <v>104</v>
      </c>
      <c r="E295" s="184">
        <f t="shared" si="44"/>
        <v>3450</v>
      </c>
      <c r="F295" s="184">
        <f t="shared" si="45"/>
        <v>3450</v>
      </c>
      <c r="G295" s="184"/>
      <c r="H295" s="184"/>
      <c r="I295" s="184"/>
      <c r="J295" s="184"/>
      <c r="K295" s="184"/>
      <c r="L295" s="184"/>
      <c r="M295" s="184">
        <v>3450</v>
      </c>
      <c r="N295" s="184"/>
    </row>
    <row r="296" spans="1:14" s="45" customFormat="1" ht="12.75">
      <c r="A296" s="103"/>
      <c r="B296" s="78"/>
      <c r="C296" s="82">
        <v>4210</v>
      </c>
      <c r="D296" s="85" t="s">
        <v>71</v>
      </c>
      <c r="E296" s="184">
        <f t="shared" si="44"/>
        <v>10740</v>
      </c>
      <c r="F296" s="184">
        <f t="shared" si="45"/>
        <v>10740</v>
      </c>
      <c r="G296" s="184"/>
      <c r="H296" s="184"/>
      <c r="I296" s="184"/>
      <c r="J296" s="184"/>
      <c r="K296" s="184"/>
      <c r="L296" s="184"/>
      <c r="M296" s="184">
        <v>10740</v>
      </c>
      <c r="N296" s="184"/>
    </row>
    <row r="297" spans="1:14" s="45" customFormat="1" ht="12.75">
      <c r="A297" s="103"/>
      <c r="B297" s="78"/>
      <c r="C297" s="82">
        <v>4260</v>
      </c>
      <c r="D297" s="85" t="s">
        <v>72</v>
      </c>
      <c r="E297" s="184">
        <f t="shared" si="44"/>
        <v>3280</v>
      </c>
      <c r="F297" s="184">
        <f t="shared" si="45"/>
        <v>3280</v>
      </c>
      <c r="G297" s="184"/>
      <c r="H297" s="184"/>
      <c r="I297" s="184"/>
      <c r="J297" s="184"/>
      <c r="K297" s="184"/>
      <c r="L297" s="184"/>
      <c r="M297" s="184">
        <v>3280</v>
      </c>
      <c r="N297" s="184"/>
    </row>
    <row r="298" spans="1:14" s="45" customFormat="1" ht="12.75">
      <c r="A298" s="103"/>
      <c r="B298" s="78"/>
      <c r="C298" s="82">
        <v>4270</v>
      </c>
      <c r="D298" s="85" t="s">
        <v>89</v>
      </c>
      <c r="E298" s="184">
        <f t="shared" si="44"/>
        <v>640</v>
      </c>
      <c r="F298" s="184">
        <f t="shared" si="45"/>
        <v>640</v>
      </c>
      <c r="G298" s="184"/>
      <c r="H298" s="184"/>
      <c r="I298" s="184"/>
      <c r="J298" s="184"/>
      <c r="K298" s="184"/>
      <c r="L298" s="184"/>
      <c r="M298" s="184">
        <v>640</v>
      </c>
      <c r="N298" s="184"/>
    </row>
    <row r="299" spans="1:14" s="45" customFormat="1" ht="12.75">
      <c r="A299" s="103"/>
      <c r="B299" s="78"/>
      <c r="C299" s="82">
        <v>4280</v>
      </c>
      <c r="D299" s="85" t="s">
        <v>74</v>
      </c>
      <c r="E299" s="184">
        <f t="shared" si="44"/>
        <v>160</v>
      </c>
      <c r="F299" s="184">
        <f t="shared" si="45"/>
        <v>160</v>
      </c>
      <c r="G299" s="184"/>
      <c r="H299" s="184"/>
      <c r="I299" s="184"/>
      <c r="J299" s="184"/>
      <c r="K299" s="184"/>
      <c r="L299" s="184"/>
      <c r="M299" s="184">
        <v>160</v>
      </c>
      <c r="N299" s="184"/>
    </row>
    <row r="300" spans="1:14" s="45" customFormat="1" ht="12.75">
      <c r="A300" s="103"/>
      <c r="B300" s="78"/>
      <c r="C300" s="82">
        <v>4300</v>
      </c>
      <c r="D300" s="85" t="s">
        <v>185</v>
      </c>
      <c r="E300" s="184">
        <f t="shared" si="44"/>
        <v>2738</v>
      </c>
      <c r="F300" s="184">
        <f t="shared" si="45"/>
        <v>2738</v>
      </c>
      <c r="G300" s="184"/>
      <c r="H300" s="184"/>
      <c r="I300" s="184"/>
      <c r="J300" s="184"/>
      <c r="K300" s="184"/>
      <c r="L300" s="184"/>
      <c r="M300" s="184">
        <f>2610+128</f>
        <v>2738</v>
      </c>
      <c r="N300" s="184"/>
    </row>
    <row r="301" spans="1:14" s="45" customFormat="1" ht="25.5">
      <c r="A301" s="103"/>
      <c r="B301" s="78"/>
      <c r="C301" s="82">
        <v>4350</v>
      </c>
      <c r="D301" s="85" t="s">
        <v>75</v>
      </c>
      <c r="E301" s="184">
        <f t="shared" si="44"/>
        <v>2030</v>
      </c>
      <c r="F301" s="184">
        <f t="shared" si="45"/>
        <v>2030</v>
      </c>
      <c r="G301" s="184"/>
      <c r="H301" s="184"/>
      <c r="I301" s="184"/>
      <c r="J301" s="184"/>
      <c r="K301" s="184"/>
      <c r="L301" s="184"/>
      <c r="M301" s="184">
        <v>2030</v>
      </c>
      <c r="N301" s="184"/>
    </row>
    <row r="302" spans="1:14" s="45" customFormat="1" ht="38.25">
      <c r="A302" s="103"/>
      <c r="B302" s="78"/>
      <c r="C302" s="82">
        <v>4370</v>
      </c>
      <c r="D302" s="85" t="s">
        <v>166</v>
      </c>
      <c r="E302" s="184">
        <f t="shared" si="44"/>
        <v>6250</v>
      </c>
      <c r="F302" s="184">
        <f t="shared" si="45"/>
        <v>6250</v>
      </c>
      <c r="G302" s="184"/>
      <c r="H302" s="184"/>
      <c r="I302" s="184"/>
      <c r="J302" s="184"/>
      <c r="K302" s="184"/>
      <c r="L302" s="184"/>
      <c r="M302" s="184">
        <v>6250</v>
      </c>
      <c r="N302" s="184"/>
    </row>
    <row r="303" spans="1:14" s="45" customFormat="1" ht="12.75">
      <c r="A303" s="103"/>
      <c r="B303" s="78"/>
      <c r="C303" s="82">
        <v>4410</v>
      </c>
      <c r="D303" s="85" t="s">
        <v>80</v>
      </c>
      <c r="E303" s="184">
        <f t="shared" si="44"/>
        <v>1100</v>
      </c>
      <c r="F303" s="184">
        <f t="shared" si="45"/>
        <v>1100</v>
      </c>
      <c r="G303" s="184"/>
      <c r="H303" s="184"/>
      <c r="I303" s="184"/>
      <c r="J303" s="184"/>
      <c r="K303" s="184"/>
      <c r="L303" s="184"/>
      <c r="M303" s="184">
        <v>1100</v>
      </c>
      <c r="N303" s="184"/>
    </row>
    <row r="304" spans="1:14" s="45" customFormat="1" ht="12.75">
      <c r="A304" s="103"/>
      <c r="B304" s="78"/>
      <c r="C304" s="82">
        <v>4430</v>
      </c>
      <c r="D304" s="85" t="s">
        <v>81</v>
      </c>
      <c r="E304" s="184">
        <f t="shared" si="44"/>
        <v>210</v>
      </c>
      <c r="F304" s="184">
        <f t="shared" si="45"/>
        <v>210</v>
      </c>
      <c r="G304" s="184"/>
      <c r="H304" s="184"/>
      <c r="I304" s="184"/>
      <c r="J304" s="184"/>
      <c r="K304" s="184"/>
      <c r="L304" s="184"/>
      <c r="M304" s="184">
        <v>210</v>
      </c>
      <c r="N304" s="184"/>
    </row>
    <row r="305" spans="1:14" s="45" customFormat="1" ht="25.5">
      <c r="A305" s="103"/>
      <c r="B305" s="78"/>
      <c r="C305" s="82">
        <v>4440</v>
      </c>
      <c r="D305" s="85" t="s">
        <v>82</v>
      </c>
      <c r="E305" s="184">
        <f t="shared" si="44"/>
        <v>74100</v>
      </c>
      <c r="F305" s="184">
        <f t="shared" si="45"/>
        <v>74100</v>
      </c>
      <c r="G305" s="184"/>
      <c r="H305" s="184"/>
      <c r="I305" s="184"/>
      <c r="J305" s="184"/>
      <c r="K305" s="184"/>
      <c r="L305" s="184"/>
      <c r="M305" s="184">
        <v>74100</v>
      </c>
      <c r="N305" s="184"/>
    </row>
    <row r="306" spans="1:14" s="45" customFormat="1" ht="12.75">
      <c r="A306" s="103"/>
      <c r="B306" s="78"/>
      <c r="C306" s="82">
        <v>4510</v>
      </c>
      <c r="D306" s="85" t="s">
        <v>361</v>
      </c>
      <c r="E306" s="184">
        <f t="shared" si="44"/>
        <v>150</v>
      </c>
      <c r="F306" s="184">
        <f t="shared" si="45"/>
        <v>150</v>
      </c>
      <c r="G306" s="184"/>
      <c r="H306" s="184"/>
      <c r="I306" s="184"/>
      <c r="J306" s="184"/>
      <c r="K306" s="184"/>
      <c r="L306" s="184"/>
      <c r="M306" s="184">
        <v>150</v>
      </c>
      <c r="N306" s="184"/>
    </row>
    <row r="307" spans="1:14" s="45" customFormat="1" ht="38.25">
      <c r="A307" s="103"/>
      <c r="B307" s="78"/>
      <c r="C307" s="82">
        <v>4700</v>
      </c>
      <c r="D307" s="85" t="s">
        <v>323</v>
      </c>
      <c r="E307" s="184">
        <f t="shared" si="44"/>
        <v>2000</v>
      </c>
      <c r="F307" s="184">
        <f t="shared" si="45"/>
        <v>2000</v>
      </c>
      <c r="G307" s="184"/>
      <c r="H307" s="184"/>
      <c r="I307" s="184"/>
      <c r="J307" s="184"/>
      <c r="K307" s="184"/>
      <c r="L307" s="184"/>
      <c r="M307" s="184">
        <v>2000</v>
      </c>
      <c r="N307" s="184"/>
    </row>
    <row r="308" spans="1:14" s="45" customFormat="1" ht="38.25">
      <c r="A308" s="103"/>
      <c r="B308" s="78"/>
      <c r="C308" s="82">
        <v>4740</v>
      </c>
      <c r="D308" s="85" t="s">
        <v>107</v>
      </c>
      <c r="E308" s="184">
        <f t="shared" si="44"/>
        <v>1050</v>
      </c>
      <c r="F308" s="184">
        <f t="shared" si="45"/>
        <v>1050</v>
      </c>
      <c r="G308" s="184"/>
      <c r="H308" s="184"/>
      <c r="I308" s="184"/>
      <c r="J308" s="184"/>
      <c r="K308" s="184"/>
      <c r="L308" s="184"/>
      <c r="M308" s="184">
        <v>1050</v>
      </c>
      <c r="N308" s="184"/>
    </row>
    <row r="309" spans="1:14" s="45" customFormat="1" ht="25.5">
      <c r="A309" s="103"/>
      <c r="B309" s="78"/>
      <c r="C309" s="82">
        <v>4750</v>
      </c>
      <c r="D309" s="85" t="s">
        <v>167</v>
      </c>
      <c r="E309" s="184">
        <f t="shared" si="44"/>
        <v>6026</v>
      </c>
      <c r="F309" s="184">
        <f t="shared" si="45"/>
        <v>6026</v>
      </c>
      <c r="G309" s="184"/>
      <c r="H309" s="184"/>
      <c r="I309" s="184"/>
      <c r="J309" s="184"/>
      <c r="K309" s="184"/>
      <c r="L309" s="184"/>
      <c r="M309" s="184">
        <f>5220+806</f>
        <v>6026</v>
      </c>
      <c r="N309" s="184"/>
    </row>
    <row r="310" spans="1:14" s="112" customFormat="1" ht="12.75">
      <c r="A310" s="78">
        <v>851</v>
      </c>
      <c r="B310" s="78"/>
      <c r="C310" s="79"/>
      <c r="D310" s="91" t="s">
        <v>187</v>
      </c>
      <c r="E310" s="194">
        <f t="shared" si="44"/>
        <v>1424000</v>
      </c>
      <c r="F310" s="194">
        <f t="shared" si="45"/>
        <v>1224000</v>
      </c>
      <c r="G310" s="194">
        <f>SUM(G315+G313+G311)</f>
        <v>0</v>
      </c>
      <c r="H310" s="194">
        <f aca="true" t="shared" si="51" ref="H310:N310">SUM(H315+H313+H311)</f>
        <v>0</v>
      </c>
      <c r="I310" s="194">
        <f t="shared" si="51"/>
        <v>0</v>
      </c>
      <c r="J310" s="194">
        <f t="shared" si="51"/>
        <v>0</v>
      </c>
      <c r="K310" s="194">
        <f t="shared" si="51"/>
        <v>0</v>
      </c>
      <c r="L310" s="194">
        <f t="shared" si="51"/>
        <v>0</v>
      </c>
      <c r="M310" s="194">
        <f t="shared" si="51"/>
        <v>1224000</v>
      </c>
      <c r="N310" s="194">
        <f t="shared" si="51"/>
        <v>200000</v>
      </c>
    </row>
    <row r="311" spans="1:14" s="112" customFormat="1" ht="12.75">
      <c r="A311" s="78"/>
      <c r="B311" s="363">
        <v>85111</v>
      </c>
      <c r="C311" s="364"/>
      <c r="D311" s="90" t="s">
        <v>469</v>
      </c>
      <c r="E311" s="195">
        <f t="shared" si="44"/>
        <v>200000</v>
      </c>
      <c r="F311" s="195">
        <f t="shared" si="45"/>
        <v>0</v>
      </c>
      <c r="G311" s="194">
        <f>SUM(G312)</f>
        <v>0</v>
      </c>
      <c r="H311" s="194">
        <f aca="true" t="shared" si="52" ref="H311:N311">SUM(H312)</f>
        <v>0</v>
      </c>
      <c r="I311" s="194">
        <f t="shared" si="52"/>
        <v>0</v>
      </c>
      <c r="J311" s="194">
        <f t="shared" si="52"/>
        <v>0</v>
      </c>
      <c r="K311" s="194">
        <f t="shared" si="52"/>
        <v>0</v>
      </c>
      <c r="L311" s="194">
        <f t="shared" si="52"/>
        <v>0</v>
      </c>
      <c r="M311" s="194">
        <f t="shared" si="52"/>
        <v>0</v>
      </c>
      <c r="N311" s="194">
        <f t="shared" si="52"/>
        <v>200000</v>
      </c>
    </row>
    <row r="312" spans="1:14" s="112" customFormat="1" ht="38.25">
      <c r="A312" s="78"/>
      <c r="B312" s="363"/>
      <c r="C312" s="82">
        <v>6010</v>
      </c>
      <c r="D312" s="365" t="s">
        <v>470</v>
      </c>
      <c r="E312" s="184">
        <f t="shared" si="44"/>
        <v>200000</v>
      </c>
      <c r="F312" s="184">
        <f t="shared" si="45"/>
        <v>0</v>
      </c>
      <c r="G312" s="194"/>
      <c r="H312" s="194"/>
      <c r="I312" s="194"/>
      <c r="J312" s="194"/>
      <c r="K312" s="194"/>
      <c r="L312" s="194"/>
      <c r="M312" s="194"/>
      <c r="N312" s="194">
        <v>200000</v>
      </c>
    </row>
    <row r="313" spans="1:14" s="76" customFormat="1" ht="51">
      <c r="A313" s="83"/>
      <c r="B313" s="83">
        <v>85156</v>
      </c>
      <c r="C313" s="86"/>
      <c r="D313" s="90" t="s">
        <v>188</v>
      </c>
      <c r="E313" s="195">
        <f t="shared" si="44"/>
        <v>1174000</v>
      </c>
      <c r="F313" s="195">
        <f t="shared" si="45"/>
        <v>1174000</v>
      </c>
      <c r="G313" s="195">
        <f aca="true" t="shared" si="53" ref="G313:M313">SUM(G314)</f>
        <v>0</v>
      </c>
      <c r="H313" s="195">
        <f t="shared" si="53"/>
        <v>0</v>
      </c>
      <c r="I313" s="195">
        <f t="shared" si="53"/>
        <v>0</v>
      </c>
      <c r="J313" s="195">
        <f t="shared" si="53"/>
        <v>0</v>
      </c>
      <c r="K313" s="195">
        <f t="shared" si="53"/>
        <v>0</v>
      </c>
      <c r="L313" s="195">
        <f t="shared" si="53"/>
        <v>0</v>
      </c>
      <c r="M313" s="195">
        <f t="shared" si="53"/>
        <v>1174000</v>
      </c>
      <c r="N313" s="195"/>
    </row>
    <row r="314" spans="1:14" s="45" customFormat="1" ht="12.75">
      <c r="A314" s="81"/>
      <c r="B314" s="81"/>
      <c r="C314" s="82">
        <v>4130</v>
      </c>
      <c r="D314" s="85" t="s">
        <v>189</v>
      </c>
      <c r="E314" s="184">
        <f t="shared" si="44"/>
        <v>1174000</v>
      </c>
      <c r="F314" s="184">
        <f t="shared" si="45"/>
        <v>1174000</v>
      </c>
      <c r="G314" s="184"/>
      <c r="H314" s="184"/>
      <c r="I314" s="184"/>
      <c r="J314" s="184"/>
      <c r="K314" s="184"/>
      <c r="L314" s="184"/>
      <c r="M314" s="184">
        <v>1174000</v>
      </c>
      <c r="N314" s="184"/>
    </row>
    <row r="315" spans="1:14" s="76" customFormat="1" ht="12.75">
      <c r="A315" s="83"/>
      <c r="B315" s="83">
        <v>85149</v>
      </c>
      <c r="C315" s="86"/>
      <c r="D315" s="90" t="s">
        <v>190</v>
      </c>
      <c r="E315" s="195">
        <f t="shared" si="44"/>
        <v>50000</v>
      </c>
      <c r="F315" s="195">
        <f t="shared" si="45"/>
        <v>50000</v>
      </c>
      <c r="G315" s="195">
        <f aca="true" t="shared" si="54" ref="G315:M315">G316</f>
        <v>0</v>
      </c>
      <c r="H315" s="195">
        <f t="shared" si="54"/>
        <v>0</v>
      </c>
      <c r="I315" s="195">
        <f t="shared" si="54"/>
        <v>0</v>
      </c>
      <c r="J315" s="195">
        <f t="shared" si="54"/>
        <v>0</v>
      </c>
      <c r="K315" s="195">
        <f t="shared" si="54"/>
        <v>0</v>
      </c>
      <c r="L315" s="195">
        <f t="shared" si="54"/>
        <v>0</v>
      </c>
      <c r="M315" s="195">
        <f t="shared" si="54"/>
        <v>50000</v>
      </c>
      <c r="N315" s="195"/>
    </row>
    <row r="316" spans="1:14" s="45" customFormat="1" ht="12.75">
      <c r="A316" s="81"/>
      <c r="B316" s="81"/>
      <c r="C316" s="82">
        <v>4280</v>
      </c>
      <c r="D316" s="85" t="s">
        <v>191</v>
      </c>
      <c r="E316" s="184">
        <f t="shared" si="44"/>
        <v>50000</v>
      </c>
      <c r="F316" s="184">
        <f t="shared" si="45"/>
        <v>50000</v>
      </c>
      <c r="G316" s="184"/>
      <c r="H316" s="184"/>
      <c r="I316" s="184"/>
      <c r="J316" s="184"/>
      <c r="K316" s="184"/>
      <c r="L316" s="184"/>
      <c r="M316" s="184">
        <v>50000</v>
      </c>
      <c r="N316" s="184"/>
    </row>
    <row r="317" spans="1:14" s="112" customFormat="1" ht="12.75">
      <c r="A317" s="78">
        <v>852</v>
      </c>
      <c r="B317" s="78"/>
      <c r="C317" s="79"/>
      <c r="D317" s="91" t="s">
        <v>192</v>
      </c>
      <c r="E317" s="194">
        <f t="shared" si="44"/>
        <v>15206822</v>
      </c>
      <c r="F317" s="194">
        <f t="shared" si="45"/>
        <v>14383623</v>
      </c>
      <c r="G317" s="194">
        <f aca="true" t="shared" si="55" ref="G317:N317">SUM(G318+G345+G373+G397+G403+G427+G439+G442)</f>
        <v>6426800</v>
      </c>
      <c r="H317" s="194">
        <f t="shared" si="55"/>
        <v>469533</v>
      </c>
      <c r="I317" s="194">
        <f t="shared" si="55"/>
        <v>1257503</v>
      </c>
      <c r="J317" s="194">
        <f t="shared" si="55"/>
        <v>364090</v>
      </c>
      <c r="K317" s="194">
        <f t="shared" si="55"/>
        <v>0</v>
      </c>
      <c r="L317" s="194">
        <f t="shared" si="55"/>
        <v>0</v>
      </c>
      <c r="M317" s="194">
        <f t="shared" si="55"/>
        <v>5865697</v>
      </c>
      <c r="N317" s="194">
        <f t="shared" si="55"/>
        <v>823199</v>
      </c>
    </row>
    <row r="318" spans="1:14" s="76" customFormat="1" ht="25.5">
      <c r="A318" s="83"/>
      <c r="B318" s="83">
        <v>85201</v>
      </c>
      <c r="C318" s="86"/>
      <c r="D318" s="90" t="s">
        <v>193</v>
      </c>
      <c r="E318" s="195">
        <f t="shared" si="44"/>
        <v>2183569</v>
      </c>
      <c r="F318" s="195">
        <f t="shared" si="45"/>
        <v>1528569</v>
      </c>
      <c r="G318" s="195">
        <f>SUM(G319:G344)</f>
        <v>732988</v>
      </c>
      <c r="H318" s="195">
        <f aca="true" t="shared" si="56" ref="H318:N318">SUM(H319:H344)</f>
        <v>48500</v>
      </c>
      <c r="I318" s="195">
        <f t="shared" si="56"/>
        <v>130781</v>
      </c>
      <c r="J318" s="195">
        <f t="shared" si="56"/>
        <v>226650</v>
      </c>
      <c r="K318" s="195">
        <f t="shared" si="56"/>
        <v>0</v>
      </c>
      <c r="L318" s="195">
        <f t="shared" si="56"/>
        <v>0</v>
      </c>
      <c r="M318" s="195">
        <f t="shared" si="56"/>
        <v>389650</v>
      </c>
      <c r="N318" s="195">
        <f t="shared" si="56"/>
        <v>655000</v>
      </c>
    </row>
    <row r="319" spans="1:14" s="45" customFormat="1" ht="76.5">
      <c r="A319" s="81"/>
      <c r="B319" s="81"/>
      <c r="C319" s="82">
        <v>2320</v>
      </c>
      <c r="D319" s="85" t="s">
        <v>194</v>
      </c>
      <c r="E319" s="184">
        <f t="shared" si="44"/>
        <v>226650</v>
      </c>
      <c r="F319" s="184">
        <f>SUM(G319:K319)</f>
        <v>226650</v>
      </c>
      <c r="G319" s="184"/>
      <c r="H319" s="184"/>
      <c r="I319" s="184"/>
      <c r="J319" s="184">
        <f>176650+50000</f>
        <v>226650</v>
      </c>
      <c r="K319" s="184"/>
      <c r="L319" s="184"/>
      <c r="M319" s="196"/>
      <c r="N319" s="184"/>
    </row>
    <row r="320" spans="1:14" s="45" customFormat="1" ht="25.5">
      <c r="A320" s="81"/>
      <c r="B320" s="81"/>
      <c r="C320" s="82">
        <v>3020</v>
      </c>
      <c r="D320" s="85" t="s">
        <v>324</v>
      </c>
      <c r="E320" s="184">
        <f t="shared" si="44"/>
        <v>29700</v>
      </c>
      <c r="F320" s="184">
        <f t="shared" si="45"/>
        <v>29700</v>
      </c>
      <c r="G320" s="184"/>
      <c r="H320" s="184"/>
      <c r="I320" s="184"/>
      <c r="J320" s="184"/>
      <c r="K320" s="184"/>
      <c r="L320" s="184"/>
      <c r="M320" s="184">
        <v>29700</v>
      </c>
      <c r="N320" s="184"/>
    </row>
    <row r="321" spans="1:14" s="45" customFormat="1" ht="12.75">
      <c r="A321" s="81"/>
      <c r="B321" s="81"/>
      <c r="C321" s="82">
        <v>3110</v>
      </c>
      <c r="D321" s="85" t="s">
        <v>195</v>
      </c>
      <c r="E321" s="184">
        <f t="shared" si="44"/>
        <v>168740</v>
      </c>
      <c r="F321" s="184">
        <f t="shared" si="45"/>
        <v>168740</v>
      </c>
      <c r="G321" s="184"/>
      <c r="H321" s="184"/>
      <c r="I321" s="184"/>
      <c r="J321" s="184"/>
      <c r="K321" s="184"/>
      <c r="L321" s="184"/>
      <c r="M321" s="184">
        <v>168740</v>
      </c>
      <c r="N321" s="184"/>
    </row>
    <row r="322" spans="1:14" s="45" customFormat="1" ht="25.5">
      <c r="A322" s="81"/>
      <c r="B322" s="81"/>
      <c r="C322" s="82">
        <v>4010</v>
      </c>
      <c r="D322" s="85" t="s">
        <v>66</v>
      </c>
      <c r="E322" s="184">
        <f t="shared" si="44"/>
        <v>732988</v>
      </c>
      <c r="F322" s="184">
        <f t="shared" si="45"/>
        <v>732988</v>
      </c>
      <c r="G322" s="184">
        <f>718000+14988</f>
        <v>732988</v>
      </c>
      <c r="H322" s="184"/>
      <c r="I322" s="184"/>
      <c r="J322" s="184"/>
      <c r="K322" s="184"/>
      <c r="L322" s="184"/>
      <c r="M322" s="184"/>
      <c r="N322" s="184"/>
    </row>
    <row r="323" spans="1:14" s="45" customFormat="1" ht="12.75">
      <c r="A323" s="81"/>
      <c r="B323" s="81"/>
      <c r="C323" s="82">
        <v>4040</v>
      </c>
      <c r="D323" s="85" t="s">
        <v>67</v>
      </c>
      <c r="E323" s="184">
        <f t="shared" si="44"/>
        <v>48500</v>
      </c>
      <c r="F323" s="184">
        <f t="shared" si="45"/>
        <v>48500</v>
      </c>
      <c r="G323" s="184"/>
      <c r="H323" s="184">
        <f>46240+2260</f>
        <v>48500</v>
      </c>
      <c r="I323" s="184"/>
      <c r="J323" s="184"/>
      <c r="K323" s="184"/>
      <c r="L323" s="184"/>
      <c r="M323" s="184"/>
      <c r="N323" s="184"/>
    </row>
    <row r="324" spans="1:14" s="45" customFormat="1" ht="12.75">
      <c r="A324" s="81"/>
      <c r="B324" s="81"/>
      <c r="C324" s="82">
        <v>4110</v>
      </c>
      <c r="D324" s="85" t="s">
        <v>68</v>
      </c>
      <c r="E324" s="184">
        <f t="shared" si="44"/>
        <v>112874</v>
      </c>
      <c r="F324" s="184">
        <f t="shared" si="45"/>
        <v>112874</v>
      </c>
      <c r="G324" s="184"/>
      <c r="H324" s="184"/>
      <c r="I324" s="184">
        <f>110560+2314</f>
        <v>112874</v>
      </c>
      <c r="J324" s="184"/>
      <c r="K324" s="184"/>
      <c r="L324" s="184"/>
      <c r="M324" s="184"/>
      <c r="N324" s="184"/>
    </row>
    <row r="325" spans="1:14" s="45" customFormat="1" ht="12.75">
      <c r="A325" s="81"/>
      <c r="B325" s="81"/>
      <c r="C325" s="82">
        <v>4120</v>
      </c>
      <c r="D325" s="85" t="s">
        <v>69</v>
      </c>
      <c r="E325" s="184">
        <f t="shared" si="44"/>
        <v>17907</v>
      </c>
      <c r="F325" s="184">
        <f t="shared" si="45"/>
        <v>17907</v>
      </c>
      <c r="G325" s="184"/>
      <c r="H325" s="184"/>
      <c r="I325" s="184">
        <f>17540+367</f>
        <v>17907</v>
      </c>
      <c r="J325" s="184"/>
      <c r="K325" s="184"/>
      <c r="L325" s="184"/>
      <c r="M325" s="184"/>
      <c r="N325" s="184"/>
    </row>
    <row r="326" spans="1:14" s="45" customFormat="1" ht="12.75">
      <c r="A326" s="81"/>
      <c r="B326" s="81"/>
      <c r="C326" s="82">
        <v>4210</v>
      </c>
      <c r="D326" s="85" t="s">
        <v>71</v>
      </c>
      <c r="E326" s="184">
        <f t="shared" si="44"/>
        <v>37230</v>
      </c>
      <c r="F326" s="184">
        <f t="shared" si="45"/>
        <v>37230</v>
      </c>
      <c r="G326" s="184"/>
      <c r="H326" s="184"/>
      <c r="I326" s="184"/>
      <c r="J326" s="184"/>
      <c r="K326" s="184"/>
      <c r="L326" s="184"/>
      <c r="M326" s="184">
        <f>39490-2260</f>
        <v>37230</v>
      </c>
      <c r="N326" s="184"/>
    </row>
    <row r="327" spans="1:14" s="45" customFormat="1" ht="12.75">
      <c r="A327" s="81"/>
      <c r="B327" s="81"/>
      <c r="C327" s="82">
        <v>4220</v>
      </c>
      <c r="D327" s="85" t="s">
        <v>196</v>
      </c>
      <c r="E327" s="184">
        <f t="shared" si="44"/>
        <v>46000</v>
      </c>
      <c r="F327" s="184">
        <f t="shared" si="45"/>
        <v>46000</v>
      </c>
      <c r="G327" s="184"/>
      <c r="H327" s="184"/>
      <c r="I327" s="184"/>
      <c r="J327" s="184"/>
      <c r="K327" s="184"/>
      <c r="L327" s="184"/>
      <c r="M327" s="184">
        <v>46000</v>
      </c>
      <c r="N327" s="184"/>
    </row>
    <row r="328" spans="1:14" s="45" customFormat="1" ht="25.5">
      <c r="A328" s="81"/>
      <c r="B328" s="81"/>
      <c r="C328" s="82">
        <v>4230</v>
      </c>
      <c r="D328" s="85" t="s">
        <v>373</v>
      </c>
      <c r="E328" s="184">
        <f t="shared" si="44"/>
        <v>2050</v>
      </c>
      <c r="F328" s="184">
        <f t="shared" si="45"/>
        <v>2050</v>
      </c>
      <c r="G328" s="184"/>
      <c r="H328" s="184"/>
      <c r="I328" s="184"/>
      <c r="J328" s="184"/>
      <c r="K328" s="184"/>
      <c r="L328" s="184"/>
      <c r="M328" s="184">
        <v>2050</v>
      </c>
      <c r="N328" s="184"/>
    </row>
    <row r="329" spans="1:14" s="45" customFormat="1" ht="25.5">
      <c r="A329" s="81"/>
      <c r="B329" s="81"/>
      <c r="C329" s="82">
        <v>4240</v>
      </c>
      <c r="D329" s="85" t="s">
        <v>165</v>
      </c>
      <c r="E329" s="184">
        <f t="shared" si="44"/>
        <v>2050</v>
      </c>
      <c r="F329" s="184">
        <f t="shared" si="45"/>
        <v>2050</v>
      </c>
      <c r="G329" s="184"/>
      <c r="H329" s="184"/>
      <c r="I329" s="184"/>
      <c r="J329" s="184"/>
      <c r="K329" s="184"/>
      <c r="L329" s="184"/>
      <c r="M329" s="184">
        <v>2050</v>
      </c>
      <c r="N329" s="184"/>
    </row>
    <row r="330" spans="1:14" s="45" customFormat="1" ht="12.75">
      <c r="A330" s="81"/>
      <c r="B330" s="81"/>
      <c r="C330" s="82">
        <v>4260</v>
      </c>
      <c r="D330" s="85" t="s">
        <v>72</v>
      </c>
      <c r="E330" s="184">
        <f t="shared" si="44"/>
        <v>19130</v>
      </c>
      <c r="F330" s="184">
        <f t="shared" si="45"/>
        <v>19130</v>
      </c>
      <c r="G330" s="184"/>
      <c r="H330" s="184"/>
      <c r="I330" s="184"/>
      <c r="J330" s="184"/>
      <c r="K330" s="184"/>
      <c r="L330" s="184"/>
      <c r="M330" s="184">
        <v>19130</v>
      </c>
      <c r="N330" s="184"/>
    </row>
    <row r="331" spans="1:14" s="45" customFormat="1" ht="12.75">
      <c r="A331" s="81"/>
      <c r="B331" s="81"/>
      <c r="C331" s="82">
        <v>4270</v>
      </c>
      <c r="D331" s="85" t="s">
        <v>89</v>
      </c>
      <c r="E331" s="184">
        <f t="shared" si="44"/>
        <v>11760</v>
      </c>
      <c r="F331" s="184">
        <f t="shared" si="45"/>
        <v>11760</v>
      </c>
      <c r="G331" s="184"/>
      <c r="H331" s="184"/>
      <c r="I331" s="184"/>
      <c r="J331" s="184"/>
      <c r="K331" s="184"/>
      <c r="L331" s="184"/>
      <c r="M331" s="184">
        <v>11760</v>
      </c>
      <c r="N331" s="184"/>
    </row>
    <row r="332" spans="1:14" s="45" customFormat="1" ht="12.75">
      <c r="A332" s="81"/>
      <c r="B332" s="81"/>
      <c r="C332" s="82">
        <v>4280</v>
      </c>
      <c r="D332" s="85" t="s">
        <v>74</v>
      </c>
      <c r="E332" s="184">
        <f t="shared" si="44"/>
        <v>310</v>
      </c>
      <c r="F332" s="184">
        <f t="shared" si="45"/>
        <v>310</v>
      </c>
      <c r="G332" s="184"/>
      <c r="H332" s="184"/>
      <c r="I332" s="184"/>
      <c r="J332" s="184"/>
      <c r="K332" s="184"/>
      <c r="L332" s="184"/>
      <c r="M332" s="184">
        <v>310</v>
      </c>
      <c r="N332" s="184"/>
    </row>
    <row r="333" spans="1:14" s="45" customFormat="1" ht="12.75">
      <c r="A333" s="81"/>
      <c r="B333" s="81"/>
      <c r="C333" s="82">
        <v>4300</v>
      </c>
      <c r="D333" s="85" t="s">
        <v>115</v>
      </c>
      <c r="E333" s="184">
        <f t="shared" si="44"/>
        <v>16300</v>
      </c>
      <c r="F333" s="184">
        <f t="shared" si="45"/>
        <v>16300</v>
      </c>
      <c r="G333" s="184"/>
      <c r="H333" s="184"/>
      <c r="I333" s="184"/>
      <c r="J333" s="184"/>
      <c r="K333" s="184"/>
      <c r="L333" s="184"/>
      <c r="M333" s="184">
        <f>12300+4000</f>
        <v>16300</v>
      </c>
      <c r="N333" s="184"/>
    </row>
    <row r="334" spans="1:14" s="45" customFormat="1" ht="25.5">
      <c r="A334" s="81"/>
      <c r="B334" s="81"/>
      <c r="C334" s="82">
        <v>4350</v>
      </c>
      <c r="D334" s="85" t="s">
        <v>75</v>
      </c>
      <c r="E334" s="184">
        <f aca="true" t="shared" si="57" ref="E334:E396">F334+N334</f>
        <v>1130</v>
      </c>
      <c r="F334" s="184">
        <f aca="true" t="shared" si="58" ref="F334:F396">SUM(G334:M334)</f>
        <v>1130</v>
      </c>
      <c r="G334" s="184"/>
      <c r="H334" s="184"/>
      <c r="I334" s="184"/>
      <c r="J334" s="184"/>
      <c r="K334" s="184"/>
      <c r="L334" s="184"/>
      <c r="M334" s="184">
        <v>1130</v>
      </c>
      <c r="N334" s="184"/>
    </row>
    <row r="335" spans="1:14" s="45" customFormat="1" ht="38.25">
      <c r="A335" s="81"/>
      <c r="B335" s="81"/>
      <c r="C335" s="82">
        <v>4360</v>
      </c>
      <c r="D335" s="85" t="s">
        <v>173</v>
      </c>
      <c r="E335" s="184">
        <f t="shared" si="57"/>
        <v>1230</v>
      </c>
      <c r="F335" s="184">
        <f t="shared" si="58"/>
        <v>1230</v>
      </c>
      <c r="G335" s="184"/>
      <c r="H335" s="184"/>
      <c r="I335" s="184"/>
      <c r="J335" s="184"/>
      <c r="K335" s="184"/>
      <c r="L335" s="184"/>
      <c r="M335" s="184">
        <v>1230</v>
      </c>
      <c r="N335" s="184"/>
    </row>
    <row r="336" spans="1:14" s="45" customFormat="1" ht="38.25">
      <c r="A336" s="81"/>
      <c r="B336" s="81"/>
      <c r="C336" s="82">
        <v>4370</v>
      </c>
      <c r="D336" s="85" t="s">
        <v>166</v>
      </c>
      <c r="E336" s="184">
        <f t="shared" si="57"/>
        <v>5100</v>
      </c>
      <c r="F336" s="184">
        <f t="shared" si="58"/>
        <v>5100</v>
      </c>
      <c r="G336" s="184"/>
      <c r="H336" s="184"/>
      <c r="I336" s="184"/>
      <c r="J336" s="184"/>
      <c r="K336" s="184"/>
      <c r="L336" s="184"/>
      <c r="M336" s="184">
        <v>5100</v>
      </c>
      <c r="N336" s="184"/>
    </row>
    <row r="337" spans="1:14" s="45" customFormat="1" ht="12.75">
      <c r="A337" s="81"/>
      <c r="B337" s="81"/>
      <c r="C337" s="82">
        <v>4410</v>
      </c>
      <c r="D337" s="85" t="s">
        <v>80</v>
      </c>
      <c r="E337" s="184">
        <f t="shared" si="57"/>
        <v>3070</v>
      </c>
      <c r="F337" s="184">
        <f t="shared" si="58"/>
        <v>3070</v>
      </c>
      <c r="G337" s="184"/>
      <c r="H337" s="184"/>
      <c r="I337" s="184"/>
      <c r="J337" s="184"/>
      <c r="K337" s="184"/>
      <c r="L337" s="184"/>
      <c r="M337" s="184">
        <v>3070</v>
      </c>
      <c r="N337" s="184"/>
    </row>
    <row r="338" spans="1:14" s="45" customFormat="1" ht="12.75">
      <c r="A338" s="81"/>
      <c r="B338" s="81"/>
      <c r="C338" s="82">
        <v>4430</v>
      </c>
      <c r="D338" s="85" t="s">
        <v>81</v>
      </c>
      <c r="E338" s="184">
        <f t="shared" si="57"/>
        <v>2560</v>
      </c>
      <c r="F338" s="184">
        <f t="shared" si="58"/>
        <v>2560</v>
      </c>
      <c r="G338" s="184"/>
      <c r="H338" s="184"/>
      <c r="I338" s="184"/>
      <c r="J338" s="184"/>
      <c r="K338" s="184"/>
      <c r="L338" s="184"/>
      <c r="M338" s="184">
        <v>2560</v>
      </c>
      <c r="N338" s="184"/>
    </row>
    <row r="339" spans="1:14" s="45" customFormat="1" ht="25.5">
      <c r="A339" s="81"/>
      <c r="B339" s="81"/>
      <c r="C339" s="82">
        <v>4440</v>
      </c>
      <c r="D339" s="85" t="s">
        <v>82</v>
      </c>
      <c r="E339" s="184">
        <f t="shared" si="57"/>
        <v>35230</v>
      </c>
      <c r="F339" s="184">
        <f t="shared" si="58"/>
        <v>35230</v>
      </c>
      <c r="G339" s="184"/>
      <c r="H339" s="184"/>
      <c r="I339" s="184"/>
      <c r="J339" s="184"/>
      <c r="K339" s="184"/>
      <c r="L339" s="184"/>
      <c r="M339" s="184">
        <v>35230</v>
      </c>
      <c r="N339" s="184"/>
    </row>
    <row r="340" spans="1:14" s="45" customFormat="1" ht="12.75">
      <c r="A340" s="81"/>
      <c r="B340" s="81"/>
      <c r="C340" s="82">
        <v>4480</v>
      </c>
      <c r="D340" s="85" t="s">
        <v>83</v>
      </c>
      <c r="E340" s="184">
        <f t="shared" si="57"/>
        <v>4500</v>
      </c>
      <c r="F340" s="184">
        <f t="shared" si="58"/>
        <v>4500</v>
      </c>
      <c r="G340" s="184"/>
      <c r="H340" s="184"/>
      <c r="I340" s="184"/>
      <c r="J340" s="184"/>
      <c r="K340" s="184"/>
      <c r="L340" s="184"/>
      <c r="M340" s="184">
        <v>4500</v>
      </c>
      <c r="N340" s="184"/>
    </row>
    <row r="341" spans="1:14" s="45" customFormat="1" ht="25.5">
      <c r="A341" s="81"/>
      <c r="B341" s="81"/>
      <c r="C341" s="82">
        <v>4520</v>
      </c>
      <c r="D341" s="85" t="s">
        <v>198</v>
      </c>
      <c r="E341" s="184">
        <f t="shared" si="57"/>
        <v>1300</v>
      </c>
      <c r="F341" s="184">
        <f t="shared" si="58"/>
        <v>1300</v>
      </c>
      <c r="G341" s="184"/>
      <c r="H341" s="184"/>
      <c r="I341" s="184"/>
      <c r="J341" s="184"/>
      <c r="K341" s="184"/>
      <c r="L341" s="184"/>
      <c r="M341" s="184">
        <v>1300</v>
      </c>
      <c r="N341" s="184"/>
    </row>
    <row r="342" spans="1:14" s="45" customFormat="1" ht="38.25">
      <c r="A342" s="81"/>
      <c r="B342" s="81"/>
      <c r="C342" s="82">
        <v>4740</v>
      </c>
      <c r="D342" s="85" t="s">
        <v>107</v>
      </c>
      <c r="E342" s="184">
        <f t="shared" si="57"/>
        <v>1230</v>
      </c>
      <c r="F342" s="184">
        <f t="shared" si="58"/>
        <v>1230</v>
      </c>
      <c r="G342" s="184"/>
      <c r="H342" s="184"/>
      <c r="I342" s="184"/>
      <c r="J342" s="184"/>
      <c r="K342" s="184"/>
      <c r="L342" s="184"/>
      <c r="M342" s="184">
        <v>1230</v>
      </c>
      <c r="N342" s="184"/>
    </row>
    <row r="343" spans="1:14" s="45" customFormat="1" ht="25.5">
      <c r="A343" s="81"/>
      <c r="B343" s="81"/>
      <c r="C343" s="82">
        <v>4750</v>
      </c>
      <c r="D343" s="85" t="s">
        <v>167</v>
      </c>
      <c r="E343" s="184">
        <f t="shared" si="57"/>
        <v>1030</v>
      </c>
      <c r="F343" s="184">
        <f t="shared" si="58"/>
        <v>1030</v>
      </c>
      <c r="G343" s="184"/>
      <c r="H343" s="184"/>
      <c r="I343" s="184"/>
      <c r="J343" s="184"/>
      <c r="K343" s="184"/>
      <c r="L343" s="184"/>
      <c r="M343" s="184">
        <v>1030</v>
      </c>
      <c r="N343" s="184"/>
    </row>
    <row r="344" spans="1:14" s="45" customFormat="1" ht="25.5">
      <c r="A344" s="103"/>
      <c r="B344" s="78"/>
      <c r="C344" s="82">
        <v>6050</v>
      </c>
      <c r="D344" s="85" t="s">
        <v>409</v>
      </c>
      <c r="E344" s="184"/>
      <c r="F344" s="184"/>
      <c r="G344" s="184"/>
      <c r="H344" s="184"/>
      <c r="I344" s="184"/>
      <c r="J344" s="184"/>
      <c r="K344" s="184"/>
      <c r="L344" s="184"/>
      <c r="M344" s="184"/>
      <c r="N344" s="184">
        <v>655000</v>
      </c>
    </row>
    <row r="345" spans="1:14" s="76" customFormat="1" ht="12.75">
      <c r="A345" s="114"/>
      <c r="B345" s="83">
        <v>85202</v>
      </c>
      <c r="C345" s="86"/>
      <c r="D345" s="90" t="s">
        <v>199</v>
      </c>
      <c r="E345" s="195">
        <f t="shared" si="57"/>
        <v>9805144</v>
      </c>
      <c r="F345" s="195">
        <f t="shared" si="58"/>
        <v>9636945</v>
      </c>
      <c r="G345" s="195">
        <f aca="true" t="shared" si="59" ref="G345:N345">SUM(G346:G372)</f>
        <v>4938189</v>
      </c>
      <c r="H345" s="195">
        <f t="shared" si="59"/>
        <v>367272</v>
      </c>
      <c r="I345" s="195">
        <f t="shared" si="59"/>
        <v>951926</v>
      </c>
      <c r="J345" s="195">
        <f t="shared" si="59"/>
        <v>0</v>
      </c>
      <c r="K345" s="195">
        <f t="shared" si="59"/>
        <v>0</v>
      </c>
      <c r="L345" s="195">
        <f t="shared" si="59"/>
        <v>0</v>
      </c>
      <c r="M345" s="195">
        <f t="shared" si="59"/>
        <v>3379558</v>
      </c>
      <c r="N345" s="195">
        <f t="shared" si="59"/>
        <v>168199</v>
      </c>
    </row>
    <row r="346" spans="1:14" s="45" customFormat="1" ht="25.5">
      <c r="A346" s="103"/>
      <c r="B346" s="81"/>
      <c r="C346" s="82">
        <v>3020</v>
      </c>
      <c r="D346" s="85" t="s">
        <v>200</v>
      </c>
      <c r="E346" s="184">
        <f t="shared" si="57"/>
        <v>22600</v>
      </c>
      <c r="F346" s="184">
        <f t="shared" si="58"/>
        <v>22600</v>
      </c>
      <c r="G346" s="184"/>
      <c r="H346" s="184"/>
      <c r="I346" s="184"/>
      <c r="J346" s="184"/>
      <c r="K346" s="184"/>
      <c r="L346" s="184"/>
      <c r="M346" s="184">
        <f>24600-2000</f>
        <v>22600</v>
      </c>
      <c r="N346" s="184"/>
    </row>
    <row r="347" spans="1:14" s="45" customFormat="1" ht="25.5">
      <c r="A347" s="103"/>
      <c r="B347" s="81"/>
      <c r="C347" s="82">
        <v>4010</v>
      </c>
      <c r="D347" s="85" t="s">
        <v>66</v>
      </c>
      <c r="E347" s="184">
        <f t="shared" si="57"/>
        <v>4938189</v>
      </c>
      <c r="F347" s="184">
        <f t="shared" si="58"/>
        <v>4938189</v>
      </c>
      <c r="G347" s="184">
        <f>4926200-211500+221590+1899</f>
        <v>4938189</v>
      </c>
      <c r="H347" s="184"/>
      <c r="I347" s="184"/>
      <c r="J347" s="184"/>
      <c r="K347" s="184"/>
      <c r="L347" s="184"/>
      <c r="M347" s="184"/>
      <c r="N347" s="184"/>
    </row>
    <row r="348" spans="1:14" s="45" customFormat="1" ht="12.75">
      <c r="A348" s="103"/>
      <c r="B348" s="81"/>
      <c r="C348" s="82">
        <v>4040</v>
      </c>
      <c r="D348" s="85" t="s">
        <v>67</v>
      </c>
      <c r="E348" s="184">
        <f t="shared" si="57"/>
        <v>367272</v>
      </c>
      <c r="F348" s="184">
        <f t="shared" si="58"/>
        <v>367272</v>
      </c>
      <c r="G348" s="184"/>
      <c r="H348" s="184">
        <f>389660-14000-8388</f>
        <v>367272</v>
      </c>
      <c r="I348" s="184"/>
      <c r="J348" s="184"/>
      <c r="K348" s="184"/>
      <c r="L348" s="184"/>
      <c r="M348" s="184"/>
      <c r="N348" s="184"/>
    </row>
    <row r="349" spans="1:14" s="45" customFormat="1" ht="12.75">
      <c r="A349" s="103"/>
      <c r="B349" s="81"/>
      <c r="C349" s="82">
        <v>4110</v>
      </c>
      <c r="D349" s="85" t="s">
        <v>68</v>
      </c>
      <c r="E349" s="184">
        <f t="shared" si="57"/>
        <v>823670</v>
      </c>
      <c r="F349" s="184">
        <f t="shared" si="58"/>
        <v>823670</v>
      </c>
      <c r="G349" s="184"/>
      <c r="H349" s="184"/>
      <c r="I349" s="184">
        <f>823750-35340+34958+302</f>
        <v>823670</v>
      </c>
      <c r="J349" s="184"/>
      <c r="K349" s="184"/>
      <c r="L349" s="184"/>
      <c r="M349" s="184"/>
      <c r="N349" s="184"/>
    </row>
    <row r="350" spans="1:14" s="45" customFormat="1" ht="12.75">
      <c r="A350" s="103"/>
      <c r="B350" s="81"/>
      <c r="C350" s="82">
        <v>4120</v>
      </c>
      <c r="D350" s="85" t="s">
        <v>69</v>
      </c>
      <c r="E350" s="184">
        <f t="shared" si="57"/>
        <v>128256</v>
      </c>
      <c r="F350" s="184">
        <f t="shared" si="58"/>
        <v>128256</v>
      </c>
      <c r="G350" s="184"/>
      <c r="H350" s="184"/>
      <c r="I350" s="184">
        <f>127900-5120+5429+47</f>
        <v>128256</v>
      </c>
      <c r="J350" s="184"/>
      <c r="K350" s="184"/>
      <c r="L350" s="184"/>
      <c r="M350" s="184"/>
      <c r="N350" s="184"/>
    </row>
    <row r="351" spans="1:14" s="45" customFormat="1" ht="12.75">
      <c r="A351" s="103"/>
      <c r="B351" s="81"/>
      <c r="C351" s="82">
        <v>4140</v>
      </c>
      <c r="D351" s="85" t="s">
        <v>372</v>
      </c>
      <c r="E351" s="184">
        <f t="shared" si="57"/>
        <v>0</v>
      </c>
      <c r="F351" s="184">
        <f t="shared" si="58"/>
        <v>0</v>
      </c>
      <c r="G351" s="184"/>
      <c r="H351" s="184"/>
      <c r="I351" s="184"/>
      <c r="J351" s="184"/>
      <c r="K351" s="184"/>
      <c r="L351" s="184"/>
      <c r="M351" s="184">
        <v>0</v>
      </c>
      <c r="N351" s="184"/>
    </row>
    <row r="352" spans="1:14" s="45" customFormat="1" ht="12.75">
      <c r="A352" s="103"/>
      <c r="B352" s="81"/>
      <c r="C352" s="82">
        <v>4170</v>
      </c>
      <c r="D352" s="85" t="s">
        <v>201</v>
      </c>
      <c r="E352" s="184">
        <f t="shared" si="57"/>
        <v>109900</v>
      </c>
      <c r="F352" s="184">
        <f t="shared" si="58"/>
        <v>109900</v>
      </c>
      <c r="G352" s="184"/>
      <c r="H352" s="184"/>
      <c r="I352" s="184"/>
      <c r="J352" s="184"/>
      <c r="K352" s="184"/>
      <c r="L352" s="184"/>
      <c r="M352" s="184">
        <v>109900</v>
      </c>
      <c r="N352" s="184"/>
    </row>
    <row r="353" spans="1:14" s="45" customFormat="1" ht="12.75">
      <c r="A353" s="103"/>
      <c r="B353" s="81"/>
      <c r="C353" s="82">
        <v>4210</v>
      </c>
      <c r="D353" s="85" t="s">
        <v>71</v>
      </c>
      <c r="E353" s="184">
        <f t="shared" si="57"/>
        <v>990292</v>
      </c>
      <c r="F353" s="184">
        <f t="shared" si="58"/>
        <v>990292</v>
      </c>
      <c r="G353" s="184"/>
      <c r="H353" s="184"/>
      <c r="I353" s="184"/>
      <c r="J353" s="184"/>
      <c r="K353" s="184"/>
      <c r="L353" s="184"/>
      <c r="M353" s="184">
        <f>1010700-27000+6592</f>
        <v>990292</v>
      </c>
      <c r="N353" s="184"/>
    </row>
    <row r="354" spans="1:14" s="45" customFormat="1" ht="12.75">
      <c r="A354" s="103"/>
      <c r="B354" s="81"/>
      <c r="C354" s="82">
        <v>4220</v>
      </c>
      <c r="D354" s="85" t="s">
        <v>196</v>
      </c>
      <c r="E354" s="184">
        <f t="shared" si="57"/>
        <v>539346</v>
      </c>
      <c r="F354" s="184">
        <f t="shared" si="58"/>
        <v>539346</v>
      </c>
      <c r="G354" s="184"/>
      <c r="H354" s="184"/>
      <c r="I354" s="184"/>
      <c r="J354" s="184"/>
      <c r="K354" s="184"/>
      <c r="L354" s="184"/>
      <c r="M354" s="184">
        <f>882600-314100-29154</f>
        <v>539346</v>
      </c>
      <c r="N354" s="184"/>
    </row>
    <row r="355" spans="1:14" s="45" customFormat="1" ht="25.5">
      <c r="A355" s="103"/>
      <c r="B355" s="81"/>
      <c r="C355" s="82">
        <v>4230</v>
      </c>
      <c r="D355" s="85" t="s">
        <v>373</v>
      </c>
      <c r="E355" s="184">
        <f t="shared" si="57"/>
        <v>158330</v>
      </c>
      <c r="F355" s="184">
        <f t="shared" si="58"/>
        <v>158330</v>
      </c>
      <c r="G355" s="184"/>
      <c r="H355" s="184"/>
      <c r="I355" s="184"/>
      <c r="J355" s="184"/>
      <c r="K355" s="184"/>
      <c r="L355" s="184"/>
      <c r="M355" s="184">
        <v>158330</v>
      </c>
      <c r="N355" s="184"/>
    </row>
    <row r="356" spans="1:14" s="45" customFormat="1" ht="12.75">
      <c r="A356" s="103"/>
      <c r="B356" s="81"/>
      <c r="C356" s="82">
        <v>4260</v>
      </c>
      <c r="D356" s="85" t="s">
        <v>72</v>
      </c>
      <c r="E356" s="184">
        <f t="shared" si="57"/>
        <v>240700</v>
      </c>
      <c r="F356" s="184">
        <f t="shared" si="58"/>
        <v>240700</v>
      </c>
      <c r="G356" s="184"/>
      <c r="H356" s="184"/>
      <c r="I356" s="184"/>
      <c r="J356" s="184"/>
      <c r="K356" s="184"/>
      <c r="L356" s="184"/>
      <c r="M356" s="184">
        <f>230700-5000+15000</f>
        <v>240700</v>
      </c>
      <c r="N356" s="184"/>
    </row>
    <row r="357" spans="1:14" s="45" customFormat="1" ht="12.75">
      <c r="A357" s="103"/>
      <c r="B357" s="81"/>
      <c r="C357" s="82">
        <v>4270</v>
      </c>
      <c r="D357" s="85" t="s">
        <v>73</v>
      </c>
      <c r="E357" s="184">
        <f t="shared" si="57"/>
        <v>169800</v>
      </c>
      <c r="F357" s="184">
        <f t="shared" si="58"/>
        <v>169800</v>
      </c>
      <c r="G357" s="184"/>
      <c r="H357" s="184"/>
      <c r="I357" s="184"/>
      <c r="J357" s="184"/>
      <c r="K357" s="184"/>
      <c r="L357" s="184"/>
      <c r="M357" s="184">
        <f>96800-2000+57000+18000</f>
        <v>169800</v>
      </c>
      <c r="N357" s="184"/>
    </row>
    <row r="358" spans="1:14" s="45" customFormat="1" ht="12.75">
      <c r="A358" s="103"/>
      <c r="B358" s="81"/>
      <c r="C358" s="82">
        <v>4280</v>
      </c>
      <c r="D358" s="85" t="s">
        <v>74</v>
      </c>
      <c r="E358" s="184">
        <f t="shared" si="57"/>
        <v>12870</v>
      </c>
      <c r="F358" s="184">
        <f t="shared" si="58"/>
        <v>12870</v>
      </c>
      <c r="G358" s="184"/>
      <c r="H358" s="184"/>
      <c r="I358" s="184"/>
      <c r="J358" s="184"/>
      <c r="K358" s="184"/>
      <c r="L358" s="184"/>
      <c r="M358" s="184">
        <f>13520-650</f>
        <v>12870</v>
      </c>
      <c r="N358" s="184"/>
    </row>
    <row r="359" spans="1:14" s="45" customFormat="1" ht="12.75">
      <c r="A359" s="103"/>
      <c r="B359" s="81"/>
      <c r="C359" s="82">
        <v>4300</v>
      </c>
      <c r="D359" s="85" t="s">
        <v>54</v>
      </c>
      <c r="E359" s="184">
        <f t="shared" si="57"/>
        <v>791000</v>
      </c>
      <c r="F359" s="184">
        <f t="shared" si="58"/>
        <v>791000</v>
      </c>
      <c r="G359" s="184"/>
      <c r="H359" s="184"/>
      <c r="I359" s="184"/>
      <c r="J359" s="184"/>
      <c r="K359" s="184"/>
      <c r="L359" s="184"/>
      <c r="M359" s="184">
        <f>250800+534200+6000</f>
        <v>791000</v>
      </c>
      <c r="N359" s="184"/>
    </row>
    <row r="360" spans="1:14" s="45" customFormat="1" ht="25.5">
      <c r="A360" s="103"/>
      <c r="B360" s="81"/>
      <c r="C360" s="82">
        <v>4350</v>
      </c>
      <c r="D360" s="85" t="s">
        <v>75</v>
      </c>
      <c r="E360" s="184">
        <f t="shared" si="57"/>
        <v>7500</v>
      </c>
      <c r="F360" s="184">
        <f t="shared" si="58"/>
        <v>7500</v>
      </c>
      <c r="G360" s="184"/>
      <c r="H360" s="184"/>
      <c r="I360" s="184"/>
      <c r="J360" s="184"/>
      <c r="K360" s="184"/>
      <c r="L360" s="184"/>
      <c r="M360" s="184">
        <v>7500</v>
      </c>
      <c r="N360" s="184"/>
    </row>
    <row r="361" spans="1:14" s="45" customFormat="1" ht="38.25">
      <c r="A361" s="103"/>
      <c r="B361" s="81"/>
      <c r="C361" s="82">
        <v>4360</v>
      </c>
      <c r="D361" s="85" t="s">
        <v>173</v>
      </c>
      <c r="E361" s="184">
        <f t="shared" si="57"/>
        <v>14650</v>
      </c>
      <c r="F361" s="184">
        <f t="shared" si="58"/>
        <v>14650</v>
      </c>
      <c r="G361" s="184"/>
      <c r="H361" s="184"/>
      <c r="I361" s="184"/>
      <c r="J361" s="184"/>
      <c r="K361" s="184"/>
      <c r="L361" s="184"/>
      <c r="M361" s="184">
        <f>15250-600</f>
        <v>14650</v>
      </c>
      <c r="N361" s="184"/>
    </row>
    <row r="362" spans="1:14" s="45" customFormat="1" ht="38.25">
      <c r="A362" s="103"/>
      <c r="B362" s="81"/>
      <c r="C362" s="82">
        <v>4370</v>
      </c>
      <c r="D362" s="85" t="s">
        <v>166</v>
      </c>
      <c r="E362" s="184">
        <f t="shared" si="57"/>
        <v>37750</v>
      </c>
      <c r="F362" s="184">
        <f t="shared" si="58"/>
        <v>37750</v>
      </c>
      <c r="G362" s="184"/>
      <c r="H362" s="184"/>
      <c r="I362" s="184"/>
      <c r="J362" s="184"/>
      <c r="K362" s="184"/>
      <c r="L362" s="184"/>
      <c r="M362" s="184">
        <f>40050-2300</f>
        <v>37750</v>
      </c>
      <c r="N362" s="184"/>
    </row>
    <row r="363" spans="1:14" s="45" customFormat="1" ht="12.75">
      <c r="A363" s="103"/>
      <c r="B363" s="81"/>
      <c r="C363" s="82">
        <v>4410</v>
      </c>
      <c r="D363" s="85" t="s">
        <v>80</v>
      </c>
      <c r="E363" s="184">
        <f t="shared" si="57"/>
        <v>10000</v>
      </c>
      <c r="F363" s="184">
        <f t="shared" si="58"/>
        <v>10000</v>
      </c>
      <c r="G363" s="184"/>
      <c r="H363" s="184"/>
      <c r="I363" s="184"/>
      <c r="J363" s="184"/>
      <c r="K363" s="184"/>
      <c r="L363" s="184"/>
      <c r="M363" s="184">
        <f>7130-330+3200</f>
        <v>10000</v>
      </c>
      <c r="N363" s="184"/>
    </row>
    <row r="364" spans="1:14" s="45" customFormat="1" ht="12.75">
      <c r="A364" s="103"/>
      <c r="B364" s="81"/>
      <c r="C364" s="82">
        <v>4430</v>
      </c>
      <c r="D364" s="85" t="s">
        <v>81</v>
      </c>
      <c r="E364" s="184">
        <f t="shared" si="57"/>
        <v>31470</v>
      </c>
      <c r="F364" s="184">
        <f t="shared" si="58"/>
        <v>31470</v>
      </c>
      <c r="G364" s="184"/>
      <c r="H364" s="184"/>
      <c r="I364" s="184"/>
      <c r="J364" s="184"/>
      <c r="K364" s="184"/>
      <c r="L364" s="184"/>
      <c r="M364" s="184">
        <f>30970-2500+3000</f>
        <v>31470</v>
      </c>
      <c r="N364" s="184"/>
    </row>
    <row r="365" spans="1:14" s="45" customFormat="1" ht="25.5">
      <c r="A365" s="103"/>
      <c r="B365" s="81"/>
      <c r="C365" s="82">
        <v>4440</v>
      </c>
      <c r="D365" s="85" t="s">
        <v>82</v>
      </c>
      <c r="E365" s="184">
        <f t="shared" si="57"/>
        <v>178260</v>
      </c>
      <c r="F365" s="184">
        <f t="shared" si="58"/>
        <v>178260</v>
      </c>
      <c r="G365" s="184"/>
      <c r="H365" s="184"/>
      <c r="I365" s="184"/>
      <c r="J365" s="184"/>
      <c r="K365" s="184"/>
      <c r="L365" s="184"/>
      <c r="M365" s="184">
        <f>185960-7700</f>
        <v>178260</v>
      </c>
      <c r="N365" s="184"/>
    </row>
    <row r="366" spans="1:14" s="45" customFormat="1" ht="12.75">
      <c r="A366" s="103"/>
      <c r="B366" s="81"/>
      <c r="C366" s="82">
        <v>4480</v>
      </c>
      <c r="D366" s="85" t="s">
        <v>83</v>
      </c>
      <c r="E366" s="184">
        <f t="shared" si="57"/>
        <v>31660</v>
      </c>
      <c r="F366" s="184">
        <f t="shared" si="58"/>
        <v>31660</v>
      </c>
      <c r="G366" s="184"/>
      <c r="H366" s="184"/>
      <c r="I366" s="184"/>
      <c r="J366" s="184"/>
      <c r="K366" s="184"/>
      <c r="L366" s="184"/>
      <c r="M366" s="184">
        <v>31660</v>
      </c>
      <c r="N366" s="184"/>
    </row>
    <row r="367" spans="1:14" s="45" customFormat="1" ht="25.5">
      <c r="A367" s="103"/>
      <c r="B367" s="81"/>
      <c r="C367" s="82">
        <v>4520</v>
      </c>
      <c r="D367" s="85" t="s">
        <v>202</v>
      </c>
      <c r="E367" s="184">
        <f t="shared" si="57"/>
        <v>4600</v>
      </c>
      <c r="F367" s="184">
        <f t="shared" si="58"/>
        <v>4600</v>
      </c>
      <c r="G367" s="184"/>
      <c r="H367" s="184"/>
      <c r="I367" s="184"/>
      <c r="J367" s="184"/>
      <c r="K367" s="184"/>
      <c r="L367" s="184"/>
      <c r="M367" s="184">
        <f>4600</f>
        <v>4600</v>
      </c>
      <c r="N367" s="184"/>
    </row>
    <row r="368" spans="1:14" s="45" customFormat="1" ht="38.25">
      <c r="A368" s="103"/>
      <c r="B368" s="81"/>
      <c r="C368" s="82">
        <v>4700</v>
      </c>
      <c r="D368" s="85" t="s">
        <v>323</v>
      </c>
      <c r="E368" s="184">
        <f t="shared" si="57"/>
        <v>14100</v>
      </c>
      <c r="F368" s="184">
        <f t="shared" si="58"/>
        <v>14100</v>
      </c>
      <c r="G368" s="184"/>
      <c r="H368" s="184"/>
      <c r="I368" s="184"/>
      <c r="J368" s="184"/>
      <c r="K368" s="184"/>
      <c r="L368" s="184"/>
      <c r="M368" s="184">
        <f>14100</f>
        <v>14100</v>
      </c>
      <c r="N368" s="184"/>
    </row>
    <row r="369" spans="1:14" s="45" customFormat="1" ht="38.25">
      <c r="A369" s="103"/>
      <c r="B369" s="81"/>
      <c r="C369" s="82">
        <v>4740</v>
      </c>
      <c r="D369" s="85" t="s">
        <v>107</v>
      </c>
      <c r="E369" s="184">
        <f t="shared" si="57"/>
        <v>7010</v>
      </c>
      <c r="F369" s="184">
        <f t="shared" si="58"/>
        <v>7010</v>
      </c>
      <c r="G369" s="184"/>
      <c r="H369" s="184"/>
      <c r="I369" s="184"/>
      <c r="J369" s="184"/>
      <c r="K369" s="184"/>
      <c r="L369" s="184"/>
      <c r="M369" s="184">
        <f>7910-900</f>
        <v>7010</v>
      </c>
      <c r="N369" s="184"/>
    </row>
    <row r="370" spans="1:14" s="45" customFormat="1" ht="24.75" customHeight="1">
      <c r="A370" s="103"/>
      <c r="B370" s="81"/>
      <c r="C370" s="82">
        <v>4750</v>
      </c>
      <c r="D370" s="85" t="s">
        <v>167</v>
      </c>
      <c r="E370" s="184">
        <f t="shared" si="57"/>
        <v>7720</v>
      </c>
      <c r="F370" s="184">
        <f t="shared" si="58"/>
        <v>7720</v>
      </c>
      <c r="G370" s="184"/>
      <c r="H370" s="184"/>
      <c r="I370" s="184"/>
      <c r="J370" s="184"/>
      <c r="K370" s="184"/>
      <c r="L370" s="184"/>
      <c r="M370" s="184">
        <f>4970-1000+3750</f>
        <v>7720</v>
      </c>
      <c r="N370" s="184"/>
    </row>
    <row r="371" spans="1:14" s="45" customFormat="1" ht="25.5">
      <c r="A371" s="78"/>
      <c r="B371" s="78"/>
      <c r="C371" s="82">
        <v>6050</v>
      </c>
      <c r="D371" s="93" t="s">
        <v>409</v>
      </c>
      <c r="E371" s="184">
        <f t="shared" si="57"/>
        <v>160699</v>
      </c>
      <c r="F371" s="184">
        <f t="shared" si="58"/>
        <v>0</v>
      </c>
      <c r="G371" s="184"/>
      <c r="H371" s="184"/>
      <c r="I371" s="184"/>
      <c r="J371" s="184"/>
      <c r="K371" s="184"/>
      <c r="L371" s="184"/>
      <c r="M371" s="184"/>
      <c r="N371" s="184">
        <f>53400+26000+3299+28000+50000</f>
        <v>160699</v>
      </c>
    </row>
    <row r="372" spans="1:14" s="45" customFormat="1" ht="25.5">
      <c r="A372" s="78"/>
      <c r="B372" s="78"/>
      <c r="C372" s="82">
        <v>6060</v>
      </c>
      <c r="D372" s="93" t="s">
        <v>325</v>
      </c>
      <c r="E372" s="184">
        <f t="shared" si="57"/>
        <v>7500</v>
      </c>
      <c r="F372" s="184">
        <f t="shared" si="58"/>
        <v>0</v>
      </c>
      <c r="G372" s="184"/>
      <c r="H372" s="184"/>
      <c r="I372" s="184"/>
      <c r="J372" s="184"/>
      <c r="K372" s="184"/>
      <c r="L372" s="184"/>
      <c r="M372" s="184"/>
      <c r="N372" s="184">
        <v>7500</v>
      </c>
    </row>
    <row r="373" spans="1:14" s="76" customFormat="1" ht="12.75">
      <c r="A373" s="114"/>
      <c r="B373" s="83">
        <v>85203</v>
      </c>
      <c r="C373" s="86"/>
      <c r="D373" s="90" t="s">
        <v>203</v>
      </c>
      <c r="E373" s="195">
        <f t="shared" si="57"/>
        <v>697000</v>
      </c>
      <c r="F373" s="195">
        <f t="shared" si="58"/>
        <v>697000</v>
      </c>
      <c r="G373" s="195">
        <f aca="true" t="shared" si="60" ref="G373:N373">SUM(G374:G396)</f>
        <v>373552</v>
      </c>
      <c r="H373" s="195">
        <f t="shared" si="60"/>
        <v>24513</v>
      </c>
      <c r="I373" s="195">
        <f t="shared" si="60"/>
        <v>75601</v>
      </c>
      <c r="J373" s="195">
        <f t="shared" si="60"/>
        <v>0</v>
      </c>
      <c r="K373" s="195">
        <f t="shared" si="60"/>
        <v>0</v>
      </c>
      <c r="L373" s="195">
        <f t="shared" si="60"/>
        <v>0</v>
      </c>
      <c r="M373" s="195">
        <f t="shared" si="60"/>
        <v>223334</v>
      </c>
      <c r="N373" s="195">
        <f t="shared" si="60"/>
        <v>0</v>
      </c>
    </row>
    <row r="374" spans="1:14" s="45" customFormat="1" ht="25.5">
      <c r="A374" s="103"/>
      <c r="B374" s="81"/>
      <c r="C374" s="82">
        <v>3020</v>
      </c>
      <c r="D374" s="85" t="s">
        <v>200</v>
      </c>
      <c r="E374" s="184">
        <f t="shared" si="57"/>
        <v>800</v>
      </c>
      <c r="F374" s="184">
        <f t="shared" si="58"/>
        <v>800</v>
      </c>
      <c r="G374" s="184"/>
      <c r="H374" s="184"/>
      <c r="I374" s="184"/>
      <c r="J374" s="184"/>
      <c r="K374" s="184"/>
      <c r="L374" s="184"/>
      <c r="M374" s="184">
        <f>600+200</f>
        <v>800</v>
      </c>
      <c r="N374" s="184"/>
    </row>
    <row r="375" spans="1:14" s="45" customFormat="1" ht="25.5">
      <c r="A375" s="103"/>
      <c r="B375" s="81"/>
      <c r="C375" s="82">
        <v>4010</v>
      </c>
      <c r="D375" s="85" t="s">
        <v>66</v>
      </c>
      <c r="E375" s="184">
        <f t="shared" si="57"/>
        <v>373552</v>
      </c>
      <c r="F375" s="184">
        <f t="shared" si="58"/>
        <v>373552</v>
      </c>
      <c r="G375" s="184">
        <f>366180+15372-8000</f>
        <v>373552</v>
      </c>
      <c r="H375" s="184"/>
      <c r="I375" s="184"/>
      <c r="J375" s="184"/>
      <c r="K375" s="184"/>
      <c r="L375" s="184"/>
      <c r="M375" s="184"/>
      <c r="N375" s="184"/>
    </row>
    <row r="376" spans="1:14" s="45" customFormat="1" ht="12.75">
      <c r="A376" s="103"/>
      <c r="B376" s="81"/>
      <c r="C376" s="82">
        <v>4040</v>
      </c>
      <c r="D376" s="85" t="s">
        <v>67</v>
      </c>
      <c r="E376" s="184">
        <f t="shared" si="57"/>
        <v>24513</v>
      </c>
      <c r="F376" s="184">
        <f t="shared" si="58"/>
        <v>24513</v>
      </c>
      <c r="G376" s="184"/>
      <c r="H376" s="184">
        <f>28400-3354-533</f>
        <v>24513</v>
      </c>
      <c r="I376" s="184"/>
      <c r="J376" s="184"/>
      <c r="K376" s="184"/>
      <c r="L376" s="184"/>
      <c r="M376" s="184"/>
      <c r="N376" s="184"/>
    </row>
    <row r="377" spans="1:14" s="45" customFormat="1" ht="12.75">
      <c r="A377" s="103"/>
      <c r="B377" s="81"/>
      <c r="C377" s="82">
        <v>4110</v>
      </c>
      <c r="D377" s="85" t="s">
        <v>68</v>
      </c>
      <c r="E377" s="184">
        <f t="shared" si="57"/>
        <v>65941</v>
      </c>
      <c r="F377" s="184">
        <f t="shared" si="58"/>
        <v>65941</v>
      </c>
      <c r="G377" s="184"/>
      <c r="H377" s="184"/>
      <c r="I377" s="184">
        <f>63530+2411</f>
        <v>65941</v>
      </c>
      <c r="J377" s="184"/>
      <c r="K377" s="184"/>
      <c r="L377" s="184"/>
      <c r="M377" s="184"/>
      <c r="N377" s="184"/>
    </row>
    <row r="378" spans="1:14" s="45" customFormat="1" ht="12.75">
      <c r="A378" s="103"/>
      <c r="B378" s="81"/>
      <c r="C378" s="82">
        <v>4120</v>
      </c>
      <c r="D378" s="85" t="s">
        <v>69</v>
      </c>
      <c r="E378" s="184">
        <f t="shared" si="57"/>
        <v>9660</v>
      </c>
      <c r="F378" s="184">
        <f t="shared" si="58"/>
        <v>9660</v>
      </c>
      <c r="G378" s="184"/>
      <c r="H378" s="184"/>
      <c r="I378" s="184">
        <f>9320+340</f>
        <v>9660</v>
      </c>
      <c r="J378" s="184"/>
      <c r="K378" s="184"/>
      <c r="L378" s="184"/>
      <c r="M378" s="184"/>
      <c r="N378" s="184"/>
    </row>
    <row r="379" spans="1:14" s="45" customFormat="1" ht="12.75">
      <c r="A379" s="103"/>
      <c r="B379" s="81"/>
      <c r="C379" s="82">
        <v>4170</v>
      </c>
      <c r="D379" s="85" t="s">
        <v>201</v>
      </c>
      <c r="E379" s="184">
        <f t="shared" si="57"/>
        <v>16400</v>
      </c>
      <c r="F379" s="184">
        <f t="shared" si="58"/>
        <v>16400</v>
      </c>
      <c r="G379" s="184"/>
      <c r="H379" s="184"/>
      <c r="I379" s="184"/>
      <c r="J379" s="184"/>
      <c r="K379" s="184"/>
      <c r="L379" s="184"/>
      <c r="M379" s="184">
        <f>8400+8000</f>
        <v>16400</v>
      </c>
      <c r="N379" s="184"/>
    </row>
    <row r="380" spans="1:14" s="45" customFormat="1" ht="12.75">
      <c r="A380" s="103"/>
      <c r="B380" s="81"/>
      <c r="C380" s="82">
        <v>4210</v>
      </c>
      <c r="D380" s="85" t="s">
        <v>71</v>
      </c>
      <c r="E380" s="184">
        <f t="shared" si="57"/>
        <v>71571</v>
      </c>
      <c r="F380" s="184">
        <f t="shared" si="58"/>
        <v>71571</v>
      </c>
      <c r="G380" s="184"/>
      <c r="H380" s="184"/>
      <c r="I380" s="184"/>
      <c r="J380" s="184"/>
      <c r="K380" s="184"/>
      <c r="L380" s="184"/>
      <c r="M380" s="184">
        <f>116500-30160-14769</f>
        <v>71571</v>
      </c>
      <c r="N380" s="184"/>
    </row>
    <row r="381" spans="1:14" s="45" customFormat="1" ht="12.75">
      <c r="A381" s="103"/>
      <c r="B381" s="81"/>
      <c r="C381" s="82">
        <v>4220</v>
      </c>
      <c r="D381" s="85" t="s">
        <v>196</v>
      </c>
      <c r="E381" s="184">
        <f t="shared" si="57"/>
        <v>40283</v>
      </c>
      <c r="F381" s="184">
        <f t="shared" si="58"/>
        <v>40283</v>
      </c>
      <c r="G381" s="184"/>
      <c r="H381" s="184"/>
      <c r="I381" s="184"/>
      <c r="J381" s="184"/>
      <c r="K381" s="184"/>
      <c r="L381" s="184"/>
      <c r="M381" s="184">
        <f>35700-13750+18333</f>
        <v>40283</v>
      </c>
      <c r="N381" s="184"/>
    </row>
    <row r="382" spans="1:14" s="45" customFormat="1" ht="25.5">
      <c r="A382" s="103"/>
      <c r="B382" s="81"/>
      <c r="C382" s="82">
        <v>4230</v>
      </c>
      <c r="D382" s="85" t="s">
        <v>197</v>
      </c>
      <c r="E382" s="184">
        <f t="shared" si="57"/>
        <v>100</v>
      </c>
      <c r="F382" s="184">
        <f t="shared" si="58"/>
        <v>100</v>
      </c>
      <c r="G382" s="184"/>
      <c r="H382" s="184"/>
      <c r="I382" s="184"/>
      <c r="J382" s="184"/>
      <c r="K382" s="184"/>
      <c r="L382" s="184"/>
      <c r="M382" s="184">
        <v>100</v>
      </c>
      <c r="N382" s="184"/>
    </row>
    <row r="383" spans="1:14" s="45" customFormat="1" ht="12.75">
      <c r="A383" s="103"/>
      <c r="B383" s="81"/>
      <c r="C383" s="82">
        <v>4260</v>
      </c>
      <c r="D383" s="85" t="s">
        <v>72</v>
      </c>
      <c r="E383" s="184">
        <f t="shared" si="57"/>
        <v>11100</v>
      </c>
      <c r="F383" s="184">
        <f t="shared" si="58"/>
        <v>11100</v>
      </c>
      <c r="G383" s="184"/>
      <c r="H383" s="184"/>
      <c r="I383" s="184"/>
      <c r="J383" s="184"/>
      <c r="K383" s="184"/>
      <c r="L383" s="184"/>
      <c r="M383" s="184">
        <v>11100</v>
      </c>
      <c r="N383" s="184"/>
    </row>
    <row r="384" spans="1:14" s="45" customFormat="1" ht="12.75">
      <c r="A384" s="103"/>
      <c r="B384" s="81"/>
      <c r="C384" s="82">
        <v>4270</v>
      </c>
      <c r="D384" s="85" t="s">
        <v>73</v>
      </c>
      <c r="E384" s="184">
        <f t="shared" si="57"/>
        <v>7220</v>
      </c>
      <c r="F384" s="184">
        <f t="shared" si="58"/>
        <v>7220</v>
      </c>
      <c r="G384" s="184"/>
      <c r="H384" s="184"/>
      <c r="I384" s="184"/>
      <c r="J384" s="184"/>
      <c r="K384" s="184"/>
      <c r="L384" s="184"/>
      <c r="M384" s="184">
        <f>6220+1000</f>
        <v>7220</v>
      </c>
      <c r="N384" s="184"/>
    </row>
    <row r="385" spans="1:14" s="45" customFormat="1" ht="12.75">
      <c r="A385" s="103"/>
      <c r="B385" s="81"/>
      <c r="C385" s="82">
        <v>4280</v>
      </c>
      <c r="D385" s="85" t="s">
        <v>74</v>
      </c>
      <c r="E385" s="184">
        <f t="shared" si="57"/>
        <v>1200</v>
      </c>
      <c r="F385" s="184">
        <f t="shared" si="58"/>
        <v>1200</v>
      </c>
      <c r="G385" s="184"/>
      <c r="H385" s="184"/>
      <c r="I385" s="184"/>
      <c r="J385" s="184"/>
      <c r="K385" s="184"/>
      <c r="L385" s="184"/>
      <c r="M385" s="184">
        <v>1200</v>
      </c>
      <c r="N385" s="184"/>
    </row>
    <row r="386" spans="1:14" s="45" customFormat="1" ht="12.75">
      <c r="A386" s="103"/>
      <c r="B386" s="81"/>
      <c r="C386" s="82">
        <v>4300</v>
      </c>
      <c r="D386" s="85" t="s">
        <v>54</v>
      </c>
      <c r="E386" s="184">
        <f t="shared" si="57"/>
        <v>41800</v>
      </c>
      <c r="F386" s="184">
        <f t="shared" si="58"/>
        <v>41800</v>
      </c>
      <c r="G386" s="184"/>
      <c r="H386" s="184"/>
      <c r="I386" s="184"/>
      <c r="J386" s="184"/>
      <c r="K386" s="184"/>
      <c r="L386" s="184"/>
      <c r="M386" s="184">
        <f>16500+43300-18000</f>
        <v>41800</v>
      </c>
      <c r="N386" s="184"/>
    </row>
    <row r="387" spans="1:14" s="45" customFormat="1" ht="38.25">
      <c r="A387" s="103"/>
      <c r="B387" s="81"/>
      <c r="C387" s="82">
        <v>4360</v>
      </c>
      <c r="D387" s="85" t="s">
        <v>173</v>
      </c>
      <c r="E387" s="184">
        <f t="shared" si="57"/>
        <v>480</v>
      </c>
      <c r="F387" s="184">
        <f t="shared" si="58"/>
        <v>480</v>
      </c>
      <c r="G387" s="184"/>
      <c r="H387" s="184"/>
      <c r="I387" s="184"/>
      <c r="J387" s="184"/>
      <c r="K387" s="184"/>
      <c r="L387" s="184"/>
      <c r="M387" s="184">
        <v>480</v>
      </c>
      <c r="N387" s="184"/>
    </row>
    <row r="388" spans="1:14" s="45" customFormat="1" ht="38.25">
      <c r="A388" s="103"/>
      <c r="B388" s="81"/>
      <c r="C388" s="82">
        <v>4370</v>
      </c>
      <c r="D388" s="85" t="s">
        <v>166</v>
      </c>
      <c r="E388" s="184">
        <f t="shared" si="57"/>
        <v>2750</v>
      </c>
      <c r="F388" s="184">
        <f t="shared" si="58"/>
        <v>2750</v>
      </c>
      <c r="G388" s="184"/>
      <c r="H388" s="184"/>
      <c r="I388" s="184"/>
      <c r="J388" s="184"/>
      <c r="K388" s="184"/>
      <c r="L388" s="184"/>
      <c r="M388" s="184">
        <f>4050-1300</f>
        <v>2750</v>
      </c>
      <c r="N388" s="184"/>
    </row>
    <row r="389" spans="1:14" s="45" customFormat="1" ht="12.75">
      <c r="A389" s="103"/>
      <c r="B389" s="81"/>
      <c r="C389" s="82">
        <v>4410</v>
      </c>
      <c r="D389" s="85" t="s">
        <v>80</v>
      </c>
      <c r="E389" s="184">
        <f t="shared" si="57"/>
        <v>600</v>
      </c>
      <c r="F389" s="184">
        <f t="shared" si="58"/>
        <v>600</v>
      </c>
      <c r="G389" s="184"/>
      <c r="H389" s="184"/>
      <c r="I389" s="184"/>
      <c r="J389" s="184"/>
      <c r="K389" s="184"/>
      <c r="L389" s="184"/>
      <c r="M389" s="184">
        <f>300+300</f>
        <v>600</v>
      </c>
      <c r="N389" s="184"/>
    </row>
    <row r="390" spans="1:14" s="45" customFormat="1" ht="12.75">
      <c r="A390" s="103"/>
      <c r="B390" s="81"/>
      <c r="C390" s="82">
        <v>4430</v>
      </c>
      <c r="D390" s="85" t="s">
        <v>81</v>
      </c>
      <c r="E390" s="184">
        <f t="shared" si="57"/>
        <v>7400</v>
      </c>
      <c r="F390" s="184">
        <f t="shared" si="58"/>
        <v>7400</v>
      </c>
      <c r="G390" s="184"/>
      <c r="H390" s="184"/>
      <c r="I390" s="184"/>
      <c r="J390" s="184"/>
      <c r="K390" s="184"/>
      <c r="L390" s="184"/>
      <c r="M390" s="184">
        <f>8400-1000</f>
        <v>7400</v>
      </c>
      <c r="N390" s="184"/>
    </row>
    <row r="391" spans="1:14" s="45" customFormat="1" ht="25.5">
      <c r="A391" s="103"/>
      <c r="B391" s="81"/>
      <c r="C391" s="82">
        <v>4440</v>
      </c>
      <c r="D391" s="85" t="s">
        <v>82</v>
      </c>
      <c r="E391" s="184">
        <f t="shared" si="57"/>
        <v>13920</v>
      </c>
      <c r="F391" s="184">
        <f t="shared" si="58"/>
        <v>13920</v>
      </c>
      <c r="G391" s="184"/>
      <c r="H391" s="184"/>
      <c r="I391" s="184"/>
      <c r="J391" s="184"/>
      <c r="K391" s="184"/>
      <c r="L391" s="184"/>
      <c r="M391" s="184">
        <v>13920</v>
      </c>
      <c r="N391" s="184"/>
    </row>
    <row r="392" spans="1:14" s="45" customFormat="1" ht="12.75">
      <c r="A392" s="103"/>
      <c r="B392" s="81"/>
      <c r="C392" s="82">
        <v>4480</v>
      </c>
      <c r="D392" s="85" t="s">
        <v>83</v>
      </c>
      <c r="E392" s="184">
        <f t="shared" si="57"/>
        <v>2600</v>
      </c>
      <c r="F392" s="184">
        <f t="shared" si="58"/>
        <v>2600</v>
      </c>
      <c r="G392" s="184"/>
      <c r="H392" s="184"/>
      <c r="I392" s="184"/>
      <c r="J392" s="184"/>
      <c r="K392" s="184"/>
      <c r="L392" s="184"/>
      <c r="M392" s="184">
        <f>4600-2000</f>
        <v>2600</v>
      </c>
      <c r="N392" s="184"/>
    </row>
    <row r="393" spans="1:14" s="45" customFormat="1" ht="12.75">
      <c r="A393" s="103"/>
      <c r="B393" s="81"/>
      <c r="C393" s="82">
        <v>4520</v>
      </c>
      <c r="D393" s="85" t="s">
        <v>374</v>
      </c>
      <c r="E393" s="184">
        <f t="shared" si="57"/>
        <v>710</v>
      </c>
      <c r="F393" s="184">
        <f t="shared" si="58"/>
        <v>710</v>
      </c>
      <c r="G393" s="184"/>
      <c r="H393" s="184"/>
      <c r="I393" s="184"/>
      <c r="J393" s="184"/>
      <c r="K393" s="184"/>
      <c r="L393" s="184"/>
      <c r="M393" s="184">
        <f>200-100+610</f>
        <v>710</v>
      </c>
      <c r="N393" s="184"/>
    </row>
    <row r="394" spans="1:14" s="45" customFormat="1" ht="38.25">
      <c r="A394" s="103"/>
      <c r="B394" s="81"/>
      <c r="C394" s="82">
        <v>4700</v>
      </c>
      <c r="D394" s="85" t="s">
        <v>323</v>
      </c>
      <c r="E394" s="184">
        <f t="shared" si="57"/>
        <v>3100</v>
      </c>
      <c r="F394" s="184">
        <f t="shared" si="58"/>
        <v>3100</v>
      </c>
      <c r="G394" s="184"/>
      <c r="H394" s="184"/>
      <c r="I394" s="184"/>
      <c r="J394" s="184"/>
      <c r="K394" s="184"/>
      <c r="L394" s="184"/>
      <c r="M394" s="184">
        <f>100+2000+1000</f>
        <v>3100</v>
      </c>
      <c r="N394" s="184"/>
    </row>
    <row r="395" spans="1:14" s="45" customFormat="1" ht="38.25">
      <c r="A395" s="103"/>
      <c r="B395" s="81"/>
      <c r="C395" s="82">
        <v>4740</v>
      </c>
      <c r="D395" s="85" t="s">
        <v>107</v>
      </c>
      <c r="E395" s="184">
        <f t="shared" si="57"/>
        <v>1000</v>
      </c>
      <c r="F395" s="184">
        <f t="shared" si="58"/>
        <v>1000</v>
      </c>
      <c r="G395" s="184"/>
      <c r="H395" s="184"/>
      <c r="I395" s="184"/>
      <c r="J395" s="184"/>
      <c r="K395" s="184"/>
      <c r="L395" s="184"/>
      <c r="M395" s="184">
        <v>1000</v>
      </c>
      <c r="N395" s="184"/>
    </row>
    <row r="396" spans="1:14" s="45" customFormat="1" ht="25.5">
      <c r="A396" s="103"/>
      <c r="B396" s="81"/>
      <c r="C396" s="82">
        <v>4750</v>
      </c>
      <c r="D396" s="85" t="s">
        <v>167</v>
      </c>
      <c r="E396" s="184">
        <f t="shared" si="57"/>
        <v>300</v>
      </c>
      <c r="F396" s="184">
        <f t="shared" si="58"/>
        <v>300</v>
      </c>
      <c r="G396" s="184"/>
      <c r="H396" s="184"/>
      <c r="I396" s="184"/>
      <c r="J396" s="184"/>
      <c r="K396" s="184"/>
      <c r="L396" s="184"/>
      <c r="M396" s="184">
        <v>300</v>
      </c>
      <c r="N396" s="184"/>
    </row>
    <row r="397" spans="1:14" s="76" customFormat="1" ht="12.75">
      <c r="A397" s="114"/>
      <c r="B397" s="83">
        <v>85204</v>
      </c>
      <c r="C397" s="86"/>
      <c r="D397" s="90" t="s">
        <v>204</v>
      </c>
      <c r="E397" s="195">
        <f aca="true" t="shared" si="61" ref="E397:E408">F397+N397</f>
        <v>1903436</v>
      </c>
      <c r="F397" s="195">
        <f aca="true" t="shared" si="62" ref="F397:F408">SUM(G397:M397)</f>
        <v>1903436</v>
      </c>
      <c r="G397" s="195">
        <f aca="true" t="shared" si="63" ref="G397:N397">SUM(G398:G402)</f>
        <v>0</v>
      </c>
      <c r="H397" s="195">
        <f t="shared" si="63"/>
        <v>0</v>
      </c>
      <c r="I397" s="195">
        <f t="shared" si="63"/>
        <v>26190</v>
      </c>
      <c r="J397" s="195">
        <f t="shared" si="63"/>
        <v>137440</v>
      </c>
      <c r="K397" s="195">
        <f t="shared" si="63"/>
        <v>0</v>
      </c>
      <c r="L397" s="195">
        <f t="shared" si="63"/>
        <v>0</v>
      </c>
      <c r="M397" s="195">
        <f>SUM(M398:M402)</f>
        <v>1739806</v>
      </c>
      <c r="N397" s="195">
        <f t="shared" si="63"/>
        <v>0</v>
      </c>
    </row>
    <row r="398" spans="1:14" s="45" customFormat="1" ht="76.5">
      <c r="A398" s="103"/>
      <c r="B398" s="81"/>
      <c r="C398" s="82">
        <v>2320</v>
      </c>
      <c r="D398" s="85" t="s">
        <v>194</v>
      </c>
      <c r="E398" s="184">
        <f t="shared" si="61"/>
        <v>137440</v>
      </c>
      <c r="F398" s="184">
        <f t="shared" si="62"/>
        <v>137440</v>
      </c>
      <c r="G398" s="184"/>
      <c r="H398" s="184"/>
      <c r="I398" s="184"/>
      <c r="J398" s="184">
        <f>87440+50000</f>
        <v>137440</v>
      </c>
      <c r="K398" s="184"/>
      <c r="L398" s="184"/>
      <c r="M398" s="184"/>
      <c r="N398" s="184"/>
    </row>
    <row r="399" spans="1:14" s="45" customFormat="1" ht="12.75">
      <c r="A399" s="103"/>
      <c r="B399" s="81"/>
      <c r="C399" s="82">
        <v>3110</v>
      </c>
      <c r="D399" s="85" t="s">
        <v>195</v>
      </c>
      <c r="E399" s="184">
        <f t="shared" si="61"/>
        <v>1579000</v>
      </c>
      <c r="F399" s="184">
        <f t="shared" si="62"/>
        <v>1579000</v>
      </c>
      <c r="G399" s="184"/>
      <c r="H399" s="184"/>
      <c r="I399" s="184"/>
      <c r="J399" s="184"/>
      <c r="K399" s="184"/>
      <c r="L399" s="184"/>
      <c r="M399" s="184">
        <v>1579000</v>
      </c>
      <c r="N399" s="184"/>
    </row>
    <row r="400" spans="1:14" s="45" customFormat="1" ht="12.75">
      <c r="A400" s="103"/>
      <c r="B400" s="81"/>
      <c r="C400" s="82">
        <v>4170</v>
      </c>
      <c r="D400" s="85" t="s">
        <v>70</v>
      </c>
      <c r="E400" s="184">
        <f t="shared" si="61"/>
        <v>160806</v>
      </c>
      <c r="F400" s="184">
        <f t="shared" si="62"/>
        <v>160806</v>
      </c>
      <c r="G400" s="184"/>
      <c r="H400" s="184"/>
      <c r="I400" s="184"/>
      <c r="J400" s="184"/>
      <c r="K400" s="184"/>
      <c r="L400" s="184"/>
      <c r="M400" s="184">
        <f>150900+5953+'[1]Arkusz1'!$K$267</f>
        <v>160806</v>
      </c>
      <c r="N400" s="184"/>
    </row>
    <row r="401" spans="1:14" s="45" customFormat="1" ht="12.75">
      <c r="A401" s="103"/>
      <c r="B401" s="81"/>
      <c r="C401" s="82">
        <v>4110</v>
      </c>
      <c r="D401" s="85" t="s">
        <v>162</v>
      </c>
      <c r="E401" s="184">
        <f t="shared" si="61"/>
        <v>22354</v>
      </c>
      <c r="F401" s="184">
        <f t="shared" si="62"/>
        <v>22354</v>
      </c>
      <c r="G401" s="184"/>
      <c r="H401" s="184"/>
      <c r="I401" s="184">
        <f>21300+'[1]Arkusz1'!$K$268</f>
        <v>22354</v>
      </c>
      <c r="J401" s="184"/>
      <c r="K401" s="184"/>
      <c r="L401" s="184"/>
      <c r="M401" s="184"/>
      <c r="N401" s="184"/>
    </row>
    <row r="402" spans="1:14" s="45" customFormat="1" ht="12.75">
      <c r="A402" s="103"/>
      <c r="B402" s="81"/>
      <c r="C402" s="82">
        <v>4120</v>
      </c>
      <c r="D402" s="85" t="s">
        <v>69</v>
      </c>
      <c r="E402" s="184">
        <f t="shared" si="61"/>
        <v>3836</v>
      </c>
      <c r="F402" s="184">
        <f t="shared" si="62"/>
        <v>3836</v>
      </c>
      <c r="G402" s="184"/>
      <c r="H402" s="184"/>
      <c r="I402" s="184">
        <f>3700+136</f>
        <v>3836</v>
      </c>
      <c r="J402" s="184"/>
      <c r="K402" s="184"/>
      <c r="L402" s="184"/>
      <c r="M402" s="184"/>
      <c r="N402" s="184"/>
    </row>
    <row r="403" spans="1:14" s="76" customFormat="1" ht="25.5">
      <c r="A403" s="114"/>
      <c r="B403" s="83">
        <v>85218</v>
      </c>
      <c r="C403" s="86"/>
      <c r="D403" s="90" t="s">
        <v>205</v>
      </c>
      <c r="E403" s="195">
        <f t="shared" si="61"/>
        <v>555769</v>
      </c>
      <c r="F403" s="195">
        <f t="shared" si="62"/>
        <v>555769</v>
      </c>
      <c r="G403" s="195">
        <f aca="true" t="shared" si="64" ref="G403:N403">SUM(G404:G426)</f>
        <v>343092</v>
      </c>
      <c r="H403" s="195">
        <f t="shared" si="64"/>
        <v>26249</v>
      </c>
      <c r="I403" s="195">
        <f t="shared" si="64"/>
        <v>64319</v>
      </c>
      <c r="J403" s="195">
        <f t="shared" si="64"/>
        <v>0</v>
      </c>
      <c r="K403" s="195">
        <f t="shared" si="64"/>
        <v>0</v>
      </c>
      <c r="L403" s="195">
        <f t="shared" si="64"/>
        <v>0</v>
      </c>
      <c r="M403" s="195">
        <f t="shared" si="64"/>
        <v>122109</v>
      </c>
      <c r="N403" s="195">
        <f t="shared" si="64"/>
        <v>0</v>
      </c>
    </row>
    <row r="404" spans="1:14" s="45" customFormat="1" ht="25.5">
      <c r="A404" s="103"/>
      <c r="B404" s="81"/>
      <c r="C404" s="82">
        <v>3020</v>
      </c>
      <c r="D404" s="85" t="s">
        <v>324</v>
      </c>
      <c r="E404" s="184">
        <f t="shared" si="61"/>
        <v>1000</v>
      </c>
      <c r="F404" s="184">
        <f t="shared" si="62"/>
        <v>1000</v>
      </c>
      <c r="G404" s="184"/>
      <c r="H404" s="184"/>
      <c r="I404" s="184"/>
      <c r="J404" s="184"/>
      <c r="K404" s="184"/>
      <c r="L404" s="184"/>
      <c r="M404" s="184">
        <v>1000</v>
      </c>
      <c r="N404" s="184"/>
    </row>
    <row r="405" spans="1:14" s="45" customFormat="1" ht="25.5">
      <c r="A405" s="103"/>
      <c r="B405" s="81"/>
      <c r="C405" s="82">
        <v>4010</v>
      </c>
      <c r="D405" s="85" t="s">
        <v>66</v>
      </c>
      <c r="E405" s="184">
        <f t="shared" si="61"/>
        <v>343092</v>
      </c>
      <c r="F405" s="184">
        <f t="shared" si="62"/>
        <v>343092</v>
      </c>
      <c r="G405" s="184">
        <f>339010+15933+3000-14851</f>
        <v>343092</v>
      </c>
      <c r="H405" s="184"/>
      <c r="I405" s="184"/>
      <c r="J405" s="184"/>
      <c r="K405" s="184"/>
      <c r="L405" s="184"/>
      <c r="M405" s="184"/>
      <c r="N405" s="184"/>
    </row>
    <row r="406" spans="1:14" s="45" customFormat="1" ht="12.75">
      <c r="A406" s="103"/>
      <c r="B406" s="81"/>
      <c r="C406" s="82">
        <v>4040</v>
      </c>
      <c r="D406" s="85" t="s">
        <v>67</v>
      </c>
      <c r="E406" s="184">
        <f t="shared" si="61"/>
        <v>26249</v>
      </c>
      <c r="F406" s="184">
        <f t="shared" si="62"/>
        <v>26249</v>
      </c>
      <c r="G406" s="184"/>
      <c r="H406" s="184">
        <f>26400-109-42</f>
        <v>26249</v>
      </c>
      <c r="I406" s="184"/>
      <c r="J406" s="184"/>
      <c r="K406" s="184"/>
      <c r="L406" s="184"/>
      <c r="M406" s="184"/>
      <c r="N406" s="184"/>
    </row>
    <row r="407" spans="1:14" s="45" customFormat="1" ht="12.75">
      <c r="A407" s="103"/>
      <c r="B407" s="81"/>
      <c r="C407" s="82">
        <v>4110</v>
      </c>
      <c r="D407" s="85" t="s">
        <v>68</v>
      </c>
      <c r="E407" s="184">
        <f t="shared" si="61"/>
        <v>55509</v>
      </c>
      <c r="F407" s="184">
        <f t="shared" si="62"/>
        <v>55509</v>
      </c>
      <c r="G407" s="184"/>
      <c r="H407" s="184"/>
      <c r="I407" s="184">
        <f>55000+2460-1951</f>
        <v>55509</v>
      </c>
      <c r="J407" s="184"/>
      <c r="K407" s="184"/>
      <c r="L407" s="184"/>
      <c r="M407" s="184"/>
      <c r="N407" s="184"/>
    </row>
    <row r="408" spans="1:14" s="45" customFormat="1" ht="12.75">
      <c r="A408" s="103"/>
      <c r="B408" s="81"/>
      <c r="C408" s="82">
        <v>4120</v>
      </c>
      <c r="D408" s="85" t="s">
        <v>69</v>
      </c>
      <c r="E408" s="184">
        <f t="shared" si="61"/>
        <v>8810</v>
      </c>
      <c r="F408" s="184">
        <f t="shared" si="62"/>
        <v>8810</v>
      </c>
      <c r="G408" s="184"/>
      <c r="H408" s="184"/>
      <c r="I408" s="184">
        <f>8730+390-310</f>
        <v>8810</v>
      </c>
      <c r="J408" s="184"/>
      <c r="K408" s="184"/>
      <c r="L408" s="184"/>
      <c r="M408" s="184"/>
      <c r="N408" s="184"/>
    </row>
    <row r="409" spans="1:14" s="45" customFormat="1" ht="12.75">
      <c r="A409" s="103"/>
      <c r="B409" s="81"/>
      <c r="C409" s="82">
        <v>4170</v>
      </c>
      <c r="D409" s="85" t="s">
        <v>201</v>
      </c>
      <c r="E409" s="184">
        <f aca="true" t="shared" si="65" ref="E409:E481">F409+N409</f>
        <v>6600</v>
      </c>
      <c r="F409" s="184">
        <f aca="true" t="shared" si="66" ref="F409:F481">SUM(G409:M409)</f>
        <v>6600</v>
      </c>
      <c r="G409" s="184"/>
      <c r="H409" s="184"/>
      <c r="I409" s="184"/>
      <c r="J409" s="184"/>
      <c r="K409" s="184"/>
      <c r="L409" s="184"/>
      <c r="M409" s="184">
        <v>6600</v>
      </c>
      <c r="N409" s="184"/>
    </row>
    <row r="410" spans="1:14" s="45" customFormat="1" ht="12.75">
      <c r="A410" s="103"/>
      <c r="B410" s="81"/>
      <c r="C410" s="82">
        <v>4210</v>
      </c>
      <c r="D410" s="85" t="s">
        <v>71</v>
      </c>
      <c r="E410" s="184">
        <f t="shared" si="65"/>
        <v>7500</v>
      </c>
      <c r="F410" s="184">
        <f t="shared" si="66"/>
        <v>7500</v>
      </c>
      <c r="G410" s="184"/>
      <c r="H410" s="184"/>
      <c r="I410" s="184"/>
      <c r="J410" s="184"/>
      <c r="K410" s="184"/>
      <c r="L410" s="184"/>
      <c r="M410" s="184">
        <v>7500</v>
      </c>
      <c r="N410" s="184"/>
    </row>
    <row r="411" spans="1:14" s="45" customFormat="1" ht="25.5">
      <c r="A411" s="103"/>
      <c r="B411" s="81"/>
      <c r="C411" s="82">
        <v>4230</v>
      </c>
      <c r="D411" s="85" t="s">
        <v>373</v>
      </c>
      <c r="E411" s="184">
        <f t="shared" si="65"/>
        <v>100</v>
      </c>
      <c r="F411" s="184">
        <f t="shared" si="66"/>
        <v>100</v>
      </c>
      <c r="G411" s="184"/>
      <c r="H411" s="184"/>
      <c r="I411" s="184"/>
      <c r="J411" s="184"/>
      <c r="K411" s="184"/>
      <c r="L411" s="184"/>
      <c r="M411" s="184">
        <v>100</v>
      </c>
      <c r="N411" s="184"/>
    </row>
    <row r="412" spans="1:14" s="45" customFormat="1" ht="12.75">
      <c r="A412" s="103"/>
      <c r="B412" s="81"/>
      <c r="C412" s="82">
        <v>4260</v>
      </c>
      <c r="D412" s="85" t="s">
        <v>72</v>
      </c>
      <c r="E412" s="184">
        <f t="shared" si="65"/>
        <v>6350</v>
      </c>
      <c r="F412" s="184">
        <f t="shared" si="66"/>
        <v>6350</v>
      </c>
      <c r="G412" s="184"/>
      <c r="H412" s="184"/>
      <c r="I412" s="184"/>
      <c r="J412" s="184"/>
      <c r="K412" s="184"/>
      <c r="L412" s="184"/>
      <c r="M412" s="184">
        <v>6350</v>
      </c>
      <c r="N412" s="184"/>
    </row>
    <row r="413" spans="1:14" s="45" customFormat="1" ht="12.75">
      <c r="A413" s="103"/>
      <c r="B413" s="81"/>
      <c r="C413" s="82">
        <v>4270</v>
      </c>
      <c r="D413" s="85" t="s">
        <v>73</v>
      </c>
      <c r="E413" s="184">
        <f t="shared" si="65"/>
        <v>1400</v>
      </c>
      <c r="F413" s="184">
        <f t="shared" si="66"/>
        <v>1400</v>
      </c>
      <c r="G413" s="184"/>
      <c r="H413" s="184"/>
      <c r="I413" s="184"/>
      <c r="J413" s="184"/>
      <c r="K413" s="184"/>
      <c r="L413" s="184"/>
      <c r="M413" s="184">
        <v>1400</v>
      </c>
      <c r="N413" s="184"/>
    </row>
    <row r="414" spans="1:14" s="45" customFormat="1" ht="12.75">
      <c r="A414" s="103"/>
      <c r="B414" s="81"/>
      <c r="C414" s="82">
        <v>4280</v>
      </c>
      <c r="D414" s="85" t="s">
        <v>74</v>
      </c>
      <c r="E414" s="184">
        <f t="shared" si="65"/>
        <v>200</v>
      </c>
      <c r="F414" s="184">
        <f t="shared" si="66"/>
        <v>200</v>
      </c>
      <c r="G414" s="184"/>
      <c r="H414" s="184"/>
      <c r="I414" s="184"/>
      <c r="J414" s="184"/>
      <c r="K414" s="184"/>
      <c r="L414" s="184"/>
      <c r="M414" s="184">
        <v>200</v>
      </c>
      <c r="N414" s="184"/>
    </row>
    <row r="415" spans="1:14" s="45" customFormat="1" ht="12.75">
      <c r="A415" s="103"/>
      <c r="B415" s="81"/>
      <c r="C415" s="82">
        <v>4300</v>
      </c>
      <c r="D415" s="85" t="s">
        <v>54</v>
      </c>
      <c r="E415" s="184">
        <f t="shared" si="65"/>
        <v>20547</v>
      </c>
      <c r="F415" s="184">
        <f t="shared" si="66"/>
        <v>20547</v>
      </c>
      <c r="G415" s="184"/>
      <c r="H415" s="184"/>
      <c r="I415" s="184"/>
      <c r="J415" s="184"/>
      <c r="K415" s="184"/>
      <c r="L415" s="184"/>
      <c r="M415" s="184">
        <f>22000-'[1]Arkusz1'!$L$280</f>
        <v>20547</v>
      </c>
      <c r="N415" s="184"/>
    </row>
    <row r="416" spans="1:14" s="45" customFormat="1" ht="25.5">
      <c r="A416" s="103"/>
      <c r="B416" s="81"/>
      <c r="C416" s="82">
        <v>4350</v>
      </c>
      <c r="D416" s="85" t="s">
        <v>75</v>
      </c>
      <c r="E416" s="184">
        <f t="shared" si="65"/>
        <v>1604</v>
      </c>
      <c r="F416" s="184">
        <f t="shared" si="66"/>
        <v>1604</v>
      </c>
      <c r="G416" s="184"/>
      <c r="H416" s="184"/>
      <c r="I416" s="184"/>
      <c r="J416" s="184"/>
      <c r="K416" s="184"/>
      <c r="L416" s="184"/>
      <c r="M416" s="184">
        <f>2040-'[1]Arkusz1'!$L$281</f>
        <v>1604</v>
      </c>
      <c r="N416" s="184"/>
    </row>
    <row r="417" spans="1:14" s="45" customFormat="1" ht="38.25">
      <c r="A417" s="103"/>
      <c r="B417" s="81"/>
      <c r="C417" s="82">
        <v>4360</v>
      </c>
      <c r="D417" s="85" t="s">
        <v>173</v>
      </c>
      <c r="E417" s="184">
        <f t="shared" si="65"/>
        <v>2400</v>
      </c>
      <c r="F417" s="184">
        <f t="shared" si="66"/>
        <v>2400</v>
      </c>
      <c r="G417" s="184"/>
      <c r="H417" s="184"/>
      <c r="I417" s="184"/>
      <c r="J417" s="184"/>
      <c r="K417" s="184"/>
      <c r="L417" s="184"/>
      <c r="M417" s="184">
        <v>2400</v>
      </c>
      <c r="N417" s="184"/>
    </row>
    <row r="418" spans="1:14" s="45" customFormat="1" ht="38.25">
      <c r="A418" s="103"/>
      <c r="B418" s="81"/>
      <c r="C418" s="82">
        <v>4370</v>
      </c>
      <c r="D418" s="85" t="s">
        <v>166</v>
      </c>
      <c r="E418" s="184">
        <f t="shared" si="65"/>
        <v>7500</v>
      </c>
      <c r="F418" s="184">
        <f t="shared" si="66"/>
        <v>7500</v>
      </c>
      <c r="G418" s="184"/>
      <c r="H418" s="184"/>
      <c r="I418" s="184"/>
      <c r="J418" s="184"/>
      <c r="K418" s="184"/>
      <c r="L418" s="184"/>
      <c r="M418" s="184">
        <v>7500</v>
      </c>
      <c r="N418" s="184"/>
    </row>
    <row r="419" spans="1:14" s="45" customFormat="1" ht="38.25">
      <c r="A419" s="103"/>
      <c r="B419" s="81"/>
      <c r="C419" s="82">
        <v>4400</v>
      </c>
      <c r="D419" s="85" t="s">
        <v>375</v>
      </c>
      <c r="E419" s="184">
        <f t="shared" si="65"/>
        <v>43920</v>
      </c>
      <c r="F419" s="184">
        <f t="shared" si="66"/>
        <v>43920</v>
      </c>
      <c r="G419" s="184"/>
      <c r="H419" s="184"/>
      <c r="I419" s="184"/>
      <c r="J419" s="184"/>
      <c r="K419" s="184"/>
      <c r="L419" s="184"/>
      <c r="M419" s="184">
        <v>43920</v>
      </c>
      <c r="N419" s="184"/>
    </row>
    <row r="420" spans="1:14" s="45" customFormat="1" ht="12.75">
      <c r="A420" s="103"/>
      <c r="B420" s="81"/>
      <c r="C420" s="82">
        <v>4410</v>
      </c>
      <c r="D420" s="85" t="s">
        <v>80</v>
      </c>
      <c r="E420" s="184">
        <f t="shared" si="65"/>
        <v>3000</v>
      </c>
      <c r="F420" s="184">
        <f t="shared" si="66"/>
        <v>3000</v>
      </c>
      <c r="G420" s="184"/>
      <c r="H420" s="184"/>
      <c r="I420" s="184"/>
      <c r="J420" s="184"/>
      <c r="K420" s="184"/>
      <c r="L420" s="184"/>
      <c r="M420" s="184">
        <v>3000</v>
      </c>
      <c r="N420" s="184"/>
    </row>
    <row r="421" spans="1:14" s="45" customFormat="1" ht="12.75">
      <c r="A421" s="103"/>
      <c r="B421" s="81"/>
      <c r="C421" s="82">
        <v>4430</v>
      </c>
      <c r="D421" s="85" t="s">
        <v>81</v>
      </c>
      <c r="E421" s="184">
        <f t="shared" si="65"/>
        <v>258</v>
      </c>
      <c r="F421" s="184">
        <f t="shared" si="66"/>
        <v>258</v>
      </c>
      <c r="G421" s="184"/>
      <c r="H421" s="184"/>
      <c r="I421" s="184"/>
      <c r="J421" s="184"/>
      <c r="K421" s="184"/>
      <c r="L421" s="184"/>
      <c r="M421" s="184">
        <f>300-'[1]Arkusz1'!$L$282</f>
        <v>258</v>
      </c>
      <c r="N421" s="184"/>
    </row>
    <row r="422" spans="1:14" s="45" customFormat="1" ht="25.5">
      <c r="A422" s="103"/>
      <c r="B422" s="81"/>
      <c r="C422" s="82">
        <v>4440</v>
      </c>
      <c r="D422" s="85" t="s">
        <v>82</v>
      </c>
      <c r="E422" s="184">
        <f t="shared" si="65"/>
        <v>9130</v>
      </c>
      <c r="F422" s="184">
        <f t="shared" si="66"/>
        <v>9130</v>
      </c>
      <c r="G422" s="184"/>
      <c r="H422" s="184"/>
      <c r="I422" s="184"/>
      <c r="J422" s="184"/>
      <c r="K422" s="184"/>
      <c r="L422" s="184"/>
      <c r="M422" s="184">
        <v>9130</v>
      </c>
      <c r="N422" s="184"/>
    </row>
    <row r="423" spans="1:14" s="45" customFormat="1" ht="12.75">
      <c r="A423" s="103"/>
      <c r="B423" s="81"/>
      <c r="C423" s="82">
        <v>4510</v>
      </c>
      <c r="D423" s="85" t="s">
        <v>361</v>
      </c>
      <c r="E423" s="184">
        <f t="shared" si="65"/>
        <v>100</v>
      </c>
      <c r="F423" s="184">
        <f>SUM(G423:M423)</f>
        <v>100</v>
      </c>
      <c r="G423" s="184"/>
      <c r="H423" s="184"/>
      <c r="I423" s="184"/>
      <c r="J423" s="184"/>
      <c r="K423" s="184"/>
      <c r="L423" s="184"/>
      <c r="M423" s="184">
        <v>100</v>
      </c>
      <c r="N423" s="184"/>
    </row>
    <row r="424" spans="1:14" s="45" customFormat="1" ht="38.25">
      <c r="A424" s="103"/>
      <c r="B424" s="81"/>
      <c r="C424" s="82">
        <v>4700</v>
      </c>
      <c r="D424" s="85" t="s">
        <v>323</v>
      </c>
      <c r="E424" s="184">
        <f t="shared" si="65"/>
        <v>2500</v>
      </c>
      <c r="F424" s="184">
        <f t="shared" si="66"/>
        <v>2500</v>
      </c>
      <c r="G424" s="184"/>
      <c r="H424" s="184"/>
      <c r="I424" s="184"/>
      <c r="J424" s="184"/>
      <c r="K424" s="184"/>
      <c r="L424" s="184"/>
      <c r="M424" s="184">
        <v>2500</v>
      </c>
      <c r="N424" s="184"/>
    </row>
    <row r="425" spans="1:14" s="45" customFormat="1" ht="38.25">
      <c r="A425" s="103"/>
      <c r="B425" s="81"/>
      <c r="C425" s="82">
        <v>4740</v>
      </c>
      <c r="D425" s="85" t="s">
        <v>107</v>
      </c>
      <c r="E425" s="184">
        <f t="shared" si="65"/>
        <v>2000</v>
      </c>
      <c r="F425" s="184">
        <f t="shared" si="66"/>
        <v>2000</v>
      </c>
      <c r="G425" s="184"/>
      <c r="H425" s="184"/>
      <c r="I425" s="184"/>
      <c r="J425" s="184"/>
      <c r="K425" s="184"/>
      <c r="L425" s="184"/>
      <c r="M425" s="184">
        <v>2000</v>
      </c>
      <c r="N425" s="184"/>
    </row>
    <row r="426" spans="1:14" s="45" customFormat="1" ht="25.5">
      <c r="A426" s="103"/>
      <c r="B426" s="81"/>
      <c r="C426" s="82">
        <v>4750</v>
      </c>
      <c r="D426" s="85" t="s">
        <v>167</v>
      </c>
      <c r="E426" s="184">
        <f t="shared" si="65"/>
        <v>6000</v>
      </c>
      <c r="F426" s="184">
        <f t="shared" si="66"/>
        <v>6000</v>
      </c>
      <c r="G426" s="184"/>
      <c r="H426" s="184"/>
      <c r="I426" s="184"/>
      <c r="J426" s="184"/>
      <c r="K426" s="184"/>
      <c r="L426" s="184"/>
      <c r="M426" s="184">
        <v>6000</v>
      </c>
      <c r="N426" s="184"/>
    </row>
    <row r="427" spans="1:14" s="76" customFormat="1" ht="51">
      <c r="A427" s="114"/>
      <c r="B427" s="83">
        <v>85220</v>
      </c>
      <c r="C427" s="86"/>
      <c r="D427" s="90" t="s">
        <v>206</v>
      </c>
      <c r="E427" s="195">
        <f t="shared" si="65"/>
        <v>55174</v>
      </c>
      <c r="F427" s="195">
        <f t="shared" si="66"/>
        <v>55174</v>
      </c>
      <c r="G427" s="195">
        <f aca="true" t="shared" si="67" ref="G427:L427">SUM(G428:G437)</f>
        <v>38069</v>
      </c>
      <c r="H427" s="195">
        <f t="shared" si="67"/>
        <v>2999</v>
      </c>
      <c r="I427" s="195">
        <f t="shared" si="67"/>
        <v>7326</v>
      </c>
      <c r="J427" s="195">
        <f t="shared" si="67"/>
        <v>0</v>
      </c>
      <c r="K427" s="195">
        <f t="shared" si="67"/>
        <v>0</v>
      </c>
      <c r="L427" s="195">
        <f t="shared" si="67"/>
        <v>0</v>
      </c>
      <c r="M427" s="195">
        <f>SUM(M428:M438)</f>
        <v>6780</v>
      </c>
      <c r="N427" s="195">
        <f>SUM(N428:N437)</f>
        <v>0</v>
      </c>
    </row>
    <row r="428" spans="1:14" s="45" customFormat="1" ht="25.5">
      <c r="A428" s="103"/>
      <c r="B428" s="81"/>
      <c r="C428" s="82">
        <v>4010</v>
      </c>
      <c r="D428" s="85" t="s">
        <v>66</v>
      </c>
      <c r="E428" s="184">
        <f t="shared" si="65"/>
        <v>38069</v>
      </c>
      <c r="F428" s="184">
        <f t="shared" si="66"/>
        <v>38069</v>
      </c>
      <c r="G428" s="184">
        <f>36360+1709</f>
        <v>38069</v>
      </c>
      <c r="H428" s="184"/>
      <c r="I428" s="184"/>
      <c r="J428" s="184"/>
      <c r="K428" s="184"/>
      <c r="L428" s="184"/>
      <c r="M428" s="184"/>
      <c r="N428" s="184"/>
    </row>
    <row r="429" spans="1:14" s="45" customFormat="1" ht="12.75">
      <c r="A429" s="103"/>
      <c r="B429" s="81"/>
      <c r="C429" s="82">
        <v>4040</v>
      </c>
      <c r="D429" s="85" t="s">
        <v>67</v>
      </c>
      <c r="E429" s="184">
        <f t="shared" si="65"/>
        <v>2999</v>
      </c>
      <c r="F429" s="184">
        <f t="shared" si="66"/>
        <v>2999</v>
      </c>
      <c r="G429" s="184"/>
      <c r="H429" s="184">
        <f>2890+109</f>
        <v>2999</v>
      </c>
      <c r="I429" s="184"/>
      <c r="J429" s="184"/>
      <c r="K429" s="184"/>
      <c r="L429" s="184"/>
      <c r="M429" s="184"/>
      <c r="N429" s="184"/>
    </row>
    <row r="430" spans="1:14" s="45" customFormat="1" ht="12.75">
      <c r="A430" s="103"/>
      <c r="B430" s="81"/>
      <c r="C430" s="82">
        <v>4110</v>
      </c>
      <c r="D430" s="85" t="s">
        <v>68</v>
      </c>
      <c r="E430" s="184">
        <f t="shared" si="65"/>
        <v>6324</v>
      </c>
      <c r="F430" s="184">
        <f t="shared" si="66"/>
        <v>6324</v>
      </c>
      <c r="G430" s="184"/>
      <c r="H430" s="184"/>
      <c r="I430" s="184">
        <f>6060+264</f>
        <v>6324</v>
      </c>
      <c r="J430" s="184"/>
      <c r="K430" s="184"/>
      <c r="L430" s="184"/>
      <c r="M430" s="184"/>
      <c r="N430" s="184"/>
    </row>
    <row r="431" spans="1:14" s="45" customFormat="1" ht="12.75">
      <c r="A431" s="103"/>
      <c r="B431" s="81"/>
      <c r="C431" s="82">
        <v>4120</v>
      </c>
      <c r="D431" s="85" t="s">
        <v>69</v>
      </c>
      <c r="E431" s="184">
        <f t="shared" si="65"/>
        <v>1002</v>
      </c>
      <c r="F431" s="184">
        <f t="shared" si="66"/>
        <v>1002</v>
      </c>
      <c r="G431" s="184"/>
      <c r="H431" s="184"/>
      <c r="I431" s="184">
        <f>960+42</f>
        <v>1002</v>
      </c>
      <c r="J431" s="184"/>
      <c r="K431" s="184"/>
      <c r="L431" s="184"/>
      <c r="M431" s="184"/>
      <c r="N431" s="184"/>
    </row>
    <row r="432" spans="1:14" s="45" customFormat="1" ht="12.75">
      <c r="A432" s="103"/>
      <c r="B432" s="81"/>
      <c r="C432" s="82">
        <v>4170</v>
      </c>
      <c r="D432" s="85" t="s">
        <v>146</v>
      </c>
      <c r="E432" s="184">
        <f t="shared" si="65"/>
        <v>4000</v>
      </c>
      <c r="F432" s="184">
        <f t="shared" si="66"/>
        <v>4000</v>
      </c>
      <c r="G432" s="184"/>
      <c r="H432" s="184"/>
      <c r="I432" s="184"/>
      <c r="J432" s="184"/>
      <c r="K432" s="184"/>
      <c r="L432" s="184"/>
      <c r="M432" s="184">
        <f>2250+1750</f>
        <v>4000</v>
      </c>
      <c r="N432" s="184"/>
    </row>
    <row r="433" spans="1:14" s="45" customFormat="1" ht="12.75">
      <c r="A433" s="103"/>
      <c r="B433" s="81"/>
      <c r="C433" s="82">
        <v>4210</v>
      </c>
      <c r="D433" s="85" t="s">
        <v>71</v>
      </c>
      <c r="E433" s="184">
        <f t="shared" si="65"/>
        <v>300</v>
      </c>
      <c r="F433" s="184">
        <f>SUM(G433:M433)</f>
        <v>300</v>
      </c>
      <c r="G433" s="184"/>
      <c r="H433" s="184"/>
      <c r="I433" s="184"/>
      <c r="J433" s="184"/>
      <c r="K433" s="184"/>
      <c r="L433" s="184"/>
      <c r="M433" s="184">
        <v>300</v>
      </c>
      <c r="N433" s="184"/>
    </row>
    <row r="434" spans="1:14" s="45" customFormat="1" ht="12.75">
      <c r="A434" s="103"/>
      <c r="B434" s="81"/>
      <c r="C434" s="82">
        <v>4300</v>
      </c>
      <c r="D434" s="85" t="s">
        <v>106</v>
      </c>
      <c r="E434" s="184">
        <f t="shared" si="65"/>
        <v>650</v>
      </c>
      <c r="F434" s="184">
        <f t="shared" si="66"/>
        <v>650</v>
      </c>
      <c r="G434" s="184"/>
      <c r="H434" s="184"/>
      <c r="I434" s="184"/>
      <c r="J434" s="184"/>
      <c r="K434" s="184"/>
      <c r="L434" s="184"/>
      <c r="M434" s="184">
        <v>650</v>
      </c>
      <c r="N434" s="184"/>
    </row>
    <row r="435" spans="1:14" s="45" customFormat="1" ht="38.25">
      <c r="A435" s="103"/>
      <c r="B435" s="81"/>
      <c r="C435" s="82">
        <v>4360</v>
      </c>
      <c r="D435" s="85" t="s">
        <v>173</v>
      </c>
      <c r="E435" s="184">
        <f t="shared" si="65"/>
        <v>600</v>
      </c>
      <c r="F435" s="184">
        <f t="shared" si="66"/>
        <v>600</v>
      </c>
      <c r="G435" s="184"/>
      <c r="H435" s="184"/>
      <c r="I435" s="184"/>
      <c r="J435" s="184"/>
      <c r="K435" s="184"/>
      <c r="L435" s="184"/>
      <c r="M435" s="184">
        <v>600</v>
      </c>
      <c r="N435" s="184"/>
    </row>
    <row r="436" spans="1:14" s="45" customFormat="1" ht="12.75">
      <c r="A436" s="103"/>
      <c r="B436" s="81"/>
      <c r="C436" s="82">
        <v>4410</v>
      </c>
      <c r="D436" s="85" t="s">
        <v>80</v>
      </c>
      <c r="E436" s="184">
        <f t="shared" si="65"/>
        <v>100</v>
      </c>
      <c r="F436" s="184">
        <f t="shared" si="66"/>
        <v>100</v>
      </c>
      <c r="G436" s="184"/>
      <c r="H436" s="184"/>
      <c r="I436" s="184"/>
      <c r="J436" s="184"/>
      <c r="K436" s="184"/>
      <c r="L436" s="184"/>
      <c r="M436" s="184">
        <v>100</v>
      </c>
      <c r="N436" s="184"/>
    </row>
    <row r="437" spans="1:14" s="45" customFormat="1" ht="25.5">
      <c r="A437" s="103"/>
      <c r="B437" s="81"/>
      <c r="C437" s="82">
        <v>4440</v>
      </c>
      <c r="D437" s="85" t="s">
        <v>82</v>
      </c>
      <c r="E437" s="184">
        <f t="shared" si="65"/>
        <v>830</v>
      </c>
      <c r="F437" s="184">
        <f t="shared" si="66"/>
        <v>830</v>
      </c>
      <c r="G437" s="184"/>
      <c r="H437" s="184"/>
      <c r="I437" s="184"/>
      <c r="J437" s="184"/>
      <c r="K437" s="184"/>
      <c r="L437" s="184"/>
      <c r="M437" s="184">
        <v>830</v>
      </c>
      <c r="N437" s="184"/>
    </row>
    <row r="438" spans="1:14" s="45" customFormat="1" ht="38.25">
      <c r="A438" s="103"/>
      <c r="B438" s="81"/>
      <c r="C438" s="82">
        <v>4700</v>
      </c>
      <c r="D438" s="85" t="s">
        <v>323</v>
      </c>
      <c r="E438" s="184">
        <f t="shared" si="65"/>
        <v>300</v>
      </c>
      <c r="F438" s="184">
        <f t="shared" si="66"/>
        <v>300</v>
      </c>
      <c r="G438" s="184"/>
      <c r="H438" s="184"/>
      <c r="I438" s="184"/>
      <c r="J438" s="184"/>
      <c r="K438" s="184"/>
      <c r="L438" s="184"/>
      <c r="M438" s="184">
        <v>300</v>
      </c>
      <c r="N438" s="184"/>
    </row>
    <row r="439" spans="1:14" s="76" customFormat="1" ht="25.5">
      <c r="A439" s="114"/>
      <c r="B439" s="83">
        <v>85233</v>
      </c>
      <c r="C439" s="86"/>
      <c r="D439" s="90" t="s">
        <v>207</v>
      </c>
      <c r="E439" s="195">
        <f t="shared" si="65"/>
        <v>3610</v>
      </c>
      <c r="F439" s="195">
        <f t="shared" si="66"/>
        <v>3610</v>
      </c>
      <c r="G439" s="195">
        <f aca="true" t="shared" si="68" ref="G439:N439">SUM(G440:G441)</f>
        <v>0</v>
      </c>
      <c r="H439" s="195">
        <f t="shared" si="68"/>
        <v>0</v>
      </c>
      <c r="I439" s="195">
        <f t="shared" si="68"/>
        <v>0</v>
      </c>
      <c r="J439" s="195">
        <f t="shared" si="68"/>
        <v>0</v>
      </c>
      <c r="K439" s="195">
        <f t="shared" si="68"/>
        <v>0</v>
      </c>
      <c r="L439" s="195">
        <f t="shared" si="68"/>
        <v>0</v>
      </c>
      <c r="M439" s="195">
        <f t="shared" si="68"/>
        <v>3610</v>
      </c>
      <c r="N439" s="195">
        <f t="shared" si="68"/>
        <v>0</v>
      </c>
    </row>
    <row r="440" spans="1:14" s="45" customFormat="1" ht="12.75">
      <c r="A440" s="103"/>
      <c r="B440" s="81"/>
      <c r="C440" s="82">
        <v>4300</v>
      </c>
      <c r="D440" s="85" t="s">
        <v>106</v>
      </c>
      <c r="E440" s="184">
        <f t="shared" si="65"/>
        <v>3170</v>
      </c>
      <c r="F440" s="184">
        <f t="shared" si="66"/>
        <v>3170</v>
      </c>
      <c r="G440" s="184"/>
      <c r="H440" s="184"/>
      <c r="I440" s="184"/>
      <c r="J440" s="184"/>
      <c r="K440" s="184"/>
      <c r="L440" s="184"/>
      <c r="M440" s="184">
        <v>3170</v>
      </c>
      <c r="N440" s="184"/>
    </row>
    <row r="441" spans="1:14" s="45" customFormat="1" ht="12.75">
      <c r="A441" s="103"/>
      <c r="B441" s="81"/>
      <c r="C441" s="82">
        <v>4410</v>
      </c>
      <c r="D441" s="85" t="s">
        <v>80</v>
      </c>
      <c r="E441" s="184">
        <f t="shared" si="65"/>
        <v>440</v>
      </c>
      <c r="F441" s="184">
        <f t="shared" si="66"/>
        <v>440</v>
      </c>
      <c r="G441" s="184"/>
      <c r="H441" s="184"/>
      <c r="I441" s="184"/>
      <c r="J441" s="184"/>
      <c r="K441" s="184"/>
      <c r="L441" s="184"/>
      <c r="M441" s="184">
        <v>440</v>
      </c>
      <c r="N441" s="184"/>
    </row>
    <row r="442" spans="1:14" s="76" customFormat="1" ht="12.75">
      <c r="A442" s="114"/>
      <c r="B442" s="83">
        <v>85295</v>
      </c>
      <c r="C442" s="86"/>
      <c r="D442" s="90" t="s">
        <v>208</v>
      </c>
      <c r="E442" s="195">
        <f t="shared" si="65"/>
        <v>3120</v>
      </c>
      <c r="F442" s="195">
        <f t="shared" si="66"/>
        <v>3120</v>
      </c>
      <c r="G442" s="195">
        <f aca="true" t="shared" si="69" ref="G442:N442">SUM(G443:G446)</f>
        <v>910</v>
      </c>
      <c r="H442" s="195">
        <f t="shared" si="69"/>
        <v>0</v>
      </c>
      <c r="I442" s="195">
        <f t="shared" si="69"/>
        <v>1360</v>
      </c>
      <c r="J442" s="195">
        <f t="shared" si="69"/>
        <v>0</v>
      </c>
      <c r="K442" s="195">
        <f t="shared" si="69"/>
        <v>0</v>
      </c>
      <c r="L442" s="195">
        <f t="shared" si="69"/>
        <v>0</v>
      </c>
      <c r="M442" s="195">
        <f t="shared" si="69"/>
        <v>850</v>
      </c>
      <c r="N442" s="195">
        <f t="shared" si="69"/>
        <v>0</v>
      </c>
    </row>
    <row r="443" spans="1:14" s="45" customFormat="1" ht="25.5">
      <c r="A443" s="103"/>
      <c r="B443" s="81"/>
      <c r="C443" s="82">
        <v>4440</v>
      </c>
      <c r="D443" s="85" t="s">
        <v>82</v>
      </c>
      <c r="E443" s="184">
        <f t="shared" si="65"/>
        <v>850</v>
      </c>
      <c r="F443" s="184">
        <f t="shared" si="66"/>
        <v>850</v>
      </c>
      <c r="G443" s="184"/>
      <c r="H443" s="184"/>
      <c r="I443" s="184"/>
      <c r="J443" s="184"/>
      <c r="K443" s="184"/>
      <c r="L443" s="184"/>
      <c r="M443" s="184">
        <v>850</v>
      </c>
      <c r="N443" s="184"/>
    </row>
    <row r="444" spans="1:14" s="45" customFormat="1" ht="25.5">
      <c r="A444" s="103"/>
      <c r="B444" s="81"/>
      <c r="C444" s="82">
        <v>4010</v>
      </c>
      <c r="D444" s="85" t="s">
        <v>306</v>
      </c>
      <c r="E444" s="184">
        <f t="shared" si="65"/>
        <v>910</v>
      </c>
      <c r="F444" s="184">
        <f>SUM(G444:M444)</f>
        <v>910</v>
      </c>
      <c r="G444" s="184">
        <v>910</v>
      </c>
      <c r="H444" s="184"/>
      <c r="I444" s="184"/>
      <c r="J444" s="184"/>
      <c r="K444" s="184"/>
      <c r="L444" s="184"/>
      <c r="M444" s="184"/>
      <c r="N444" s="184"/>
    </row>
    <row r="445" spans="1:14" s="45" customFormat="1" ht="12.75">
      <c r="A445" s="103"/>
      <c r="B445" s="81"/>
      <c r="C445" s="82">
        <v>4110</v>
      </c>
      <c r="D445" s="85" t="s">
        <v>162</v>
      </c>
      <c r="E445" s="184">
        <f>F445+N445</f>
        <v>1330</v>
      </c>
      <c r="F445" s="184">
        <f>SUM(G445:M445)</f>
        <v>1330</v>
      </c>
      <c r="G445" s="184"/>
      <c r="H445" s="184"/>
      <c r="I445" s="184">
        <v>1330</v>
      </c>
      <c r="J445" s="184"/>
      <c r="K445" s="184"/>
      <c r="L445" s="184"/>
      <c r="M445" s="184"/>
      <c r="N445" s="184"/>
    </row>
    <row r="446" spans="1:14" s="45" customFormat="1" ht="12.75">
      <c r="A446" s="103"/>
      <c r="B446" s="81"/>
      <c r="C446" s="82">
        <v>4120</v>
      </c>
      <c r="D446" s="85" t="s">
        <v>69</v>
      </c>
      <c r="E446" s="184">
        <f>F446+N446</f>
        <v>30</v>
      </c>
      <c r="F446" s="184">
        <f>SUM(G446:M446)</f>
        <v>30</v>
      </c>
      <c r="G446" s="184"/>
      <c r="H446" s="184"/>
      <c r="I446" s="184">
        <v>30</v>
      </c>
      <c r="J446" s="184"/>
      <c r="K446" s="184"/>
      <c r="L446" s="184"/>
      <c r="M446" s="184"/>
      <c r="N446" s="184"/>
    </row>
    <row r="447" spans="1:14" s="112" customFormat="1" ht="25.5">
      <c r="A447" s="78">
        <v>853</v>
      </c>
      <c r="B447" s="78"/>
      <c r="C447" s="79"/>
      <c r="D447" s="91" t="s">
        <v>209</v>
      </c>
      <c r="E447" s="194">
        <f t="shared" si="65"/>
        <v>3277056</v>
      </c>
      <c r="F447" s="194">
        <f t="shared" si="66"/>
        <v>3277056</v>
      </c>
      <c r="G447" s="194">
        <f aca="true" t="shared" si="70" ref="G447:N447">SUM(G450+G466+G448+G494+G496)</f>
        <v>1455233</v>
      </c>
      <c r="H447" s="194">
        <f t="shared" si="70"/>
        <v>92970</v>
      </c>
      <c r="I447" s="194">
        <f t="shared" si="70"/>
        <v>294966</v>
      </c>
      <c r="J447" s="194">
        <f t="shared" si="70"/>
        <v>537692</v>
      </c>
      <c r="K447" s="194">
        <f t="shared" si="70"/>
        <v>0</v>
      </c>
      <c r="L447" s="194">
        <f t="shared" si="70"/>
        <v>551007</v>
      </c>
      <c r="M447" s="194">
        <f t="shared" si="70"/>
        <v>345188</v>
      </c>
      <c r="N447" s="194">
        <f t="shared" si="70"/>
        <v>0</v>
      </c>
    </row>
    <row r="448" spans="1:14" s="76" customFormat="1" ht="38.25">
      <c r="A448" s="114"/>
      <c r="B448" s="83">
        <v>85311</v>
      </c>
      <c r="C448" s="86"/>
      <c r="D448" s="90" t="s">
        <v>79</v>
      </c>
      <c r="E448" s="195">
        <f t="shared" si="65"/>
        <v>15530</v>
      </c>
      <c r="F448" s="195">
        <f t="shared" si="66"/>
        <v>15530</v>
      </c>
      <c r="G448" s="195">
        <f>SUM(G449:G449)</f>
        <v>0</v>
      </c>
      <c r="H448" s="195">
        <f aca="true" t="shared" si="71" ref="H448:N448">SUM(H449:H449)</f>
        <v>0</v>
      </c>
      <c r="I448" s="195">
        <f t="shared" si="71"/>
        <v>0</v>
      </c>
      <c r="J448" s="195">
        <f t="shared" si="71"/>
        <v>15530</v>
      </c>
      <c r="K448" s="195">
        <f t="shared" si="71"/>
        <v>0</v>
      </c>
      <c r="L448" s="195">
        <f t="shared" si="71"/>
        <v>0</v>
      </c>
      <c r="M448" s="195">
        <f t="shared" si="71"/>
        <v>0</v>
      </c>
      <c r="N448" s="195">
        <f t="shared" si="71"/>
        <v>0</v>
      </c>
    </row>
    <row r="449" spans="1:14" s="45" customFormat="1" ht="76.5">
      <c r="A449" s="103"/>
      <c r="B449" s="81"/>
      <c r="C449" s="82">
        <v>2320</v>
      </c>
      <c r="D449" s="85" t="s">
        <v>194</v>
      </c>
      <c r="E449" s="184">
        <f t="shared" si="65"/>
        <v>15530</v>
      </c>
      <c r="F449" s="184">
        <f t="shared" si="66"/>
        <v>15530</v>
      </c>
      <c r="G449" s="184"/>
      <c r="H449" s="184"/>
      <c r="I449" s="184"/>
      <c r="J449" s="184">
        <v>15530</v>
      </c>
      <c r="K449" s="184"/>
      <c r="L449" s="184"/>
      <c r="M449" s="184"/>
      <c r="N449" s="184"/>
    </row>
    <row r="450" spans="1:14" s="76" customFormat="1" ht="25.5">
      <c r="A450" s="83"/>
      <c r="B450" s="83">
        <v>85321</v>
      </c>
      <c r="C450" s="86"/>
      <c r="D450" s="90" t="s">
        <v>210</v>
      </c>
      <c r="E450" s="195">
        <f t="shared" si="65"/>
        <v>139687</v>
      </c>
      <c r="F450" s="195">
        <f t="shared" si="66"/>
        <v>139687</v>
      </c>
      <c r="G450" s="195">
        <f aca="true" t="shared" si="72" ref="G450:N450">SUM(G451:G465)</f>
        <v>37251</v>
      </c>
      <c r="H450" s="195">
        <f t="shared" si="72"/>
        <v>1670</v>
      </c>
      <c r="I450" s="195">
        <f t="shared" si="72"/>
        <v>10766</v>
      </c>
      <c r="J450" s="195">
        <f t="shared" si="72"/>
        <v>0</v>
      </c>
      <c r="K450" s="195">
        <f t="shared" si="72"/>
        <v>0</v>
      </c>
      <c r="L450" s="195">
        <f t="shared" si="72"/>
        <v>0</v>
      </c>
      <c r="M450" s="195">
        <f t="shared" si="72"/>
        <v>90000</v>
      </c>
      <c r="N450" s="195">
        <f t="shared" si="72"/>
        <v>0</v>
      </c>
    </row>
    <row r="451" spans="1:14" s="45" customFormat="1" ht="25.5">
      <c r="A451" s="81"/>
      <c r="B451" s="81"/>
      <c r="C451" s="82">
        <v>4010</v>
      </c>
      <c r="D451" s="85" t="s">
        <v>66</v>
      </c>
      <c r="E451" s="184">
        <f t="shared" si="65"/>
        <v>37251</v>
      </c>
      <c r="F451" s="184">
        <f t="shared" si="66"/>
        <v>37251</v>
      </c>
      <c r="G451" s="184">
        <f>21200+9000+1419+'[1]Arkusz1'!$K$285</f>
        <v>37251</v>
      </c>
      <c r="H451" s="184"/>
      <c r="I451" s="184"/>
      <c r="J451" s="184"/>
      <c r="K451" s="184"/>
      <c r="L451" s="184"/>
      <c r="M451" s="184"/>
      <c r="N451" s="184"/>
    </row>
    <row r="452" spans="1:14" s="45" customFormat="1" ht="12.75">
      <c r="A452" s="81"/>
      <c r="B452" s="81"/>
      <c r="C452" s="82">
        <v>4040</v>
      </c>
      <c r="D452" s="85" t="s">
        <v>67</v>
      </c>
      <c r="E452" s="184">
        <f t="shared" si="65"/>
        <v>1670</v>
      </c>
      <c r="F452" s="184">
        <f t="shared" si="66"/>
        <v>1670</v>
      </c>
      <c r="G452" s="184"/>
      <c r="H452" s="184">
        <f>1670</f>
        <v>1670</v>
      </c>
      <c r="I452" s="184"/>
      <c r="J452" s="184"/>
      <c r="K452" s="184"/>
      <c r="L452" s="184"/>
      <c r="M452" s="184"/>
      <c r="N452" s="184"/>
    </row>
    <row r="453" spans="1:14" s="45" customFormat="1" ht="12.75">
      <c r="A453" s="81"/>
      <c r="B453" s="81"/>
      <c r="C453" s="82">
        <v>4110</v>
      </c>
      <c r="D453" s="85" t="s">
        <v>68</v>
      </c>
      <c r="E453" s="184">
        <f t="shared" si="65"/>
        <v>9240</v>
      </c>
      <c r="F453" s="184">
        <f t="shared" si="66"/>
        <v>9240</v>
      </c>
      <c r="G453" s="184"/>
      <c r="H453" s="184"/>
      <c r="I453" s="184">
        <f>6000+1500+219+'[1]Arkusz1'!$K$286</f>
        <v>9240</v>
      </c>
      <c r="J453" s="184"/>
      <c r="K453" s="184"/>
      <c r="L453" s="184"/>
      <c r="M453" s="184"/>
      <c r="N453" s="184"/>
    </row>
    <row r="454" spans="1:14" s="45" customFormat="1" ht="12.75">
      <c r="A454" s="81"/>
      <c r="B454" s="81"/>
      <c r="C454" s="82">
        <v>4120</v>
      </c>
      <c r="D454" s="85" t="s">
        <v>69</v>
      </c>
      <c r="E454" s="184">
        <f t="shared" si="65"/>
        <v>1526</v>
      </c>
      <c r="F454" s="184">
        <f t="shared" si="66"/>
        <v>1526</v>
      </c>
      <c r="G454" s="184"/>
      <c r="H454" s="184"/>
      <c r="I454" s="184">
        <f>950+300+35+'[1]Arkusz1'!$K$287</f>
        <v>1526</v>
      </c>
      <c r="J454" s="184"/>
      <c r="K454" s="184"/>
      <c r="L454" s="184"/>
      <c r="M454" s="184"/>
      <c r="N454" s="184"/>
    </row>
    <row r="455" spans="1:14" s="45" customFormat="1" ht="12.75">
      <c r="A455" s="81"/>
      <c r="B455" s="81"/>
      <c r="C455" s="82">
        <v>4170</v>
      </c>
      <c r="D455" s="85" t="s">
        <v>70</v>
      </c>
      <c r="E455" s="184">
        <f t="shared" si="65"/>
        <v>35756</v>
      </c>
      <c r="F455" s="184">
        <f t="shared" si="66"/>
        <v>35756</v>
      </c>
      <c r="G455" s="184"/>
      <c r="H455" s="184"/>
      <c r="I455" s="184"/>
      <c r="J455" s="184"/>
      <c r="K455" s="184"/>
      <c r="L455" s="184"/>
      <c r="M455" s="184">
        <f>30900+'[1]Arkusz1'!$K$288</f>
        <v>35756</v>
      </c>
      <c r="N455" s="184"/>
    </row>
    <row r="456" spans="1:14" s="45" customFormat="1" ht="12.75">
      <c r="A456" s="81"/>
      <c r="B456" s="81"/>
      <c r="C456" s="82">
        <v>4210</v>
      </c>
      <c r="D456" s="85" t="s">
        <v>71</v>
      </c>
      <c r="E456" s="184">
        <f t="shared" si="65"/>
        <v>1240</v>
      </c>
      <c r="F456" s="184">
        <f t="shared" si="66"/>
        <v>1240</v>
      </c>
      <c r="G456" s="184"/>
      <c r="H456" s="184"/>
      <c r="I456" s="184"/>
      <c r="J456" s="184"/>
      <c r="K456" s="184"/>
      <c r="L456" s="184"/>
      <c r="M456" s="184">
        <v>1240</v>
      </c>
      <c r="N456" s="184"/>
    </row>
    <row r="457" spans="1:14" s="45" customFormat="1" ht="12.75">
      <c r="A457" s="81"/>
      <c r="B457" s="81"/>
      <c r="C457" s="82">
        <v>4270</v>
      </c>
      <c r="D457" s="85" t="s">
        <v>73</v>
      </c>
      <c r="E457" s="184">
        <f t="shared" si="65"/>
        <v>520</v>
      </c>
      <c r="F457" s="184">
        <f t="shared" si="66"/>
        <v>520</v>
      </c>
      <c r="G457" s="184"/>
      <c r="H457" s="184"/>
      <c r="I457" s="184"/>
      <c r="J457" s="184"/>
      <c r="K457" s="184"/>
      <c r="L457" s="184"/>
      <c r="M457" s="184">
        <v>520</v>
      </c>
      <c r="N457" s="184"/>
    </row>
    <row r="458" spans="1:14" s="45" customFormat="1" ht="12.75">
      <c r="A458" s="81"/>
      <c r="B458" s="81"/>
      <c r="C458" s="82">
        <v>4300</v>
      </c>
      <c r="D458" s="85" t="s">
        <v>54</v>
      </c>
      <c r="E458" s="184">
        <f t="shared" si="65"/>
        <v>47883</v>
      </c>
      <c r="F458" s="184">
        <f t="shared" si="66"/>
        <v>47883</v>
      </c>
      <c r="G458" s="184"/>
      <c r="H458" s="184"/>
      <c r="I458" s="184"/>
      <c r="J458" s="184"/>
      <c r="K458" s="184"/>
      <c r="L458" s="184"/>
      <c r="M458" s="184">
        <f>43800+'[1]Arkusz1'!$K$289</f>
        <v>47883</v>
      </c>
      <c r="N458" s="184"/>
    </row>
    <row r="459" spans="1:14" s="45" customFormat="1" ht="31.5">
      <c r="A459" s="81"/>
      <c r="B459" s="81"/>
      <c r="C459" s="82">
        <v>4350</v>
      </c>
      <c r="D459" s="402" t="s">
        <v>75</v>
      </c>
      <c r="E459" s="184">
        <f>F459+N459</f>
        <v>436</v>
      </c>
      <c r="F459" s="184">
        <f>SUM(G459:M459)</f>
        <v>436</v>
      </c>
      <c r="G459" s="184"/>
      <c r="H459" s="184"/>
      <c r="I459" s="184"/>
      <c r="J459" s="184"/>
      <c r="K459" s="184"/>
      <c r="L459" s="184"/>
      <c r="M459" s="184">
        <v>436</v>
      </c>
      <c r="N459" s="184"/>
    </row>
    <row r="460" spans="1:14" s="45" customFormat="1" ht="38.25">
      <c r="A460" s="81"/>
      <c r="B460" s="81"/>
      <c r="C460" s="82">
        <v>4370</v>
      </c>
      <c r="D460" s="85" t="s">
        <v>166</v>
      </c>
      <c r="E460" s="184">
        <f t="shared" si="65"/>
        <v>1540</v>
      </c>
      <c r="F460" s="184">
        <f t="shared" si="66"/>
        <v>1540</v>
      </c>
      <c r="G460" s="184"/>
      <c r="H460" s="184"/>
      <c r="I460" s="184"/>
      <c r="J460" s="184"/>
      <c r="K460" s="184"/>
      <c r="L460" s="184"/>
      <c r="M460" s="184">
        <v>1540</v>
      </c>
      <c r="N460" s="184"/>
    </row>
    <row r="461" spans="1:14" s="45" customFormat="1" ht="12.75">
      <c r="A461" s="81"/>
      <c r="B461" s="81"/>
      <c r="C461" s="82">
        <v>4410</v>
      </c>
      <c r="D461" s="85" t="s">
        <v>211</v>
      </c>
      <c r="E461" s="184">
        <f t="shared" si="65"/>
        <v>200</v>
      </c>
      <c r="F461" s="184">
        <f t="shared" si="66"/>
        <v>200</v>
      </c>
      <c r="G461" s="184"/>
      <c r="H461" s="184"/>
      <c r="I461" s="184"/>
      <c r="J461" s="184"/>
      <c r="K461" s="184"/>
      <c r="L461" s="184"/>
      <c r="M461" s="184">
        <v>200</v>
      </c>
      <c r="N461" s="184"/>
    </row>
    <row r="462" spans="1:14" s="45" customFormat="1" ht="25.5">
      <c r="A462" s="81"/>
      <c r="B462" s="81"/>
      <c r="C462" s="82">
        <v>4440</v>
      </c>
      <c r="D462" s="85" t="s">
        <v>82</v>
      </c>
      <c r="E462" s="184">
        <f t="shared" si="65"/>
        <v>625</v>
      </c>
      <c r="F462" s="184">
        <f t="shared" si="66"/>
        <v>625</v>
      </c>
      <c r="G462" s="184"/>
      <c r="H462" s="184"/>
      <c r="I462" s="184"/>
      <c r="J462" s="184"/>
      <c r="K462" s="184"/>
      <c r="L462" s="184"/>
      <c r="M462" s="184">
        <f>420+205</f>
        <v>625</v>
      </c>
      <c r="N462" s="184"/>
    </row>
    <row r="463" spans="1:14" s="45" customFormat="1" ht="38.25">
      <c r="A463" s="81"/>
      <c r="B463" s="81"/>
      <c r="C463" s="82">
        <v>4700</v>
      </c>
      <c r="D463" s="85" t="s">
        <v>323</v>
      </c>
      <c r="E463" s="184">
        <f t="shared" si="65"/>
        <v>500</v>
      </c>
      <c r="F463" s="184">
        <f t="shared" si="66"/>
        <v>500</v>
      </c>
      <c r="G463" s="184"/>
      <c r="H463" s="184"/>
      <c r="I463" s="184"/>
      <c r="J463" s="184"/>
      <c r="K463" s="184"/>
      <c r="L463" s="184"/>
      <c r="M463" s="184">
        <f>310+190</f>
        <v>500</v>
      </c>
      <c r="N463" s="184"/>
    </row>
    <row r="464" spans="1:14" s="45" customFormat="1" ht="38.25">
      <c r="A464" s="81"/>
      <c r="B464" s="81"/>
      <c r="C464" s="82">
        <v>4740</v>
      </c>
      <c r="D464" s="85" t="s">
        <v>107</v>
      </c>
      <c r="E464" s="184">
        <f t="shared" si="65"/>
        <v>300</v>
      </c>
      <c r="F464" s="184">
        <f t="shared" si="66"/>
        <v>300</v>
      </c>
      <c r="G464" s="184"/>
      <c r="H464" s="184"/>
      <c r="I464" s="184"/>
      <c r="J464" s="184"/>
      <c r="K464" s="184"/>
      <c r="L464" s="184"/>
      <c r="M464" s="184">
        <v>300</v>
      </c>
      <c r="N464" s="184"/>
    </row>
    <row r="465" spans="1:14" s="45" customFormat="1" ht="25.5">
      <c r="A465" s="81"/>
      <c r="B465" s="81"/>
      <c r="C465" s="82">
        <v>4750</v>
      </c>
      <c r="D465" s="85" t="s">
        <v>167</v>
      </c>
      <c r="E465" s="184">
        <f t="shared" si="65"/>
        <v>1000</v>
      </c>
      <c r="F465" s="184">
        <f t="shared" si="66"/>
        <v>1000</v>
      </c>
      <c r="G465" s="184"/>
      <c r="H465" s="184"/>
      <c r="I465" s="184"/>
      <c r="J465" s="184"/>
      <c r="K465" s="184"/>
      <c r="L465" s="184"/>
      <c r="M465" s="184">
        <f>700+300</f>
        <v>1000</v>
      </c>
      <c r="N465" s="184"/>
    </row>
    <row r="466" spans="1:14" s="76" customFormat="1" ht="12.75">
      <c r="A466" s="83"/>
      <c r="B466" s="83">
        <v>85333</v>
      </c>
      <c r="C466" s="86"/>
      <c r="D466" s="90" t="s">
        <v>212</v>
      </c>
      <c r="E466" s="195">
        <f t="shared" si="65"/>
        <v>2101237</v>
      </c>
      <c r="F466" s="195">
        <f t="shared" si="66"/>
        <v>2101237</v>
      </c>
      <c r="G466" s="195">
        <f>SUM(G467:G493)</f>
        <v>1417982</v>
      </c>
      <c r="H466" s="195">
        <f aca="true" t="shared" si="73" ref="H466:N466">SUM(H467:H493)</f>
        <v>91300</v>
      </c>
      <c r="I466" s="195">
        <f t="shared" si="73"/>
        <v>278145</v>
      </c>
      <c r="J466" s="195">
        <f t="shared" si="73"/>
        <v>0</v>
      </c>
      <c r="K466" s="195">
        <f t="shared" si="73"/>
        <v>0</v>
      </c>
      <c r="L466" s="195">
        <f t="shared" si="73"/>
        <v>65160</v>
      </c>
      <c r="M466" s="195">
        <f t="shared" si="73"/>
        <v>248650</v>
      </c>
      <c r="N466" s="195">
        <f t="shared" si="73"/>
        <v>0</v>
      </c>
    </row>
    <row r="467" spans="1:14" s="45" customFormat="1" ht="25.5">
      <c r="A467" s="81"/>
      <c r="B467" s="81"/>
      <c r="C467" s="82">
        <v>3020</v>
      </c>
      <c r="D467" s="85" t="s">
        <v>324</v>
      </c>
      <c r="E467" s="184">
        <f t="shared" si="65"/>
        <v>800</v>
      </c>
      <c r="F467" s="184">
        <f t="shared" si="66"/>
        <v>800</v>
      </c>
      <c r="G467" s="184"/>
      <c r="H467" s="184"/>
      <c r="I467" s="184"/>
      <c r="J467" s="184"/>
      <c r="K467" s="184"/>
      <c r="L467" s="184"/>
      <c r="M467" s="184">
        <v>800</v>
      </c>
      <c r="N467" s="184"/>
    </row>
    <row r="468" spans="1:14" s="45" customFormat="1" ht="25.5">
      <c r="A468" s="81"/>
      <c r="B468" s="81"/>
      <c r="C468" s="92">
        <v>4010</v>
      </c>
      <c r="D468" s="85" t="s">
        <v>66</v>
      </c>
      <c r="E468" s="184">
        <f t="shared" si="65"/>
        <v>1343102</v>
      </c>
      <c r="F468" s="184">
        <f t="shared" si="66"/>
        <v>1343102</v>
      </c>
      <c r="G468" s="184">
        <f>1254350+11820+16640+60292</f>
        <v>1343102</v>
      </c>
      <c r="H468" s="184"/>
      <c r="I468" s="184"/>
      <c r="J468" s="184"/>
      <c r="K468" s="184"/>
      <c r="L468" s="184"/>
      <c r="M468" s="184"/>
      <c r="N468" s="184"/>
    </row>
    <row r="469" spans="1:14" s="45" customFormat="1" ht="25.5">
      <c r="A469" s="81"/>
      <c r="B469" s="81"/>
      <c r="C469" s="92">
        <v>4018</v>
      </c>
      <c r="D469" s="85" t="s">
        <v>66</v>
      </c>
      <c r="E469" s="184">
        <f>F469+N469</f>
        <v>74880</v>
      </c>
      <c r="F469" s="184">
        <f>SUM(G469:M469)</f>
        <v>74880</v>
      </c>
      <c r="G469" s="184">
        <v>74880</v>
      </c>
      <c r="H469" s="184"/>
      <c r="I469" s="184"/>
      <c r="J469" s="184"/>
      <c r="K469" s="184"/>
      <c r="L469" s="184"/>
      <c r="M469" s="184"/>
      <c r="N469" s="184"/>
    </row>
    <row r="470" spans="1:14" s="45" customFormat="1" ht="12.75">
      <c r="A470" s="81"/>
      <c r="B470" s="81"/>
      <c r="C470" s="82">
        <v>4040</v>
      </c>
      <c r="D470" s="85" t="s">
        <v>67</v>
      </c>
      <c r="E470" s="184">
        <f t="shared" si="65"/>
        <v>91300</v>
      </c>
      <c r="F470" s="184">
        <f t="shared" si="66"/>
        <v>91300</v>
      </c>
      <c r="G470" s="184"/>
      <c r="H470" s="184">
        <f>91300</f>
        <v>91300</v>
      </c>
      <c r="I470" s="184"/>
      <c r="J470" s="184"/>
      <c r="K470" s="184"/>
      <c r="L470" s="184"/>
      <c r="M470" s="184"/>
      <c r="N470" s="184"/>
    </row>
    <row r="471" spans="1:14" s="45" customFormat="1" ht="12.75">
      <c r="A471" s="81"/>
      <c r="B471" s="81"/>
      <c r="C471" s="82">
        <v>4110</v>
      </c>
      <c r="D471" s="85" t="s">
        <v>68</v>
      </c>
      <c r="E471" s="184">
        <f t="shared" si="65"/>
        <v>227994</v>
      </c>
      <c r="F471" s="184">
        <f t="shared" si="66"/>
        <v>227994</v>
      </c>
      <c r="G471" s="184"/>
      <c r="H471" s="184"/>
      <c r="I471" s="184">
        <f>203200+15690+9104</f>
        <v>227994</v>
      </c>
      <c r="J471" s="184"/>
      <c r="K471" s="184"/>
      <c r="L471" s="184"/>
      <c r="M471" s="184"/>
      <c r="N471" s="184"/>
    </row>
    <row r="472" spans="1:14" s="45" customFormat="1" ht="12.75">
      <c r="A472" s="81"/>
      <c r="B472" s="81"/>
      <c r="C472" s="82">
        <v>4118</v>
      </c>
      <c r="D472" s="85" t="s">
        <v>68</v>
      </c>
      <c r="E472" s="184">
        <f>F472+N472</f>
        <v>11308</v>
      </c>
      <c r="F472" s="184">
        <f>SUM(G472:M472)</f>
        <v>11308</v>
      </c>
      <c r="G472" s="184"/>
      <c r="H472" s="184"/>
      <c r="I472" s="184">
        <v>11308</v>
      </c>
      <c r="J472" s="184"/>
      <c r="K472" s="184"/>
      <c r="L472" s="184"/>
      <c r="M472" s="184"/>
      <c r="N472" s="184"/>
    </row>
    <row r="473" spans="1:14" s="45" customFormat="1" ht="12.75">
      <c r="A473" s="81"/>
      <c r="B473" s="81"/>
      <c r="C473" s="82">
        <v>4120</v>
      </c>
      <c r="D473" s="85" t="s">
        <v>69</v>
      </c>
      <c r="E473" s="184">
        <f t="shared" si="65"/>
        <v>37007</v>
      </c>
      <c r="F473" s="184">
        <f t="shared" si="66"/>
        <v>37007</v>
      </c>
      <c r="G473" s="184"/>
      <c r="H473" s="184"/>
      <c r="I473" s="184">
        <f>33000+2530+1477</f>
        <v>37007</v>
      </c>
      <c r="J473" s="184"/>
      <c r="K473" s="184"/>
      <c r="L473" s="184"/>
      <c r="M473" s="184"/>
      <c r="N473" s="184"/>
    </row>
    <row r="474" spans="1:14" s="45" customFormat="1" ht="12.75">
      <c r="A474" s="81"/>
      <c r="B474" s="81"/>
      <c r="C474" s="82">
        <v>4128</v>
      </c>
      <c r="D474" s="85" t="s">
        <v>69</v>
      </c>
      <c r="E474" s="184">
        <f>F474+N474</f>
        <v>1836</v>
      </c>
      <c r="F474" s="184">
        <f>SUM(G474:M474)</f>
        <v>1836</v>
      </c>
      <c r="G474" s="184"/>
      <c r="H474" s="184"/>
      <c r="I474" s="184">
        <v>1836</v>
      </c>
      <c r="J474" s="184"/>
      <c r="K474" s="184"/>
      <c r="L474" s="184"/>
      <c r="M474" s="184"/>
      <c r="N474" s="184"/>
    </row>
    <row r="475" spans="1:14" s="45" customFormat="1" ht="12.75">
      <c r="A475" s="81"/>
      <c r="B475" s="81"/>
      <c r="C475" s="82">
        <v>4140</v>
      </c>
      <c r="D475" s="85" t="s">
        <v>180</v>
      </c>
      <c r="E475" s="184">
        <f t="shared" si="65"/>
        <v>8000</v>
      </c>
      <c r="F475" s="184">
        <f>SUM(G475:M475)</f>
        <v>8000</v>
      </c>
      <c r="G475" s="184"/>
      <c r="H475" s="184"/>
      <c r="I475" s="184"/>
      <c r="J475" s="184"/>
      <c r="K475" s="184"/>
      <c r="L475" s="184"/>
      <c r="M475" s="184">
        <f>16000-8000</f>
        <v>8000</v>
      </c>
      <c r="N475" s="184"/>
    </row>
    <row r="476" spans="1:14" s="45" customFormat="1" ht="12.75">
      <c r="A476" s="81"/>
      <c r="B476" s="81"/>
      <c r="C476" s="82">
        <v>4210</v>
      </c>
      <c r="D476" s="85" t="s">
        <v>71</v>
      </c>
      <c r="E476" s="184">
        <f t="shared" si="65"/>
        <v>34900</v>
      </c>
      <c r="F476" s="184">
        <f t="shared" si="66"/>
        <v>34900</v>
      </c>
      <c r="G476" s="184"/>
      <c r="H476" s="184"/>
      <c r="I476" s="184"/>
      <c r="J476" s="184"/>
      <c r="K476" s="184"/>
      <c r="L476" s="184"/>
      <c r="M476" s="184">
        <v>34900</v>
      </c>
      <c r="N476" s="184"/>
    </row>
    <row r="477" spans="1:14" s="45" customFormat="1" ht="12.75">
      <c r="A477" s="81"/>
      <c r="B477" s="81"/>
      <c r="C477" s="82">
        <v>4218</v>
      </c>
      <c r="D477" s="85" t="s">
        <v>71</v>
      </c>
      <c r="E477" s="184">
        <f>F477+N477</f>
        <v>7000</v>
      </c>
      <c r="F477" s="184">
        <f>SUM(G477:M477)</f>
        <v>7000</v>
      </c>
      <c r="G477" s="184"/>
      <c r="H477" s="184"/>
      <c r="I477" s="184"/>
      <c r="J477" s="184"/>
      <c r="K477" s="184"/>
      <c r="L477" s="184">
        <v>7000</v>
      </c>
      <c r="M477" s="184"/>
      <c r="N477" s="184"/>
    </row>
    <row r="478" spans="1:14" s="45" customFormat="1" ht="12.75">
      <c r="A478" s="81"/>
      <c r="B478" s="81"/>
      <c r="C478" s="82">
        <v>4260</v>
      </c>
      <c r="D478" s="85" t="s">
        <v>72</v>
      </c>
      <c r="E478" s="184">
        <f t="shared" si="65"/>
        <v>43900</v>
      </c>
      <c r="F478" s="184">
        <f t="shared" si="66"/>
        <v>43900</v>
      </c>
      <c r="G478" s="184"/>
      <c r="H478" s="184"/>
      <c r="I478" s="184"/>
      <c r="J478" s="184"/>
      <c r="K478" s="184"/>
      <c r="L478" s="184"/>
      <c r="M478" s="184">
        <v>43900</v>
      </c>
      <c r="N478" s="184"/>
    </row>
    <row r="479" spans="1:14" s="45" customFormat="1" ht="12.75">
      <c r="A479" s="81"/>
      <c r="B479" s="81"/>
      <c r="C479" s="82">
        <v>4270</v>
      </c>
      <c r="D479" s="85" t="s">
        <v>73</v>
      </c>
      <c r="E479" s="184">
        <f t="shared" si="65"/>
        <v>26150</v>
      </c>
      <c r="F479" s="184">
        <f t="shared" si="66"/>
        <v>26150</v>
      </c>
      <c r="G479" s="184"/>
      <c r="H479" s="184"/>
      <c r="I479" s="184"/>
      <c r="J479" s="184"/>
      <c r="K479" s="184"/>
      <c r="L479" s="184"/>
      <c r="M479" s="184">
        <f>2200+21000+2950</f>
        <v>26150</v>
      </c>
      <c r="N479" s="184"/>
    </row>
    <row r="480" spans="1:14" s="45" customFormat="1" ht="12.75">
      <c r="A480" s="81"/>
      <c r="B480" s="81"/>
      <c r="C480" s="82">
        <v>4280</v>
      </c>
      <c r="D480" s="85" t="s">
        <v>213</v>
      </c>
      <c r="E480" s="184">
        <f t="shared" si="65"/>
        <v>1300</v>
      </c>
      <c r="F480" s="184">
        <f t="shared" si="66"/>
        <v>1300</v>
      </c>
      <c r="G480" s="184"/>
      <c r="H480" s="184"/>
      <c r="I480" s="184"/>
      <c r="J480" s="184"/>
      <c r="K480" s="184"/>
      <c r="L480" s="184"/>
      <c r="M480" s="184">
        <v>1300</v>
      </c>
      <c r="N480" s="184"/>
    </row>
    <row r="481" spans="1:14" s="45" customFormat="1" ht="12.75">
      <c r="A481" s="81"/>
      <c r="B481" s="81"/>
      <c r="C481" s="82">
        <v>4300</v>
      </c>
      <c r="D481" s="85" t="s">
        <v>214</v>
      </c>
      <c r="E481" s="184">
        <f t="shared" si="65"/>
        <v>15000</v>
      </c>
      <c r="F481" s="184">
        <f t="shared" si="66"/>
        <v>15000</v>
      </c>
      <c r="G481" s="184"/>
      <c r="H481" s="184"/>
      <c r="I481" s="184"/>
      <c r="J481" s="184"/>
      <c r="K481" s="184"/>
      <c r="L481" s="184"/>
      <c r="M481" s="184">
        <v>15000</v>
      </c>
      <c r="N481" s="184"/>
    </row>
    <row r="482" spans="1:14" s="45" customFormat="1" ht="38.25">
      <c r="A482" s="81"/>
      <c r="B482" s="81"/>
      <c r="C482" s="82">
        <v>4360</v>
      </c>
      <c r="D482" s="85" t="s">
        <v>173</v>
      </c>
      <c r="E482" s="184">
        <f aca="true" t="shared" si="74" ref="E482:E563">F482+N482</f>
        <v>1400</v>
      </c>
      <c r="F482" s="184">
        <f aca="true" t="shared" si="75" ref="F482:F563">SUM(G482:M482)</f>
        <v>1400</v>
      </c>
      <c r="G482" s="184"/>
      <c r="H482" s="184"/>
      <c r="I482" s="184"/>
      <c r="J482" s="184"/>
      <c r="K482" s="184"/>
      <c r="L482" s="184"/>
      <c r="M482" s="184">
        <v>1400</v>
      </c>
      <c r="N482" s="184"/>
    </row>
    <row r="483" spans="1:14" s="45" customFormat="1" ht="38.25">
      <c r="A483" s="81"/>
      <c r="B483" s="81"/>
      <c r="C483" s="82">
        <v>4370</v>
      </c>
      <c r="D483" s="85" t="s">
        <v>166</v>
      </c>
      <c r="E483" s="184">
        <f t="shared" si="74"/>
        <v>5200</v>
      </c>
      <c r="F483" s="184">
        <f t="shared" si="75"/>
        <v>5200</v>
      </c>
      <c r="G483" s="184"/>
      <c r="H483" s="184"/>
      <c r="I483" s="184"/>
      <c r="J483" s="184"/>
      <c r="K483" s="184"/>
      <c r="L483" s="184"/>
      <c r="M483" s="184">
        <v>5200</v>
      </c>
      <c r="N483" s="184"/>
    </row>
    <row r="484" spans="1:14" s="45" customFormat="1" ht="38.25">
      <c r="A484" s="81"/>
      <c r="B484" s="81"/>
      <c r="C484" s="82">
        <v>4400</v>
      </c>
      <c r="D484" s="85" t="s">
        <v>375</v>
      </c>
      <c r="E484" s="184">
        <f t="shared" si="74"/>
        <v>46000</v>
      </c>
      <c r="F484" s="184">
        <f t="shared" si="75"/>
        <v>46000</v>
      </c>
      <c r="G484" s="184"/>
      <c r="H484" s="184"/>
      <c r="I484" s="184"/>
      <c r="J484" s="184"/>
      <c r="K484" s="184"/>
      <c r="L484" s="184"/>
      <c r="M484" s="184">
        <v>46000</v>
      </c>
      <c r="N484" s="184"/>
    </row>
    <row r="485" spans="1:14" s="45" customFormat="1" ht="12.75">
      <c r="A485" s="81"/>
      <c r="B485" s="81"/>
      <c r="C485" s="82">
        <v>4410</v>
      </c>
      <c r="D485" s="85" t="s">
        <v>80</v>
      </c>
      <c r="E485" s="184">
        <f t="shared" si="74"/>
        <v>2600</v>
      </c>
      <c r="F485" s="184">
        <f t="shared" si="75"/>
        <v>2600</v>
      </c>
      <c r="G485" s="184"/>
      <c r="H485" s="184"/>
      <c r="I485" s="184"/>
      <c r="J485" s="184"/>
      <c r="K485" s="184"/>
      <c r="L485" s="184"/>
      <c r="M485" s="184">
        <v>2600</v>
      </c>
      <c r="N485" s="184"/>
    </row>
    <row r="486" spans="1:14" s="45" customFormat="1" ht="12.75">
      <c r="A486" s="81"/>
      <c r="B486" s="81"/>
      <c r="C486" s="82">
        <v>4430</v>
      </c>
      <c r="D486" s="85" t="s">
        <v>81</v>
      </c>
      <c r="E486" s="184">
        <f t="shared" si="74"/>
        <v>6500</v>
      </c>
      <c r="F486" s="184">
        <f t="shared" si="75"/>
        <v>6500</v>
      </c>
      <c r="G486" s="184"/>
      <c r="H486" s="184"/>
      <c r="I486" s="184"/>
      <c r="J486" s="184"/>
      <c r="K486" s="184"/>
      <c r="L486" s="184"/>
      <c r="M486" s="184">
        <v>6500</v>
      </c>
      <c r="N486" s="184"/>
    </row>
    <row r="487" spans="1:14" s="45" customFormat="1" ht="25.5">
      <c r="A487" s="81"/>
      <c r="B487" s="81"/>
      <c r="C487" s="82">
        <v>4440</v>
      </c>
      <c r="D487" s="85" t="s">
        <v>82</v>
      </c>
      <c r="E487" s="184">
        <f t="shared" si="74"/>
        <v>51250</v>
      </c>
      <c r="F487" s="184">
        <f t="shared" si="75"/>
        <v>51250</v>
      </c>
      <c r="G487" s="184"/>
      <c r="H487" s="184"/>
      <c r="I487" s="184"/>
      <c r="J487" s="184"/>
      <c r="K487" s="184"/>
      <c r="L487" s="184"/>
      <c r="M487" s="184">
        <f>46000+5250</f>
        <v>51250</v>
      </c>
      <c r="N487" s="184"/>
    </row>
    <row r="488" spans="1:14" s="45" customFormat="1" ht="25.5">
      <c r="A488" s="81"/>
      <c r="B488" s="81"/>
      <c r="C488" s="82">
        <v>4448</v>
      </c>
      <c r="D488" s="85" t="s">
        <v>82</v>
      </c>
      <c r="E488" s="184">
        <f>F488+N488</f>
        <v>2520</v>
      </c>
      <c r="F488" s="184">
        <f>SUM(G488:M488)</f>
        <v>2520</v>
      </c>
      <c r="G488" s="184"/>
      <c r="H488" s="184"/>
      <c r="I488" s="184"/>
      <c r="J488" s="184"/>
      <c r="K488" s="184"/>
      <c r="L488" s="184">
        <v>2520</v>
      </c>
      <c r="M488" s="184"/>
      <c r="N488" s="184"/>
    </row>
    <row r="489" spans="1:14" s="45" customFormat="1" ht="12.75">
      <c r="A489" s="81"/>
      <c r="B489" s="81"/>
      <c r="C489" s="82">
        <v>4480</v>
      </c>
      <c r="D489" s="85" t="s">
        <v>83</v>
      </c>
      <c r="E489" s="184">
        <f t="shared" si="74"/>
        <v>4000</v>
      </c>
      <c r="F489" s="184">
        <f t="shared" si="75"/>
        <v>4000</v>
      </c>
      <c r="G489" s="184"/>
      <c r="H489" s="184"/>
      <c r="I489" s="184"/>
      <c r="J489" s="184"/>
      <c r="K489" s="184"/>
      <c r="L489" s="184"/>
      <c r="M489" s="184">
        <v>4000</v>
      </c>
      <c r="N489" s="184"/>
    </row>
    <row r="490" spans="1:14" s="45" customFormat="1" ht="12.75">
      <c r="A490" s="81"/>
      <c r="B490" s="81"/>
      <c r="C490" s="82">
        <v>4520</v>
      </c>
      <c r="D490" s="85" t="s">
        <v>230</v>
      </c>
      <c r="E490" s="184">
        <f t="shared" si="74"/>
        <v>50</v>
      </c>
      <c r="F490" s="184">
        <f t="shared" si="75"/>
        <v>50</v>
      </c>
      <c r="G490" s="184"/>
      <c r="H490" s="184"/>
      <c r="I490" s="184"/>
      <c r="J490" s="184"/>
      <c r="K490" s="184"/>
      <c r="L490" s="184"/>
      <c r="M490" s="184">
        <v>50</v>
      </c>
      <c r="N490" s="184"/>
    </row>
    <row r="491" spans="1:14" s="45" customFormat="1" ht="38.25">
      <c r="A491" s="81"/>
      <c r="B491" s="81"/>
      <c r="C491" s="82">
        <v>4700</v>
      </c>
      <c r="D491" s="85" t="s">
        <v>323</v>
      </c>
      <c r="E491" s="184">
        <f t="shared" si="74"/>
        <v>1000</v>
      </c>
      <c r="F491" s="184">
        <f t="shared" si="75"/>
        <v>1000</v>
      </c>
      <c r="G491" s="184"/>
      <c r="H491" s="184"/>
      <c r="I491" s="184"/>
      <c r="J491" s="184"/>
      <c r="K491" s="184"/>
      <c r="L491" s="184"/>
      <c r="M491" s="184">
        <v>1000</v>
      </c>
      <c r="N491" s="184"/>
    </row>
    <row r="492" spans="1:14" s="45" customFormat="1" ht="38.25">
      <c r="A492" s="81"/>
      <c r="B492" s="81"/>
      <c r="C492" s="82">
        <v>4740</v>
      </c>
      <c r="D492" s="85" t="s">
        <v>107</v>
      </c>
      <c r="E492" s="184">
        <f t="shared" si="74"/>
        <v>600</v>
      </c>
      <c r="F492" s="184">
        <f t="shared" si="75"/>
        <v>600</v>
      </c>
      <c r="G492" s="184"/>
      <c r="H492" s="184"/>
      <c r="I492" s="184"/>
      <c r="J492" s="184"/>
      <c r="K492" s="184"/>
      <c r="L492" s="184"/>
      <c r="M492" s="184">
        <v>600</v>
      </c>
      <c r="N492" s="184"/>
    </row>
    <row r="493" spans="1:14" s="45" customFormat="1" ht="25.5">
      <c r="A493" s="81"/>
      <c r="B493" s="81"/>
      <c r="C493" s="82">
        <v>4758</v>
      </c>
      <c r="D493" s="85" t="s">
        <v>167</v>
      </c>
      <c r="E493" s="184">
        <f>F493+N493</f>
        <v>55640</v>
      </c>
      <c r="F493" s="184">
        <f>SUM(G493:M493)</f>
        <v>55640</v>
      </c>
      <c r="G493" s="184"/>
      <c r="H493" s="184"/>
      <c r="I493" s="184"/>
      <c r="J493" s="184"/>
      <c r="K493" s="184"/>
      <c r="L493" s="184">
        <f>62640-7000</f>
        <v>55640</v>
      </c>
      <c r="M493" s="184"/>
      <c r="N493" s="184"/>
    </row>
    <row r="494" spans="1:14" s="45" customFormat="1" ht="15.75">
      <c r="A494" s="81"/>
      <c r="B494" s="392">
        <v>85334</v>
      </c>
      <c r="C494" s="403"/>
      <c r="D494" s="404" t="s">
        <v>362</v>
      </c>
      <c r="E494" s="195">
        <f>F494+N494</f>
        <v>6538</v>
      </c>
      <c r="F494" s="195">
        <f>SUM(G494:M494)</f>
        <v>6538</v>
      </c>
      <c r="G494" s="195">
        <f>SUM(G495)</f>
        <v>0</v>
      </c>
      <c r="H494" s="195">
        <f aca="true" t="shared" si="76" ref="H494:N494">SUM(H495)</f>
        <v>0</v>
      </c>
      <c r="I494" s="195">
        <f t="shared" si="76"/>
        <v>0</v>
      </c>
      <c r="J494" s="195">
        <f t="shared" si="76"/>
        <v>0</v>
      </c>
      <c r="K494" s="195">
        <f t="shared" si="76"/>
        <v>0</v>
      </c>
      <c r="L494" s="195">
        <f t="shared" si="76"/>
        <v>0</v>
      </c>
      <c r="M494" s="195">
        <f t="shared" si="76"/>
        <v>6538</v>
      </c>
      <c r="N494" s="195">
        <f t="shared" si="76"/>
        <v>0</v>
      </c>
    </row>
    <row r="495" spans="1:14" s="45" customFormat="1" ht="15.75">
      <c r="A495" s="81"/>
      <c r="B495" s="81"/>
      <c r="C495" s="405">
        <v>3110</v>
      </c>
      <c r="D495" s="402" t="s">
        <v>195</v>
      </c>
      <c r="E495" s="184">
        <f>F495+N495</f>
        <v>6538</v>
      </c>
      <c r="F495" s="184">
        <f>SUM(G495:M495)</f>
        <v>6538</v>
      </c>
      <c r="G495" s="184"/>
      <c r="H495" s="184"/>
      <c r="I495" s="184"/>
      <c r="J495" s="184"/>
      <c r="K495" s="184"/>
      <c r="L495" s="184"/>
      <c r="M495" s="184">
        <v>6538</v>
      </c>
      <c r="N495" s="184"/>
    </row>
    <row r="496" spans="1:14" s="45" customFormat="1" ht="18">
      <c r="A496" s="81"/>
      <c r="B496" s="435">
        <v>85395</v>
      </c>
      <c r="C496" s="436"/>
      <c r="D496" s="437" t="s">
        <v>208</v>
      </c>
      <c r="E496" s="195">
        <f>F496+N496</f>
        <v>1014064</v>
      </c>
      <c r="F496" s="195">
        <f>SUM(G496:M496)</f>
        <v>1014064</v>
      </c>
      <c r="G496" s="184">
        <f>SUM(G497:G516)</f>
        <v>0</v>
      </c>
      <c r="H496" s="184">
        <f aca="true" t="shared" si="77" ref="H496:N496">SUM(H497:H516)</f>
        <v>0</v>
      </c>
      <c r="I496" s="184">
        <f t="shared" si="77"/>
        <v>6055</v>
      </c>
      <c r="J496" s="184">
        <f t="shared" si="77"/>
        <v>522162</v>
      </c>
      <c r="K496" s="184">
        <f t="shared" si="77"/>
        <v>0</v>
      </c>
      <c r="L496" s="184">
        <f t="shared" si="77"/>
        <v>485847</v>
      </c>
      <c r="M496" s="184">
        <f t="shared" si="77"/>
        <v>0</v>
      </c>
      <c r="N496" s="184">
        <f t="shared" si="77"/>
        <v>0</v>
      </c>
    </row>
    <row r="497" spans="1:14" s="45" customFormat="1" ht="75">
      <c r="A497" s="81"/>
      <c r="B497" s="438"/>
      <c r="C497" s="440">
        <v>2328</v>
      </c>
      <c r="D497" s="439" t="s">
        <v>95</v>
      </c>
      <c r="E497" s="441">
        <f aca="true" t="shared" si="78" ref="E497:E516">F497+N497</f>
        <v>443838</v>
      </c>
      <c r="F497" s="441">
        <f aca="true" t="shared" si="79" ref="F497:F516">SUM(G497:M497)</f>
        <v>443838</v>
      </c>
      <c r="G497" s="442"/>
      <c r="H497" s="442"/>
      <c r="I497" s="442"/>
      <c r="J497" s="443">
        <v>443838</v>
      </c>
      <c r="K497" s="442"/>
      <c r="L497" s="442"/>
      <c r="M497" s="442"/>
      <c r="N497" s="442"/>
    </row>
    <row r="498" spans="1:14" s="45" customFormat="1" ht="75">
      <c r="A498" s="81"/>
      <c r="B498" s="438"/>
      <c r="C498" s="440">
        <v>2329</v>
      </c>
      <c r="D498" s="439" t="s">
        <v>95</v>
      </c>
      <c r="E498" s="441">
        <f t="shared" si="78"/>
        <v>78324</v>
      </c>
      <c r="F498" s="441">
        <f t="shared" si="79"/>
        <v>78324</v>
      </c>
      <c r="G498" s="442"/>
      <c r="H498" s="442"/>
      <c r="I498" s="442"/>
      <c r="J498" s="443">
        <v>78324</v>
      </c>
      <c r="K498" s="442"/>
      <c r="L498" s="442"/>
      <c r="M498" s="442"/>
      <c r="N498" s="442"/>
    </row>
    <row r="499" spans="1:14" s="45" customFormat="1" ht="30">
      <c r="A499" s="81"/>
      <c r="B499" s="438"/>
      <c r="C499" s="436">
        <v>4118</v>
      </c>
      <c r="D499" s="439" t="s">
        <v>162</v>
      </c>
      <c r="E499" s="441">
        <f t="shared" si="78"/>
        <v>4432</v>
      </c>
      <c r="F499" s="441">
        <f t="shared" si="79"/>
        <v>4432</v>
      </c>
      <c r="G499" s="442"/>
      <c r="H499" s="442"/>
      <c r="I499" s="423">
        <v>4432</v>
      </c>
      <c r="J499" s="442"/>
      <c r="K499" s="442"/>
      <c r="L499" s="442"/>
      <c r="M499" s="442"/>
      <c r="N499" s="442"/>
    </row>
    <row r="500" spans="1:14" s="45" customFormat="1" ht="30">
      <c r="A500" s="81"/>
      <c r="B500" s="438"/>
      <c r="C500" s="436">
        <v>4119</v>
      </c>
      <c r="D500" s="439" t="s">
        <v>162</v>
      </c>
      <c r="E500" s="441">
        <f t="shared" si="78"/>
        <v>782</v>
      </c>
      <c r="F500" s="441">
        <f t="shared" si="79"/>
        <v>782</v>
      </c>
      <c r="G500" s="442"/>
      <c r="H500" s="442"/>
      <c r="I500" s="423">
        <v>782</v>
      </c>
      <c r="J500" s="442"/>
      <c r="K500" s="442"/>
      <c r="L500" s="442"/>
      <c r="M500" s="442"/>
      <c r="N500" s="442"/>
    </row>
    <row r="501" spans="1:14" s="45" customFormat="1" ht="15">
      <c r="A501" s="81"/>
      <c r="B501" s="438"/>
      <c r="C501" s="436">
        <v>4128</v>
      </c>
      <c r="D501" s="439" t="s">
        <v>164</v>
      </c>
      <c r="E501" s="441">
        <f t="shared" si="78"/>
        <v>715</v>
      </c>
      <c r="F501" s="441">
        <f t="shared" si="79"/>
        <v>715</v>
      </c>
      <c r="G501" s="442"/>
      <c r="H501" s="442"/>
      <c r="I501" s="423">
        <v>715</v>
      </c>
      <c r="J501" s="442"/>
      <c r="K501" s="442"/>
      <c r="L501" s="442"/>
      <c r="M501" s="442"/>
      <c r="N501" s="442"/>
    </row>
    <row r="502" spans="1:14" s="45" customFormat="1" ht="15">
      <c r="A502" s="81"/>
      <c r="B502" s="438"/>
      <c r="C502" s="436">
        <v>4129</v>
      </c>
      <c r="D502" s="439" t="s">
        <v>164</v>
      </c>
      <c r="E502" s="441">
        <f t="shared" si="78"/>
        <v>126</v>
      </c>
      <c r="F502" s="441">
        <f t="shared" si="79"/>
        <v>126</v>
      </c>
      <c r="G502" s="442"/>
      <c r="H502" s="442"/>
      <c r="I502" s="423">
        <v>126</v>
      </c>
      <c r="J502" s="442"/>
      <c r="K502" s="442"/>
      <c r="L502" s="442"/>
      <c r="M502" s="442"/>
      <c r="N502" s="442"/>
    </row>
    <row r="503" spans="1:14" s="45" customFormat="1" ht="15">
      <c r="A503" s="81"/>
      <c r="B503" s="438"/>
      <c r="C503" s="436">
        <v>4178</v>
      </c>
      <c r="D503" s="439" t="s">
        <v>104</v>
      </c>
      <c r="E503" s="441">
        <f t="shared" si="78"/>
        <v>29875</v>
      </c>
      <c r="F503" s="441">
        <f t="shared" si="79"/>
        <v>29875</v>
      </c>
      <c r="G503" s="442"/>
      <c r="H503" s="442"/>
      <c r="I503" s="442"/>
      <c r="J503" s="442"/>
      <c r="K503" s="442"/>
      <c r="L503" s="423">
        <f>29176+699</f>
        <v>29875</v>
      </c>
      <c r="M503" s="442"/>
      <c r="N503" s="442"/>
    </row>
    <row r="504" spans="1:14" s="45" customFormat="1" ht="15">
      <c r="A504" s="81"/>
      <c r="B504" s="438"/>
      <c r="C504" s="436">
        <v>4179</v>
      </c>
      <c r="D504" s="439" t="s">
        <v>104</v>
      </c>
      <c r="E504" s="441">
        <f t="shared" si="78"/>
        <v>5272</v>
      </c>
      <c r="F504" s="441">
        <f t="shared" si="79"/>
        <v>5272</v>
      </c>
      <c r="G504" s="442"/>
      <c r="H504" s="442"/>
      <c r="I504" s="442"/>
      <c r="J504" s="442"/>
      <c r="K504" s="442"/>
      <c r="L504" s="423">
        <f>5149+123</f>
        <v>5272</v>
      </c>
      <c r="M504" s="442"/>
      <c r="N504" s="442"/>
    </row>
    <row r="505" spans="1:14" s="45" customFormat="1" ht="30">
      <c r="A505" s="81"/>
      <c r="B505" s="438"/>
      <c r="C505" s="436">
        <v>4218</v>
      </c>
      <c r="D505" s="439" t="s">
        <v>71</v>
      </c>
      <c r="E505" s="441">
        <f t="shared" si="78"/>
        <v>4505</v>
      </c>
      <c r="F505" s="441">
        <f t="shared" si="79"/>
        <v>4505</v>
      </c>
      <c r="G505" s="442"/>
      <c r="H505" s="442"/>
      <c r="I505" s="442"/>
      <c r="J505" s="442"/>
      <c r="K505" s="442"/>
      <c r="L505" s="423">
        <v>4505</v>
      </c>
      <c r="M505" s="442"/>
      <c r="N505" s="442"/>
    </row>
    <row r="506" spans="1:14" s="45" customFormat="1" ht="30">
      <c r="A506" s="81"/>
      <c r="B506" s="438"/>
      <c r="C506" s="436">
        <v>4219</v>
      </c>
      <c r="D506" s="439" t="s">
        <v>71</v>
      </c>
      <c r="E506" s="441">
        <f t="shared" si="78"/>
        <v>795</v>
      </c>
      <c r="F506" s="441">
        <f t="shared" si="79"/>
        <v>795</v>
      </c>
      <c r="G506" s="442"/>
      <c r="H506" s="442"/>
      <c r="I506" s="442"/>
      <c r="J506" s="442"/>
      <c r="K506" s="442"/>
      <c r="L506" s="423">
        <v>795</v>
      </c>
      <c r="M506" s="442"/>
      <c r="N506" s="442"/>
    </row>
    <row r="507" spans="1:14" s="45" customFormat="1" ht="30">
      <c r="A507" s="81"/>
      <c r="B507" s="438"/>
      <c r="C507" s="436">
        <v>4248</v>
      </c>
      <c r="D507" s="439" t="s">
        <v>172</v>
      </c>
      <c r="E507" s="441">
        <f t="shared" si="78"/>
        <v>340000</v>
      </c>
      <c r="F507" s="441">
        <f t="shared" si="79"/>
        <v>340000</v>
      </c>
      <c r="G507" s="442"/>
      <c r="H507" s="442"/>
      <c r="I507" s="442"/>
      <c r="J507" s="442"/>
      <c r="K507" s="442"/>
      <c r="L507" s="423">
        <v>340000</v>
      </c>
      <c r="M507" s="442"/>
      <c r="N507" s="442"/>
    </row>
    <row r="508" spans="1:14" s="45" customFormat="1" ht="30">
      <c r="A508" s="81"/>
      <c r="B508" s="438"/>
      <c r="C508" s="436">
        <v>4249</v>
      </c>
      <c r="D508" s="439" t="s">
        <v>172</v>
      </c>
      <c r="E508" s="441">
        <f t="shared" si="78"/>
        <v>60000</v>
      </c>
      <c r="F508" s="441">
        <f t="shared" si="79"/>
        <v>60000</v>
      </c>
      <c r="G508" s="442"/>
      <c r="H508" s="442"/>
      <c r="I508" s="442"/>
      <c r="J508" s="442"/>
      <c r="K508" s="442"/>
      <c r="L508" s="423">
        <v>60000</v>
      </c>
      <c r="M508" s="442"/>
      <c r="N508" s="442"/>
    </row>
    <row r="509" spans="1:14" s="45" customFormat="1" ht="45">
      <c r="A509" s="81"/>
      <c r="B509" s="438"/>
      <c r="C509" s="436">
        <v>4378</v>
      </c>
      <c r="D509" s="439" t="s">
        <v>166</v>
      </c>
      <c r="E509" s="441">
        <f t="shared" si="78"/>
        <v>850</v>
      </c>
      <c r="F509" s="441">
        <f t="shared" si="79"/>
        <v>850</v>
      </c>
      <c r="G509" s="442"/>
      <c r="H509" s="442"/>
      <c r="I509" s="442"/>
      <c r="J509" s="442"/>
      <c r="K509" s="442"/>
      <c r="L509" s="423">
        <v>850</v>
      </c>
      <c r="M509" s="442"/>
      <c r="N509" s="442"/>
    </row>
    <row r="510" spans="1:14" s="45" customFormat="1" ht="45">
      <c r="A510" s="81"/>
      <c r="B510" s="438"/>
      <c r="C510" s="436">
        <v>4379</v>
      </c>
      <c r="D510" s="439" t="s">
        <v>166</v>
      </c>
      <c r="E510" s="441">
        <f t="shared" si="78"/>
        <v>150</v>
      </c>
      <c r="F510" s="441">
        <f t="shared" si="79"/>
        <v>150</v>
      </c>
      <c r="G510" s="442"/>
      <c r="H510" s="442"/>
      <c r="I510" s="442"/>
      <c r="J510" s="442"/>
      <c r="K510" s="442"/>
      <c r="L510" s="423">
        <v>150</v>
      </c>
      <c r="M510" s="442"/>
      <c r="N510" s="442"/>
    </row>
    <row r="511" spans="1:14" s="45" customFormat="1" ht="15">
      <c r="A511" s="81"/>
      <c r="B511" s="438"/>
      <c r="C511" s="436">
        <v>4308</v>
      </c>
      <c r="D511" s="439" t="s">
        <v>54</v>
      </c>
      <c r="E511" s="441">
        <f t="shared" si="78"/>
        <v>22987</v>
      </c>
      <c r="F511" s="441">
        <f t="shared" si="79"/>
        <v>22987</v>
      </c>
      <c r="G511" s="442"/>
      <c r="H511" s="442"/>
      <c r="I511" s="442"/>
      <c r="J511" s="442"/>
      <c r="K511" s="442"/>
      <c r="L511" s="423">
        <f>10108+13607-728</f>
        <v>22987</v>
      </c>
      <c r="M511" s="442"/>
      <c r="N511" s="442"/>
    </row>
    <row r="512" spans="1:14" s="45" customFormat="1" ht="15">
      <c r="A512" s="81"/>
      <c r="B512" s="438"/>
      <c r="C512" s="436">
        <v>4309</v>
      </c>
      <c r="D512" s="439" t="s">
        <v>54</v>
      </c>
      <c r="E512" s="441">
        <f t="shared" si="78"/>
        <v>4057</v>
      </c>
      <c r="F512" s="441">
        <f t="shared" si="79"/>
        <v>4057</v>
      </c>
      <c r="G512" s="442"/>
      <c r="H512" s="442"/>
      <c r="I512" s="442"/>
      <c r="J512" s="442"/>
      <c r="K512" s="442"/>
      <c r="L512" s="423">
        <f>1784+2401-128</f>
        <v>4057</v>
      </c>
      <c r="M512" s="442"/>
      <c r="N512" s="442"/>
    </row>
    <row r="513" spans="1:14" s="45" customFormat="1" ht="60">
      <c r="A513" s="81"/>
      <c r="B513" s="438"/>
      <c r="C513" s="436">
        <v>4748</v>
      </c>
      <c r="D513" s="439" t="s">
        <v>107</v>
      </c>
      <c r="E513" s="441">
        <f t="shared" si="78"/>
        <v>3278</v>
      </c>
      <c r="F513" s="441">
        <f t="shared" si="79"/>
        <v>3278</v>
      </c>
      <c r="G513" s="442"/>
      <c r="H513" s="442"/>
      <c r="I513" s="442"/>
      <c r="J513" s="442"/>
      <c r="K513" s="442"/>
      <c r="L513" s="423">
        <f>2550+728</f>
        <v>3278</v>
      </c>
      <c r="M513" s="442"/>
      <c r="N513" s="442"/>
    </row>
    <row r="514" spans="1:14" s="45" customFormat="1" ht="60">
      <c r="A514" s="81"/>
      <c r="B514" s="438"/>
      <c r="C514" s="436">
        <v>4749</v>
      </c>
      <c r="D514" s="439" t="s">
        <v>107</v>
      </c>
      <c r="E514" s="441">
        <f t="shared" si="78"/>
        <v>578</v>
      </c>
      <c r="F514" s="441">
        <f t="shared" si="79"/>
        <v>578</v>
      </c>
      <c r="G514" s="442"/>
      <c r="H514" s="442"/>
      <c r="I514" s="442"/>
      <c r="J514" s="442"/>
      <c r="K514" s="442"/>
      <c r="L514" s="423">
        <f>450+128</f>
        <v>578</v>
      </c>
      <c r="M514" s="442"/>
      <c r="N514" s="442"/>
    </row>
    <row r="515" spans="1:14" s="45" customFormat="1" ht="45">
      <c r="A515" s="81"/>
      <c r="B515" s="438"/>
      <c r="C515" s="436">
        <v>4758</v>
      </c>
      <c r="D515" s="439" t="s">
        <v>167</v>
      </c>
      <c r="E515" s="441">
        <f t="shared" si="78"/>
        <v>11475</v>
      </c>
      <c r="F515" s="441">
        <f t="shared" si="79"/>
        <v>11475</v>
      </c>
      <c r="G515" s="442"/>
      <c r="H515" s="442"/>
      <c r="I515" s="442"/>
      <c r="J515" s="442"/>
      <c r="K515" s="442"/>
      <c r="L515" s="423">
        <f>11475</f>
        <v>11475</v>
      </c>
      <c r="M515" s="442"/>
      <c r="N515" s="442"/>
    </row>
    <row r="516" spans="1:14" s="45" customFormat="1" ht="45">
      <c r="A516" s="81"/>
      <c r="B516" s="438"/>
      <c r="C516" s="436">
        <v>4759</v>
      </c>
      <c r="D516" s="439" t="s">
        <v>167</v>
      </c>
      <c r="E516" s="441">
        <f t="shared" si="78"/>
        <v>2025</v>
      </c>
      <c r="F516" s="441">
        <f t="shared" si="79"/>
        <v>2025</v>
      </c>
      <c r="G516" s="442"/>
      <c r="H516" s="442"/>
      <c r="I516" s="442"/>
      <c r="J516" s="442"/>
      <c r="K516" s="442"/>
      <c r="L516" s="423">
        <v>2025</v>
      </c>
      <c r="M516" s="442"/>
      <c r="N516" s="442"/>
    </row>
    <row r="517" spans="1:14" s="112" customFormat="1" ht="25.5">
      <c r="A517" s="78">
        <v>854</v>
      </c>
      <c r="B517" s="78"/>
      <c r="C517" s="79"/>
      <c r="D517" s="91" t="s">
        <v>215</v>
      </c>
      <c r="E517" s="194">
        <f>F517+N517</f>
        <v>2347102</v>
      </c>
      <c r="F517" s="194">
        <f t="shared" si="75"/>
        <v>2339602</v>
      </c>
      <c r="G517" s="194">
        <f aca="true" t="shared" si="80" ref="G517:N517">SUM(G518+G525+G548+G566+G571+G573+G576)</f>
        <v>1047640</v>
      </c>
      <c r="H517" s="194">
        <f t="shared" si="80"/>
        <v>74460</v>
      </c>
      <c r="I517" s="194">
        <f t="shared" si="80"/>
        <v>188612</v>
      </c>
      <c r="J517" s="194">
        <f t="shared" si="80"/>
        <v>285000</v>
      </c>
      <c r="K517" s="194">
        <f t="shared" si="80"/>
        <v>0</v>
      </c>
      <c r="L517" s="194">
        <f t="shared" si="80"/>
        <v>0</v>
      </c>
      <c r="M517" s="194">
        <f t="shared" si="80"/>
        <v>743890</v>
      </c>
      <c r="N517" s="194">
        <f t="shared" si="80"/>
        <v>7500</v>
      </c>
    </row>
    <row r="518" spans="1:14" s="76" customFormat="1" ht="12.75">
      <c r="A518" s="83"/>
      <c r="B518" s="83">
        <v>85401</v>
      </c>
      <c r="C518" s="86"/>
      <c r="D518" s="90" t="s">
        <v>216</v>
      </c>
      <c r="E518" s="195">
        <f t="shared" si="74"/>
        <v>171700</v>
      </c>
      <c r="F518" s="195">
        <f t="shared" si="75"/>
        <v>171700</v>
      </c>
      <c r="G518" s="195">
        <f aca="true" t="shared" si="81" ref="G518:N518">SUM(G519:G524)</f>
        <v>134850</v>
      </c>
      <c r="H518" s="195">
        <f t="shared" si="81"/>
        <v>8200</v>
      </c>
      <c r="I518" s="195">
        <f t="shared" si="81"/>
        <v>23270</v>
      </c>
      <c r="J518" s="195">
        <f t="shared" si="81"/>
        <v>0</v>
      </c>
      <c r="K518" s="195">
        <f t="shared" si="81"/>
        <v>0</v>
      </c>
      <c r="L518" s="195">
        <f t="shared" si="81"/>
        <v>0</v>
      </c>
      <c r="M518" s="195">
        <f t="shared" si="81"/>
        <v>5380</v>
      </c>
      <c r="N518" s="195">
        <f t="shared" si="81"/>
        <v>0</v>
      </c>
    </row>
    <row r="519" spans="1:14" s="45" customFormat="1" ht="25.5">
      <c r="A519" s="81"/>
      <c r="B519" s="81"/>
      <c r="C519" s="82">
        <v>3020</v>
      </c>
      <c r="D519" s="85" t="s">
        <v>324</v>
      </c>
      <c r="E519" s="184">
        <f t="shared" si="74"/>
        <v>290</v>
      </c>
      <c r="F519" s="184">
        <f t="shared" si="75"/>
        <v>290</v>
      </c>
      <c r="G519" s="184"/>
      <c r="H519" s="184"/>
      <c r="I519" s="184"/>
      <c r="J519" s="184"/>
      <c r="K519" s="184"/>
      <c r="L519" s="184"/>
      <c r="M519" s="184">
        <v>290</v>
      </c>
      <c r="N519" s="184"/>
    </row>
    <row r="520" spans="1:14" s="45" customFormat="1" ht="25.5">
      <c r="A520" s="81"/>
      <c r="B520" s="81"/>
      <c r="C520" s="82">
        <v>4010</v>
      </c>
      <c r="D520" s="85" t="s">
        <v>66</v>
      </c>
      <c r="E520" s="184">
        <f t="shared" si="74"/>
        <v>134850</v>
      </c>
      <c r="F520" s="184">
        <f t="shared" si="75"/>
        <v>134850</v>
      </c>
      <c r="G520" s="184">
        <f>127500+'[1]Arkusz1'!$K$301</f>
        <v>134850</v>
      </c>
      <c r="H520" s="184"/>
      <c r="I520" s="184"/>
      <c r="J520" s="184"/>
      <c r="K520" s="184"/>
      <c r="L520" s="184"/>
      <c r="M520" s="184"/>
      <c r="N520" s="184"/>
    </row>
    <row r="521" spans="1:14" s="45" customFormat="1" ht="12.75">
      <c r="A521" s="81"/>
      <c r="B521" s="81"/>
      <c r="C521" s="82">
        <v>4040</v>
      </c>
      <c r="D521" s="85" t="s">
        <v>67</v>
      </c>
      <c r="E521" s="184">
        <f t="shared" si="74"/>
        <v>8200</v>
      </c>
      <c r="F521" s="184">
        <f t="shared" si="75"/>
        <v>8200</v>
      </c>
      <c r="G521" s="184"/>
      <c r="H521" s="184">
        <v>8200</v>
      </c>
      <c r="I521" s="184"/>
      <c r="J521" s="184"/>
      <c r="K521" s="184"/>
      <c r="L521" s="184"/>
      <c r="M521" s="184"/>
      <c r="N521" s="184"/>
    </row>
    <row r="522" spans="1:14" s="45" customFormat="1" ht="12.75">
      <c r="A522" s="81"/>
      <c r="B522" s="81"/>
      <c r="C522" s="82">
        <v>4110</v>
      </c>
      <c r="D522" s="85" t="s">
        <v>162</v>
      </c>
      <c r="E522" s="184">
        <f t="shared" si="74"/>
        <v>19830</v>
      </c>
      <c r="F522" s="184">
        <f t="shared" si="75"/>
        <v>19830</v>
      </c>
      <c r="G522" s="184"/>
      <c r="H522" s="184"/>
      <c r="I522" s="184">
        <f>18780+1050</f>
        <v>19830</v>
      </c>
      <c r="J522" s="184"/>
      <c r="K522" s="184"/>
      <c r="L522" s="184"/>
      <c r="M522" s="184"/>
      <c r="N522" s="184"/>
    </row>
    <row r="523" spans="1:14" s="45" customFormat="1" ht="12.75">
      <c r="A523" s="81"/>
      <c r="B523" s="81"/>
      <c r="C523" s="82">
        <v>4120</v>
      </c>
      <c r="D523" s="85" t="s">
        <v>69</v>
      </c>
      <c r="E523" s="184">
        <f t="shared" si="74"/>
        <v>3440</v>
      </c>
      <c r="F523" s="184">
        <f t="shared" si="75"/>
        <v>3440</v>
      </c>
      <c r="G523" s="184"/>
      <c r="H523" s="184"/>
      <c r="I523" s="184">
        <f>3260+'[1]Arkusz1'!$K$303</f>
        <v>3440</v>
      </c>
      <c r="J523" s="184"/>
      <c r="K523" s="184"/>
      <c r="L523" s="184"/>
      <c r="M523" s="184"/>
      <c r="N523" s="184"/>
    </row>
    <row r="524" spans="1:14" s="45" customFormat="1" ht="25.5">
      <c r="A524" s="81"/>
      <c r="B524" s="81"/>
      <c r="C524" s="82">
        <v>4440</v>
      </c>
      <c r="D524" s="85" t="s">
        <v>82</v>
      </c>
      <c r="E524" s="184">
        <f t="shared" si="74"/>
        <v>5090</v>
      </c>
      <c r="F524" s="184">
        <f t="shared" si="75"/>
        <v>5090</v>
      </c>
      <c r="G524" s="184"/>
      <c r="H524" s="184"/>
      <c r="I524" s="184"/>
      <c r="J524" s="184"/>
      <c r="K524" s="184"/>
      <c r="L524" s="184"/>
      <c r="M524" s="184">
        <v>5090</v>
      </c>
      <c r="N524" s="184"/>
    </row>
    <row r="525" spans="1:14" s="76" customFormat="1" ht="38.25">
      <c r="A525" s="83"/>
      <c r="B525" s="83">
        <v>85406</v>
      </c>
      <c r="C525" s="86"/>
      <c r="D525" s="90" t="s">
        <v>217</v>
      </c>
      <c r="E525" s="195">
        <f t="shared" si="74"/>
        <v>913650</v>
      </c>
      <c r="F525" s="195">
        <f t="shared" si="75"/>
        <v>913650</v>
      </c>
      <c r="G525" s="195">
        <f aca="true" t="shared" si="82" ref="G525:N525">SUM(G526:G547)</f>
        <v>441600</v>
      </c>
      <c r="H525" s="195">
        <f t="shared" si="82"/>
        <v>31840</v>
      </c>
      <c r="I525" s="195">
        <f t="shared" si="82"/>
        <v>77650</v>
      </c>
      <c r="J525" s="195">
        <f>SUM(J526:J547)</f>
        <v>285000</v>
      </c>
      <c r="K525" s="195">
        <f t="shared" si="82"/>
        <v>0</v>
      </c>
      <c r="L525" s="195">
        <f t="shared" si="82"/>
        <v>0</v>
      </c>
      <c r="M525" s="195">
        <f t="shared" si="82"/>
        <v>77560</v>
      </c>
      <c r="N525" s="195">
        <f t="shared" si="82"/>
        <v>0</v>
      </c>
    </row>
    <row r="526" spans="1:14" s="45" customFormat="1" ht="63.75">
      <c r="A526" s="81"/>
      <c r="B526" s="81"/>
      <c r="C526" s="82">
        <v>2310</v>
      </c>
      <c r="D526" s="85" t="s">
        <v>218</v>
      </c>
      <c r="E526" s="184">
        <f t="shared" si="74"/>
        <v>285000</v>
      </c>
      <c r="F526" s="184">
        <f>SUM(G526:K526)</f>
        <v>285000</v>
      </c>
      <c r="G526" s="184"/>
      <c r="H526" s="184"/>
      <c r="I526" s="184"/>
      <c r="J526" s="184">
        <v>285000</v>
      </c>
      <c r="K526" s="184"/>
      <c r="L526" s="184"/>
      <c r="M526" s="196"/>
      <c r="N526" s="184"/>
    </row>
    <row r="527" spans="1:14" s="45" customFormat="1" ht="25.5">
      <c r="A527" s="81"/>
      <c r="B527" s="81"/>
      <c r="C527" s="82">
        <v>3020</v>
      </c>
      <c r="D527" s="85" t="s">
        <v>324</v>
      </c>
      <c r="E527" s="184">
        <f t="shared" si="74"/>
        <v>8900</v>
      </c>
      <c r="F527" s="184">
        <f t="shared" si="75"/>
        <v>8900</v>
      </c>
      <c r="G527" s="184"/>
      <c r="H527" s="184"/>
      <c r="I527" s="184"/>
      <c r="J527" s="184"/>
      <c r="K527" s="184"/>
      <c r="L527" s="184"/>
      <c r="M527" s="184">
        <v>8900</v>
      </c>
      <c r="N527" s="184"/>
    </row>
    <row r="528" spans="1:14" s="45" customFormat="1" ht="25.5">
      <c r="A528" s="81"/>
      <c r="B528" s="81"/>
      <c r="C528" s="82">
        <v>4010</v>
      </c>
      <c r="D528" s="85" t="s">
        <v>66</v>
      </c>
      <c r="E528" s="184">
        <f t="shared" si="74"/>
        <v>441600</v>
      </c>
      <c r="F528" s="184">
        <f t="shared" si="75"/>
        <v>441600</v>
      </c>
      <c r="G528" s="184">
        <f>417420+'[1]Arkusz1'!$K$305</f>
        <v>441600</v>
      </c>
      <c r="H528" s="184"/>
      <c r="I528" s="184"/>
      <c r="J528" s="184"/>
      <c r="K528" s="184"/>
      <c r="L528" s="184"/>
      <c r="M528" s="184"/>
      <c r="N528" s="184"/>
    </row>
    <row r="529" spans="1:14" s="45" customFormat="1" ht="12.75">
      <c r="A529" s="81"/>
      <c r="B529" s="81"/>
      <c r="C529" s="82">
        <v>4040</v>
      </c>
      <c r="D529" s="85" t="s">
        <v>67</v>
      </c>
      <c r="E529" s="184">
        <f t="shared" si="74"/>
        <v>31840</v>
      </c>
      <c r="F529" s="184">
        <f t="shared" si="75"/>
        <v>31840</v>
      </c>
      <c r="G529" s="184"/>
      <c r="H529" s="184">
        <v>31840</v>
      </c>
      <c r="I529" s="184"/>
      <c r="J529" s="184"/>
      <c r="K529" s="184"/>
      <c r="L529" s="184"/>
      <c r="M529" s="184"/>
      <c r="N529" s="184"/>
    </row>
    <row r="530" spans="1:14" s="45" customFormat="1" ht="12.75">
      <c r="A530" s="81"/>
      <c r="B530" s="81"/>
      <c r="C530" s="82">
        <v>4110</v>
      </c>
      <c r="D530" s="85" t="s">
        <v>162</v>
      </c>
      <c r="E530" s="184">
        <f t="shared" si="74"/>
        <v>66290</v>
      </c>
      <c r="F530" s="184">
        <f t="shared" si="75"/>
        <v>66290</v>
      </c>
      <c r="G530" s="184"/>
      <c r="H530" s="184"/>
      <c r="I530" s="184">
        <f>62630+3660</f>
        <v>66290</v>
      </c>
      <c r="J530" s="184"/>
      <c r="K530" s="184"/>
      <c r="L530" s="184"/>
      <c r="M530" s="184"/>
      <c r="N530" s="184"/>
    </row>
    <row r="531" spans="1:14" s="45" customFormat="1" ht="12.75">
      <c r="A531" s="81"/>
      <c r="B531" s="81"/>
      <c r="C531" s="82">
        <v>4120</v>
      </c>
      <c r="D531" s="85" t="s">
        <v>69</v>
      </c>
      <c r="E531" s="184">
        <f t="shared" si="74"/>
        <v>11360</v>
      </c>
      <c r="F531" s="184">
        <f t="shared" si="75"/>
        <v>11360</v>
      </c>
      <c r="G531" s="184"/>
      <c r="H531" s="184"/>
      <c r="I531" s="184">
        <f>10780+'[1]Arkusz1'!$K$307</f>
        <v>11360</v>
      </c>
      <c r="J531" s="184"/>
      <c r="K531" s="184"/>
      <c r="L531" s="184"/>
      <c r="M531" s="184"/>
      <c r="N531" s="184"/>
    </row>
    <row r="532" spans="1:14" s="45" customFormat="1" ht="12.75">
      <c r="A532" s="81"/>
      <c r="B532" s="81"/>
      <c r="C532" s="82">
        <v>4170</v>
      </c>
      <c r="D532" s="85" t="s">
        <v>201</v>
      </c>
      <c r="E532" s="184">
        <f t="shared" si="74"/>
        <v>4820</v>
      </c>
      <c r="F532" s="184">
        <f t="shared" si="75"/>
        <v>4820</v>
      </c>
      <c r="G532" s="184"/>
      <c r="H532" s="184"/>
      <c r="I532" s="184"/>
      <c r="J532" s="184"/>
      <c r="K532" s="184"/>
      <c r="L532" s="184"/>
      <c r="M532" s="184">
        <f>3620+1200</f>
        <v>4820</v>
      </c>
      <c r="N532" s="184"/>
    </row>
    <row r="533" spans="1:14" s="45" customFormat="1" ht="12.75">
      <c r="A533" s="81"/>
      <c r="B533" s="81"/>
      <c r="C533" s="82">
        <v>4210</v>
      </c>
      <c r="D533" s="85" t="s">
        <v>71</v>
      </c>
      <c r="E533" s="184">
        <f t="shared" si="74"/>
        <v>4920</v>
      </c>
      <c r="F533" s="184">
        <f t="shared" si="75"/>
        <v>4920</v>
      </c>
      <c r="G533" s="184"/>
      <c r="H533" s="184"/>
      <c r="I533" s="184"/>
      <c r="J533" s="184"/>
      <c r="K533" s="184"/>
      <c r="L533" s="184"/>
      <c r="M533" s="184">
        <v>4920</v>
      </c>
      <c r="N533" s="184"/>
    </row>
    <row r="534" spans="1:14" s="45" customFormat="1" ht="25.5">
      <c r="A534" s="81"/>
      <c r="B534" s="81"/>
      <c r="C534" s="82">
        <v>4240</v>
      </c>
      <c r="D534" s="85" t="s">
        <v>172</v>
      </c>
      <c r="E534" s="184">
        <f t="shared" si="74"/>
        <v>3070</v>
      </c>
      <c r="F534" s="184">
        <f t="shared" si="75"/>
        <v>3070</v>
      </c>
      <c r="G534" s="184"/>
      <c r="H534" s="184"/>
      <c r="I534" s="184"/>
      <c r="J534" s="184"/>
      <c r="K534" s="184"/>
      <c r="L534" s="184"/>
      <c r="M534" s="184">
        <f>2070+1000</f>
        <v>3070</v>
      </c>
      <c r="N534" s="184"/>
    </row>
    <row r="535" spans="1:14" s="45" customFormat="1" ht="12.75">
      <c r="A535" s="81"/>
      <c r="B535" s="81"/>
      <c r="C535" s="82">
        <v>4260</v>
      </c>
      <c r="D535" s="85" t="s">
        <v>72</v>
      </c>
      <c r="E535" s="184">
        <f t="shared" si="74"/>
        <v>12200</v>
      </c>
      <c r="F535" s="184">
        <f t="shared" si="75"/>
        <v>12200</v>
      </c>
      <c r="G535" s="184"/>
      <c r="H535" s="184"/>
      <c r="I535" s="184"/>
      <c r="J535" s="184"/>
      <c r="K535" s="184"/>
      <c r="L535" s="184"/>
      <c r="M535" s="184">
        <v>12200</v>
      </c>
      <c r="N535" s="184"/>
    </row>
    <row r="536" spans="1:14" s="45" customFormat="1" ht="12.75">
      <c r="A536" s="81"/>
      <c r="B536" s="81"/>
      <c r="C536" s="82">
        <v>4270</v>
      </c>
      <c r="D536" s="85" t="s">
        <v>73</v>
      </c>
      <c r="E536" s="184">
        <f t="shared" si="74"/>
        <v>1800</v>
      </c>
      <c r="F536" s="184">
        <f t="shared" si="75"/>
        <v>1800</v>
      </c>
      <c r="G536" s="184"/>
      <c r="H536" s="184"/>
      <c r="I536" s="184"/>
      <c r="J536" s="184"/>
      <c r="K536" s="184"/>
      <c r="L536" s="184"/>
      <c r="M536" s="184">
        <v>1800</v>
      </c>
      <c r="N536" s="184"/>
    </row>
    <row r="537" spans="1:14" s="45" customFormat="1" ht="12.75">
      <c r="A537" s="81"/>
      <c r="B537" s="81"/>
      <c r="C537" s="82">
        <v>4280</v>
      </c>
      <c r="D537" s="85" t="s">
        <v>74</v>
      </c>
      <c r="E537" s="184">
        <f t="shared" si="74"/>
        <v>160</v>
      </c>
      <c r="F537" s="184">
        <f t="shared" si="75"/>
        <v>160</v>
      </c>
      <c r="G537" s="184"/>
      <c r="H537" s="184"/>
      <c r="I537" s="184"/>
      <c r="J537" s="184"/>
      <c r="K537" s="184"/>
      <c r="L537" s="184"/>
      <c r="M537" s="184">
        <v>160</v>
      </c>
      <c r="N537" s="184"/>
    </row>
    <row r="538" spans="1:14" s="45" customFormat="1" ht="12.75">
      <c r="A538" s="81"/>
      <c r="B538" s="81"/>
      <c r="C538" s="82">
        <v>4300</v>
      </c>
      <c r="D538" s="85" t="s">
        <v>115</v>
      </c>
      <c r="E538" s="184">
        <f t="shared" si="74"/>
        <v>2777</v>
      </c>
      <c r="F538" s="184">
        <f t="shared" si="75"/>
        <v>2777</v>
      </c>
      <c r="G538" s="184"/>
      <c r="H538" s="184"/>
      <c r="I538" s="184"/>
      <c r="J538" s="184"/>
      <c r="K538" s="184"/>
      <c r="L538" s="184"/>
      <c r="M538" s="184">
        <f>2710+67</f>
        <v>2777</v>
      </c>
      <c r="N538" s="184"/>
    </row>
    <row r="539" spans="1:14" s="45" customFormat="1" ht="25.5">
      <c r="A539" s="81"/>
      <c r="B539" s="81"/>
      <c r="C539" s="82">
        <v>4350</v>
      </c>
      <c r="D539" s="85" t="s">
        <v>75</v>
      </c>
      <c r="E539" s="184">
        <f t="shared" si="74"/>
        <v>1470</v>
      </c>
      <c r="F539" s="184">
        <f t="shared" si="75"/>
        <v>1470</v>
      </c>
      <c r="G539" s="184"/>
      <c r="H539" s="184"/>
      <c r="I539" s="184"/>
      <c r="J539" s="184"/>
      <c r="K539" s="184"/>
      <c r="L539" s="184"/>
      <c r="M539" s="184">
        <v>1470</v>
      </c>
      <c r="N539" s="184"/>
    </row>
    <row r="540" spans="1:14" s="45" customFormat="1" ht="38.25">
      <c r="A540" s="81"/>
      <c r="B540" s="81"/>
      <c r="C540" s="82">
        <v>4370</v>
      </c>
      <c r="D540" s="85" t="s">
        <v>166</v>
      </c>
      <c r="E540" s="184">
        <f t="shared" si="74"/>
        <v>5630</v>
      </c>
      <c r="F540" s="184">
        <f t="shared" si="75"/>
        <v>5630</v>
      </c>
      <c r="G540" s="184"/>
      <c r="H540" s="184"/>
      <c r="I540" s="184"/>
      <c r="J540" s="184"/>
      <c r="K540" s="184"/>
      <c r="L540" s="184"/>
      <c r="M540" s="184">
        <v>5630</v>
      </c>
      <c r="N540" s="184"/>
    </row>
    <row r="541" spans="1:14" s="45" customFormat="1" ht="12.75">
      <c r="A541" s="81"/>
      <c r="B541" s="81"/>
      <c r="C541" s="82">
        <v>4410</v>
      </c>
      <c r="D541" s="85" t="s">
        <v>80</v>
      </c>
      <c r="E541" s="184">
        <f t="shared" si="74"/>
        <v>3530</v>
      </c>
      <c r="F541" s="184">
        <f t="shared" si="75"/>
        <v>3530</v>
      </c>
      <c r="G541" s="184"/>
      <c r="H541" s="184"/>
      <c r="I541" s="184"/>
      <c r="J541" s="184"/>
      <c r="K541" s="184"/>
      <c r="L541" s="184"/>
      <c r="M541" s="184">
        <v>3530</v>
      </c>
      <c r="N541" s="184"/>
    </row>
    <row r="542" spans="1:14" s="45" customFormat="1" ht="12.75">
      <c r="A542" s="81"/>
      <c r="B542" s="81"/>
      <c r="C542" s="82">
        <v>4430</v>
      </c>
      <c r="D542" s="85" t="s">
        <v>81</v>
      </c>
      <c r="E542" s="184">
        <f t="shared" si="74"/>
        <v>620</v>
      </c>
      <c r="F542" s="184">
        <f t="shared" si="75"/>
        <v>620</v>
      </c>
      <c r="G542" s="184"/>
      <c r="H542" s="184"/>
      <c r="I542" s="184"/>
      <c r="J542" s="184"/>
      <c r="K542" s="184"/>
      <c r="L542" s="184"/>
      <c r="M542" s="184">
        <v>620</v>
      </c>
      <c r="N542" s="184"/>
    </row>
    <row r="543" spans="1:14" s="45" customFormat="1" ht="25.5">
      <c r="A543" s="81"/>
      <c r="B543" s="81"/>
      <c r="C543" s="82">
        <v>4440</v>
      </c>
      <c r="D543" s="85" t="s">
        <v>82</v>
      </c>
      <c r="E543" s="184">
        <f t="shared" si="74"/>
        <v>23900</v>
      </c>
      <c r="F543" s="184">
        <f t="shared" si="75"/>
        <v>23900</v>
      </c>
      <c r="G543" s="184"/>
      <c r="H543" s="184"/>
      <c r="I543" s="184"/>
      <c r="J543" s="184"/>
      <c r="K543" s="184"/>
      <c r="L543" s="184"/>
      <c r="M543" s="184">
        <v>23900</v>
      </c>
      <c r="N543" s="184"/>
    </row>
    <row r="544" spans="1:14" s="45" customFormat="1" ht="12.75">
      <c r="A544" s="81"/>
      <c r="B544" s="81"/>
      <c r="C544" s="82">
        <v>4510</v>
      </c>
      <c r="D544" s="85" t="s">
        <v>361</v>
      </c>
      <c r="E544" s="184">
        <f t="shared" si="74"/>
        <v>100</v>
      </c>
      <c r="F544" s="184">
        <f t="shared" si="75"/>
        <v>100</v>
      </c>
      <c r="G544" s="184"/>
      <c r="H544" s="184"/>
      <c r="I544" s="184"/>
      <c r="J544" s="184"/>
      <c r="K544" s="184"/>
      <c r="L544" s="184"/>
      <c r="M544" s="184">
        <v>100</v>
      </c>
      <c r="N544" s="184"/>
    </row>
    <row r="545" spans="1:14" s="45" customFormat="1" ht="38.25">
      <c r="A545" s="81"/>
      <c r="B545" s="81"/>
      <c r="C545" s="82">
        <v>4700</v>
      </c>
      <c r="D545" s="85" t="s">
        <v>323</v>
      </c>
      <c r="E545" s="184">
        <f t="shared" si="74"/>
        <v>840</v>
      </c>
      <c r="F545" s="184">
        <f t="shared" si="75"/>
        <v>840</v>
      </c>
      <c r="G545" s="184"/>
      <c r="H545" s="184"/>
      <c r="I545" s="184"/>
      <c r="J545" s="184"/>
      <c r="K545" s="184"/>
      <c r="L545" s="184"/>
      <c r="M545" s="184">
        <v>840</v>
      </c>
      <c r="N545" s="184"/>
    </row>
    <row r="546" spans="1:14" s="45" customFormat="1" ht="38.25">
      <c r="A546" s="81"/>
      <c r="B546" s="81"/>
      <c r="C546" s="82">
        <v>4740</v>
      </c>
      <c r="D546" s="85" t="s">
        <v>107</v>
      </c>
      <c r="E546" s="184">
        <f t="shared" si="74"/>
        <v>1050</v>
      </c>
      <c r="F546" s="184">
        <f t="shared" si="75"/>
        <v>1050</v>
      </c>
      <c r="G546" s="184"/>
      <c r="H546" s="184"/>
      <c r="I546" s="184"/>
      <c r="J546" s="184"/>
      <c r="K546" s="184"/>
      <c r="L546" s="184"/>
      <c r="M546" s="184">
        <v>1050</v>
      </c>
      <c r="N546" s="184"/>
    </row>
    <row r="547" spans="1:14" s="45" customFormat="1" ht="25.5">
      <c r="A547" s="81"/>
      <c r="B547" s="81"/>
      <c r="C547" s="82">
        <v>4750</v>
      </c>
      <c r="D547" s="85" t="s">
        <v>167</v>
      </c>
      <c r="E547" s="184">
        <f t="shared" si="74"/>
        <v>1773</v>
      </c>
      <c r="F547" s="184">
        <f t="shared" si="75"/>
        <v>1773</v>
      </c>
      <c r="G547" s="184"/>
      <c r="H547" s="184"/>
      <c r="I547" s="184"/>
      <c r="J547" s="184"/>
      <c r="K547" s="184"/>
      <c r="L547" s="184"/>
      <c r="M547" s="184">
        <f>1350+423</f>
        <v>1773</v>
      </c>
      <c r="N547" s="184"/>
    </row>
    <row r="548" spans="1:14" s="76" customFormat="1" ht="12.75">
      <c r="A548" s="114"/>
      <c r="B548" s="83">
        <v>85410</v>
      </c>
      <c r="C548" s="86"/>
      <c r="D548" s="90" t="s">
        <v>219</v>
      </c>
      <c r="E548" s="195">
        <f t="shared" si="74"/>
        <v>967702</v>
      </c>
      <c r="F548" s="195">
        <f t="shared" si="75"/>
        <v>960202</v>
      </c>
      <c r="G548" s="195">
        <f>SUM(G549:G565)</f>
        <v>471190</v>
      </c>
      <c r="H548" s="195">
        <f aca="true" t="shared" si="83" ref="H548:N548">SUM(H549:H565)</f>
        <v>34420</v>
      </c>
      <c r="I548" s="195">
        <f t="shared" si="83"/>
        <v>87692</v>
      </c>
      <c r="J548" s="195">
        <f t="shared" si="83"/>
        <v>0</v>
      </c>
      <c r="K548" s="195">
        <f t="shared" si="83"/>
        <v>0</v>
      </c>
      <c r="L548" s="195">
        <f t="shared" si="83"/>
        <v>0</v>
      </c>
      <c r="M548" s="195">
        <f t="shared" si="83"/>
        <v>366900</v>
      </c>
      <c r="N548" s="195">
        <f t="shared" si="83"/>
        <v>7500</v>
      </c>
    </row>
    <row r="549" spans="1:14" s="45" customFormat="1" ht="25.5">
      <c r="A549" s="103"/>
      <c r="B549" s="81"/>
      <c r="C549" s="82">
        <v>3020</v>
      </c>
      <c r="D549" s="85" t="s">
        <v>324</v>
      </c>
      <c r="E549" s="184">
        <f t="shared" si="74"/>
        <v>26240</v>
      </c>
      <c r="F549" s="184">
        <f t="shared" si="75"/>
        <v>26240</v>
      </c>
      <c r="G549" s="184"/>
      <c r="H549" s="184"/>
      <c r="I549" s="184"/>
      <c r="J549" s="184"/>
      <c r="K549" s="184"/>
      <c r="L549" s="184"/>
      <c r="M549" s="184">
        <f>24460+1780</f>
        <v>26240</v>
      </c>
      <c r="N549" s="184"/>
    </row>
    <row r="550" spans="1:14" s="45" customFormat="1" ht="25.5">
      <c r="A550" s="103"/>
      <c r="B550" s="81"/>
      <c r="C550" s="82">
        <v>4010</v>
      </c>
      <c r="D550" s="85" t="s">
        <v>66</v>
      </c>
      <c r="E550" s="184">
        <f t="shared" si="74"/>
        <v>471190</v>
      </c>
      <c r="F550" s="184">
        <f t="shared" si="75"/>
        <v>471190</v>
      </c>
      <c r="G550" s="184">
        <f>432710+'[1]Arkusz1'!$K$310</f>
        <v>471190</v>
      </c>
      <c r="H550" s="184"/>
      <c r="I550" s="184"/>
      <c r="J550" s="184"/>
      <c r="K550" s="184"/>
      <c r="L550" s="184"/>
      <c r="M550" s="184"/>
      <c r="N550" s="184"/>
    </row>
    <row r="551" spans="1:14" s="45" customFormat="1" ht="12.75">
      <c r="A551" s="103"/>
      <c r="B551" s="81"/>
      <c r="C551" s="82">
        <v>4040</v>
      </c>
      <c r="D551" s="85" t="s">
        <v>67</v>
      </c>
      <c r="E551" s="184">
        <f t="shared" si="74"/>
        <v>34420</v>
      </c>
      <c r="F551" s="184">
        <f t="shared" si="75"/>
        <v>34420</v>
      </c>
      <c r="G551" s="184"/>
      <c r="H551" s="184">
        <v>34420</v>
      </c>
      <c r="I551" s="184"/>
      <c r="J551" s="184"/>
      <c r="K551" s="184"/>
      <c r="L551" s="184"/>
      <c r="M551" s="184"/>
      <c r="N551" s="184"/>
    </row>
    <row r="552" spans="1:14" s="45" customFormat="1" ht="12.75">
      <c r="A552" s="103"/>
      <c r="B552" s="81"/>
      <c r="C552" s="82">
        <v>4110</v>
      </c>
      <c r="D552" s="85" t="s">
        <v>162</v>
      </c>
      <c r="E552" s="184">
        <f t="shared" si="74"/>
        <v>75495</v>
      </c>
      <c r="F552" s="184">
        <f t="shared" si="75"/>
        <v>75495</v>
      </c>
      <c r="G552" s="184"/>
      <c r="H552" s="184"/>
      <c r="I552" s="184">
        <f>69320+'[1]Arkusz1'!$K$311</f>
        <v>75495</v>
      </c>
      <c r="J552" s="184"/>
      <c r="K552" s="184"/>
      <c r="L552" s="184"/>
      <c r="M552" s="184"/>
      <c r="N552" s="184"/>
    </row>
    <row r="553" spans="1:14" s="45" customFormat="1" ht="12.75">
      <c r="A553" s="103"/>
      <c r="B553" s="81"/>
      <c r="C553" s="82">
        <v>4120</v>
      </c>
      <c r="D553" s="85" t="s">
        <v>69</v>
      </c>
      <c r="E553" s="184">
        <f t="shared" si="74"/>
        <v>12197</v>
      </c>
      <c r="F553" s="184">
        <f t="shared" si="75"/>
        <v>12197</v>
      </c>
      <c r="G553" s="184"/>
      <c r="H553" s="184"/>
      <c r="I553" s="184">
        <f>11210+'[1]Arkusz1'!$K$312</f>
        <v>12197</v>
      </c>
      <c r="J553" s="184"/>
      <c r="K553" s="184"/>
      <c r="L553" s="184"/>
      <c r="M553" s="184"/>
      <c r="N553" s="184"/>
    </row>
    <row r="554" spans="1:14" s="45" customFormat="1" ht="12.75">
      <c r="A554" s="103"/>
      <c r="B554" s="81"/>
      <c r="C554" s="82">
        <v>4170</v>
      </c>
      <c r="D554" s="85" t="s">
        <v>201</v>
      </c>
      <c r="E554" s="184">
        <f t="shared" si="74"/>
        <v>7500</v>
      </c>
      <c r="F554" s="184">
        <f t="shared" si="75"/>
        <v>7500</v>
      </c>
      <c r="G554" s="184"/>
      <c r="H554" s="184"/>
      <c r="I554" s="184"/>
      <c r="J554" s="184"/>
      <c r="K554" s="184"/>
      <c r="L554" s="184"/>
      <c r="M554" s="184">
        <v>7500</v>
      </c>
      <c r="N554" s="184"/>
    </row>
    <row r="555" spans="1:14" s="45" customFormat="1" ht="12.75">
      <c r="A555" s="103"/>
      <c r="B555" s="81"/>
      <c r="C555" s="82">
        <v>4210</v>
      </c>
      <c r="D555" s="85" t="s">
        <v>71</v>
      </c>
      <c r="E555" s="184">
        <f t="shared" si="74"/>
        <v>265000</v>
      </c>
      <c r="F555" s="184">
        <f t="shared" si="75"/>
        <v>265000</v>
      </c>
      <c r="G555" s="184"/>
      <c r="H555" s="184"/>
      <c r="I555" s="184"/>
      <c r="J555" s="184"/>
      <c r="K555" s="184"/>
      <c r="L555" s="184"/>
      <c r="M555" s="184">
        <f>255000+10000</f>
        <v>265000</v>
      </c>
      <c r="N555" s="184"/>
    </row>
    <row r="556" spans="1:14" s="45" customFormat="1" ht="12.75">
      <c r="A556" s="103"/>
      <c r="B556" s="81"/>
      <c r="C556" s="82">
        <v>4260</v>
      </c>
      <c r="D556" s="85" t="s">
        <v>72</v>
      </c>
      <c r="E556" s="184">
        <f t="shared" si="74"/>
        <v>28680</v>
      </c>
      <c r="F556" s="184">
        <f t="shared" si="75"/>
        <v>28680</v>
      </c>
      <c r="G556" s="184"/>
      <c r="H556" s="184"/>
      <c r="I556" s="184"/>
      <c r="J556" s="184"/>
      <c r="K556" s="184"/>
      <c r="L556" s="184"/>
      <c r="M556" s="184">
        <v>28680</v>
      </c>
      <c r="N556" s="184"/>
    </row>
    <row r="557" spans="1:14" s="45" customFormat="1" ht="12.75">
      <c r="A557" s="103"/>
      <c r="B557" s="81"/>
      <c r="C557" s="82">
        <v>4270</v>
      </c>
      <c r="D557" s="85" t="s">
        <v>73</v>
      </c>
      <c r="E557" s="184">
        <f t="shared" si="74"/>
        <v>2500</v>
      </c>
      <c r="F557" s="184">
        <f t="shared" si="75"/>
        <v>2500</v>
      </c>
      <c r="G557" s="184"/>
      <c r="H557" s="184"/>
      <c r="I557" s="184"/>
      <c r="J557" s="184"/>
      <c r="K557" s="184"/>
      <c r="L557" s="184"/>
      <c r="M557" s="184">
        <f>500+1500+500</f>
        <v>2500</v>
      </c>
      <c r="N557" s="184"/>
    </row>
    <row r="558" spans="1:14" s="45" customFormat="1" ht="12.75">
      <c r="A558" s="103"/>
      <c r="B558" s="81"/>
      <c r="C558" s="82">
        <v>4280</v>
      </c>
      <c r="D558" s="85" t="s">
        <v>74</v>
      </c>
      <c r="E558" s="184">
        <f t="shared" si="74"/>
        <v>260</v>
      </c>
      <c r="F558" s="184">
        <f t="shared" si="75"/>
        <v>260</v>
      </c>
      <c r="G558" s="184"/>
      <c r="H558" s="184"/>
      <c r="I558" s="184"/>
      <c r="J558" s="184"/>
      <c r="K558" s="184"/>
      <c r="L558" s="184"/>
      <c r="M558" s="184">
        <v>260</v>
      </c>
      <c r="N558" s="184"/>
    </row>
    <row r="559" spans="1:14" s="45" customFormat="1" ht="12.75">
      <c r="A559" s="103"/>
      <c r="B559" s="81"/>
      <c r="C559" s="82">
        <v>4300</v>
      </c>
      <c r="D559" s="85" t="s">
        <v>115</v>
      </c>
      <c r="E559" s="184">
        <f t="shared" si="74"/>
        <v>7340</v>
      </c>
      <c r="F559" s="184">
        <f t="shared" si="75"/>
        <v>7340</v>
      </c>
      <c r="G559" s="184"/>
      <c r="H559" s="184"/>
      <c r="I559" s="184"/>
      <c r="J559" s="184"/>
      <c r="K559" s="184"/>
      <c r="L559" s="184"/>
      <c r="M559" s="184">
        <v>7340</v>
      </c>
      <c r="N559" s="184"/>
    </row>
    <row r="560" spans="1:14" s="45" customFormat="1" ht="38.25">
      <c r="A560" s="103"/>
      <c r="B560" s="81"/>
      <c r="C560" s="82">
        <v>4360</v>
      </c>
      <c r="D560" s="85" t="s">
        <v>173</v>
      </c>
      <c r="E560" s="184">
        <f t="shared" si="74"/>
        <v>960</v>
      </c>
      <c r="F560" s="184">
        <f t="shared" si="75"/>
        <v>960</v>
      </c>
      <c r="G560" s="184"/>
      <c r="H560" s="184"/>
      <c r="I560" s="184"/>
      <c r="J560" s="184"/>
      <c r="K560" s="184"/>
      <c r="L560" s="184"/>
      <c r="M560" s="184">
        <v>960</v>
      </c>
      <c r="N560" s="184"/>
    </row>
    <row r="561" spans="1:14" s="45" customFormat="1" ht="38.25">
      <c r="A561" s="103"/>
      <c r="B561" s="81"/>
      <c r="C561" s="82">
        <v>4370</v>
      </c>
      <c r="D561" s="85" t="s">
        <v>166</v>
      </c>
      <c r="E561" s="184">
        <f t="shared" si="74"/>
        <v>1670</v>
      </c>
      <c r="F561" s="184">
        <f t="shared" si="75"/>
        <v>1670</v>
      </c>
      <c r="G561" s="184"/>
      <c r="H561" s="184"/>
      <c r="I561" s="184"/>
      <c r="J561" s="184"/>
      <c r="K561" s="184"/>
      <c r="L561" s="184"/>
      <c r="M561" s="184">
        <f>2170-500</f>
        <v>1670</v>
      </c>
      <c r="N561" s="184"/>
    </row>
    <row r="562" spans="1:14" s="45" customFormat="1" ht="12.75">
      <c r="A562" s="103"/>
      <c r="B562" s="81"/>
      <c r="C562" s="82">
        <v>4410</v>
      </c>
      <c r="D562" s="85" t="s">
        <v>80</v>
      </c>
      <c r="E562" s="184">
        <f t="shared" si="74"/>
        <v>400</v>
      </c>
      <c r="F562" s="184">
        <f t="shared" si="75"/>
        <v>400</v>
      </c>
      <c r="G562" s="184"/>
      <c r="H562" s="184"/>
      <c r="I562" s="184"/>
      <c r="J562" s="184"/>
      <c r="K562" s="184"/>
      <c r="L562" s="184"/>
      <c r="M562" s="184">
        <v>400</v>
      </c>
      <c r="N562" s="184"/>
    </row>
    <row r="563" spans="1:14" s="45" customFormat="1" ht="12.75">
      <c r="A563" s="103"/>
      <c r="B563" s="81"/>
      <c r="C563" s="82">
        <v>4430</v>
      </c>
      <c r="D563" s="85" t="s">
        <v>81</v>
      </c>
      <c r="E563" s="184">
        <f t="shared" si="74"/>
        <v>540</v>
      </c>
      <c r="F563" s="184">
        <f t="shared" si="75"/>
        <v>540</v>
      </c>
      <c r="G563" s="184"/>
      <c r="H563" s="184"/>
      <c r="I563" s="184"/>
      <c r="J563" s="184"/>
      <c r="K563" s="184"/>
      <c r="L563" s="184"/>
      <c r="M563" s="184">
        <v>540</v>
      </c>
      <c r="N563" s="184"/>
    </row>
    <row r="564" spans="1:14" s="45" customFormat="1" ht="25.5">
      <c r="A564" s="103"/>
      <c r="B564" s="81"/>
      <c r="C564" s="82">
        <v>4440</v>
      </c>
      <c r="D564" s="85" t="s">
        <v>82</v>
      </c>
      <c r="E564" s="184">
        <f aca="true" t="shared" si="84" ref="E564:E577">F564+N564</f>
        <v>25810</v>
      </c>
      <c r="F564" s="184">
        <f aca="true" t="shared" si="85" ref="F564:F577">SUM(G564:M564)</f>
        <v>25810</v>
      </c>
      <c r="G564" s="184"/>
      <c r="H564" s="184"/>
      <c r="I564" s="184"/>
      <c r="J564" s="184"/>
      <c r="K564" s="184"/>
      <c r="L564" s="184"/>
      <c r="M564" s="184">
        <v>25810</v>
      </c>
      <c r="N564" s="184"/>
    </row>
    <row r="565" spans="1:14" s="45" customFormat="1" ht="25.5">
      <c r="A565" s="78"/>
      <c r="B565" s="78"/>
      <c r="C565" s="82">
        <v>6060</v>
      </c>
      <c r="D565" s="93" t="s">
        <v>501</v>
      </c>
      <c r="E565" s="184">
        <f t="shared" si="84"/>
        <v>7500</v>
      </c>
      <c r="F565" s="184">
        <f t="shared" si="85"/>
        <v>0</v>
      </c>
      <c r="G565" s="184"/>
      <c r="H565" s="184"/>
      <c r="I565" s="184"/>
      <c r="J565" s="184"/>
      <c r="K565" s="184"/>
      <c r="L565" s="184"/>
      <c r="M565" s="184"/>
      <c r="N565" s="184">
        <v>7500</v>
      </c>
    </row>
    <row r="566" spans="1:14" s="45" customFormat="1" ht="25.5">
      <c r="A566" s="78"/>
      <c r="B566" s="418">
        <v>85413</v>
      </c>
      <c r="C566" s="82"/>
      <c r="D566" s="419" t="s">
        <v>137</v>
      </c>
      <c r="E566" s="195">
        <f t="shared" si="84"/>
        <v>226800</v>
      </c>
      <c r="F566" s="195">
        <f t="shared" si="85"/>
        <v>226800</v>
      </c>
      <c r="G566" s="195">
        <f aca="true" t="shared" si="86" ref="G566:N566">SUM(G567:G570)</f>
        <v>0</v>
      </c>
      <c r="H566" s="195">
        <f t="shared" si="86"/>
        <v>0</v>
      </c>
      <c r="I566" s="195">
        <f t="shared" si="86"/>
        <v>0</v>
      </c>
      <c r="J566" s="195">
        <f t="shared" si="86"/>
        <v>0</v>
      </c>
      <c r="K566" s="195">
        <f t="shared" si="86"/>
        <v>0</v>
      </c>
      <c r="L566" s="195">
        <f t="shared" si="86"/>
        <v>0</v>
      </c>
      <c r="M566" s="195">
        <f t="shared" si="86"/>
        <v>226800</v>
      </c>
      <c r="N566" s="195">
        <f t="shared" si="86"/>
        <v>0</v>
      </c>
    </row>
    <row r="567" spans="1:14" s="45" customFormat="1" ht="12.75">
      <c r="A567" s="78"/>
      <c r="B567" s="78"/>
      <c r="C567" s="82">
        <v>4170</v>
      </c>
      <c r="D567" s="93" t="s">
        <v>146</v>
      </c>
      <c r="E567" s="184">
        <f t="shared" si="84"/>
        <v>39000</v>
      </c>
      <c r="F567" s="184">
        <f t="shared" si="85"/>
        <v>39000</v>
      </c>
      <c r="G567" s="184"/>
      <c r="H567" s="184"/>
      <c r="I567" s="184"/>
      <c r="J567" s="184"/>
      <c r="K567" s="184"/>
      <c r="L567" s="184"/>
      <c r="M567" s="184">
        <v>39000</v>
      </c>
      <c r="N567" s="184"/>
    </row>
    <row r="568" spans="1:14" s="45" customFormat="1" ht="12.75">
      <c r="A568" s="78"/>
      <c r="B568" s="78"/>
      <c r="C568" s="82">
        <v>4210</v>
      </c>
      <c r="D568" s="93" t="s">
        <v>71</v>
      </c>
      <c r="E568" s="184">
        <f t="shared" si="84"/>
        <v>37000</v>
      </c>
      <c r="F568" s="184">
        <f t="shared" si="85"/>
        <v>37000</v>
      </c>
      <c r="G568" s="184"/>
      <c r="H568" s="184"/>
      <c r="I568" s="184"/>
      <c r="J568" s="184"/>
      <c r="K568" s="184"/>
      <c r="L568" s="184"/>
      <c r="M568" s="184">
        <v>37000</v>
      </c>
      <c r="N568" s="184"/>
    </row>
    <row r="569" spans="1:14" s="45" customFormat="1" ht="12.75">
      <c r="A569" s="78"/>
      <c r="B569" s="78"/>
      <c r="C569" s="82">
        <v>4300</v>
      </c>
      <c r="D569" s="93" t="s">
        <v>115</v>
      </c>
      <c r="E569" s="184">
        <f t="shared" si="84"/>
        <v>150000</v>
      </c>
      <c r="F569" s="184">
        <f t="shared" si="85"/>
        <v>150000</v>
      </c>
      <c r="G569" s="184"/>
      <c r="H569" s="184"/>
      <c r="I569" s="184"/>
      <c r="J569" s="184"/>
      <c r="K569" s="184"/>
      <c r="L569" s="184"/>
      <c r="M569" s="184">
        <v>150000</v>
      </c>
      <c r="N569" s="184"/>
    </row>
    <row r="570" spans="1:14" s="45" customFormat="1" ht="12.75">
      <c r="A570" s="78"/>
      <c r="B570" s="78"/>
      <c r="C570" s="82">
        <v>4430</v>
      </c>
      <c r="D570" s="93" t="s">
        <v>81</v>
      </c>
      <c r="E570" s="184">
        <f t="shared" si="84"/>
        <v>800</v>
      </c>
      <c r="F570" s="184">
        <f t="shared" si="85"/>
        <v>800</v>
      </c>
      <c r="G570" s="184"/>
      <c r="H570" s="184"/>
      <c r="I570" s="184"/>
      <c r="J570" s="184"/>
      <c r="K570" s="184"/>
      <c r="L570" s="184"/>
      <c r="M570" s="184">
        <v>800</v>
      </c>
      <c r="N570" s="184"/>
    </row>
    <row r="571" spans="1:14" s="76" customFormat="1" ht="12.75">
      <c r="A571" s="114"/>
      <c r="B571" s="83">
        <v>85415</v>
      </c>
      <c r="C571" s="86"/>
      <c r="D571" s="90" t="s">
        <v>220</v>
      </c>
      <c r="E571" s="195">
        <f t="shared" si="84"/>
        <v>53800</v>
      </c>
      <c r="F571" s="195">
        <f t="shared" si="85"/>
        <v>53800</v>
      </c>
      <c r="G571" s="195">
        <f aca="true" t="shared" si="87" ref="G571:N571">SUM(G572:G572)</f>
        <v>0</v>
      </c>
      <c r="H571" s="195">
        <f t="shared" si="87"/>
        <v>0</v>
      </c>
      <c r="I571" s="195">
        <f t="shared" si="87"/>
        <v>0</v>
      </c>
      <c r="J571" s="195">
        <f t="shared" si="87"/>
        <v>0</v>
      </c>
      <c r="K571" s="195">
        <f t="shared" si="87"/>
        <v>0</v>
      </c>
      <c r="L571" s="195">
        <f t="shared" si="87"/>
        <v>0</v>
      </c>
      <c r="M571" s="195">
        <f t="shared" si="87"/>
        <v>53800</v>
      </c>
      <c r="N571" s="195">
        <f t="shared" si="87"/>
        <v>0</v>
      </c>
    </row>
    <row r="572" spans="1:14" s="45" customFormat="1" ht="25.5">
      <c r="A572" s="103"/>
      <c r="B572" s="81"/>
      <c r="C572" s="82">
        <v>3240</v>
      </c>
      <c r="D572" s="85" t="s">
        <v>221</v>
      </c>
      <c r="E572" s="184">
        <f t="shared" si="84"/>
        <v>53800</v>
      </c>
      <c r="F572" s="184">
        <f t="shared" si="85"/>
        <v>53800</v>
      </c>
      <c r="G572" s="184"/>
      <c r="H572" s="184"/>
      <c r="I572" s="184"/>
      <c r="J572" s="184"/>
      <c r="K572" s="184"/>
      <c r="L572" s="184"/>
      <c r="M572" s="184">
        <f>40000+9000+4800</f>
        <v>53800</v>
      </c>
      <c r="N572" s="184"/>
    </row>
    <row r="573" spans="1:14" s="76" customFormat="1" ht="25.5">
      <c r="A573" s="114"/>
      <c r="B573" s="83">
        <v>85446</v>
      </c>
      <c r="C573" s="86"/>
      <c r="D573" s="90" t="s">
        <v>177</v>
      </c>
      <c r="E573" s="195">
        <f t="shared" si="84"/>
        <v>4810</v>
      </c>
      <c r="F573" s="195">
        <f t="shared" si="85"/>
        <v>4810</v>
      </c>
      <c r="G573" s="195">
        <f>SUM(G574:G575)</f>
        <v>0</v>
      </c>
      <c r="H573" s="195">
        <f aca="true" t="shared" si="88" ref="H573:N573">SUM(H574:H575)</f>
        <v>0</v>
      </c>
      <c r="I573" s="195">
        <f t="shared" si="88"/>
        <v>0</v>
      </c>
      <c r="J573" s="195">
        <f t="shared" si="88"/>
        <v>0</v>
      </c>
      <c r="K573" s="195">
        <f t="shared" si="88"/>
        <v>0</v>
      </c>
      <c r="L573" s="195">
        <f t="shared" si="88"/>
        <v>0</v>
      </c>
      <c r="M573" s="195">
        <f t="shared" si="88"/>
        <v>4810</v>
      </c>
      <c r="N573" s="195">
        <f t="shared" si="88"/>
        <v>0</v>
      </c>
    </row>
    <row r="574" spans="1:14" s="45" customFormat="1" ht="12.75">
      <c r="A574" s="103"/>
      <c r="B574" s="81"/>
      <c r="C574" s="82">
        <v>4300</v>
      </c>
      <c r="D574" s="85" t="s">
        <v>115</v>
      </c>
      <c r="E574" s="184">
        <f t="shared" si="84"/>
        <v>4560</v>
      </c>
      <c r="F574" s="184">
        <f t="shared" si="85"/>
        <v>4560</v>
      </c>
      <c r="G574" s="184"/>
      <c r="H574" s="184"/>
      <c r="I574" s="184"/>
      <c r="J574" s="184"/>
      <c r="K574" s="184"/>
      <c r="L574" s="184"/>
      <c r="M574" s="184">
        <v>4560</v>
      </c>
      <c r="N574" s="184"/>
    </row>
    <row r="575" spans="1:14" s="45" customFormat="1" ht="12.75">
      <c r="A575" s="103"/>
      <c r="B575" s="81"/>
      <c r="C575" s="82">
        <v>4410</v>
      </c>
      <c r="D575" s="85" t="s">
        <v>80</v>
      </c>
      <c r="E575" s="184">
        <f t="shared" si="84"/>
        <v>250</v>
      </c>
      <c r="F575" s="184">
        <f t="shared" si="85"/>
        <v>250</v>
      </c>
      <c r="G575" s="184"/>
      <c r="H575" s="184"/>
      <c r="I575" s="184"/>
      <c r="J575" s="184"/>
      <c r="K575" s="184"/>
      <c r="L575" s="184"/>
      <c r="M575" s="184">
        <v>250</v>
      </c>
      <c r="N575" s="184"/>
    </row>
    <row r="576" spans="1:14" s="76" customFormat="1" ht="12.75">
      <c r="A576" s="114"/>
      <c r="B576" s="83">
        <v>85495</v>
      </c>
      <c r="C576" s="86"/>
      <c r="D576" s="90" t="s">
        <v>152</v>
      </c>
      <c r="E576" s="195">
        <f t="shared" si="84"/>
        <v>8640</v>
      </c>
      <c r="F576" s="195">
        <f t="shared" si="85"/>
        <v>8640</v>
      </c>
      <c r="G576" s="195">
        <f aca="true" t="shared" si="89" ref="G576:N576">SUM(G577:G577)</f>
        <v>0</v>
      </c>
      <c r="H576" s="195">
        <f t="shared" si="89"/>
        <v>0</v>
      </c>
      <c r="I576" s="195">
        <f t="shared" si="89"/>
        <v>0</v>
      </c>
      <c r="J576" s="195">
        <f t="shared" si="89"/>
        <v>0</v>
      </c>
      <c r="K576" s="195">
        <f t="shared" si="89"/>
        <v>0</v>
      </c>
      <c r="L576" s="195">
        <f t="shared" si="89"/>
        <v>0</v>
      </c>
      <c r="M576" s="195">
        <f t="shared" si="89"/>
        <v>8640</v>
      </c>
      <c r="N576" s="195">
        <f t="shared" si="89"/>
        <v>0</v>
      </c>
    </row>
    <row r="577" spans="1:14" s="45" customFormat="1" ht="25.5">
      <c r="A577" s="103"/>
      <c r="B577" s="81"/>
      <c r="C577" s="82">
        <v>4440</v>
      </c>
      <c r="D577" s="85" t="s">
        <v>82</v>
      </c>
      <c r="E577" s="184">
        <f t="shared" si="84"/>
        <v>8640</v>
      </c>
      <c r="F577" s="184">
        <f t="shared" si="85"/>
        <v>8640</v>
      </c>
      <c r="G577" s="184"/>
      <c r="H577" s="184"/>
      <c r="I577" s="184"/>
      <c r="J577" s="184"/>
      <c r="K577" s="184"/>
      <c r="L577" s="184"/>
      <c r="M577" s="184">
        <v>8640</v>
      </c>
      <c r="N577" s="184"/>
    </row>
    <row r="578" spans="1:14" s="112" customFormat="1" ht="25.5">
      <c r="A578" s="113">
        <v>921</v>
      </c>
      <c r="B578" s="78"/>
      <c r="C578" s="79"/>
      <c r="D578" s="91" t="s">
        <v>223</v>
      </c>
      <c r="E578" s="194">
        <f aca="true" t="shared" si="90" ref="E578:E598">F578+N578</f>
        <v>110380</v>
      </c>
      <c r="F578" s="194">
        <f aca="true" t="shared" si="91" ref="F578:F598">SUM(G578:M578)</f>
        <v>110380</v>
      </c>
      <c r="G578" s="194">
        <f aca="true" t="shared" si="92" ref="G578:N578">SUM(G581+G584+G579)</f>
        <v>0</v>
      </c>
      <c r="H578" s="194">
        <f t="shared" si="92"/>
        <v>0</v>
      </c>
      <c r="I578" s="194">
        <f t="shared" si="92"/>
        <v>0</v>
      </c>
      <c r="J578" s="194">
        <f t="shared" si="92"/>
        <v>69380</v>
      </c>
      <c r="K578" s="194">
        <f t="shared" si="92"/>
        <v>0</v>
      </c>
      <c r="L578" s="194">
        <f t="shared" si="92"/>
        <v>0</v>
      </c>
      <c r="M578" s="194">
        <f t="shared" si="92"/>
        <v>41000</v>
      </c>
      <c r="N578" s="194">
        <f t="shared" si="92"/>
        <v>0</v>
      </c>
    </row>
    <row r="579" spans="1:14" s="76" customFormat="1" ht="25.5">
      <c r="A579" s="83"/>
      <c r="B579" s="83">
        <v>92108</v>
      </c>
      <c r="C579" s="86"/>
      <c r="D579" s="90" t="s">
        <v>502</v>
      </c>
      <c r="E579" s="195">
        <f>F579+N579</f>
        <v>6500</v>
      </c>
      <c r="F579" s="195">
        <f>SUM(G579:M579)</f>
        <v>6500</v>
      </c>
      <c r="G579" s="195">
        <f aca="true" t="shared" si="93" ref="G579:N579">SUM(G580:G580)</f>
        <v>0</v>
      </c>
      <c r="H579" s="195">
        <f t="shared" si="93"/>
        <v>0</v>
      </c>
      <c r="I579" s="195">
        <f t="shared" si="93"/>
        <v>0</v>
      </c>
      <c r="J579" s="195">
        <f t="shared" si="93"/>
        <v>6500</v>
      </c>
      <c r="K579" s="195">
        <f t="shared" si="93"/>
        <v>0</v>
      </c>
      <c r="L579" s="195">
        <f t="shared" si="93"/>
        <v>0</v>
      </c>
      <c r="M579" s="195">
        <f t="shared" si="93"/>
        <v>0</v>
      </c>
      <c r="N579" s="195">
        <f t="shared" si="93"/>
        <v>0</v>
      </c>
    </row>
    <row r="580" spans="1:14" s="45" customFormat="1" ht="33.75">
      <c r="A580" s="81"/>
      <c r="B580" s="81"/>
      <c r="C580" s="82">
        <v>2820</v>
      </c>
      <c r="D580" s="99" t="s">
        <v>365</v>
      </c>
      <c r="E580" s="184">
        <f>F580+N580</f>
        <v>6500</v>
      </c>
      <c r="F580" s="184">
        <f>SUM(G580:M580)</f>
        <v>6500</v>
      </c>
      <c r="G580" s="184"/>
      <c r="H580" s="184"/>
      <c r="I580" s="184"/>
      <c r="J580" s="184">
        <v>6500</v>
      </c>
      <c r="K580" s="184"/>
      <c r="L580" s="184"/>
      <c r="M580" s="184"/>
      <c r="N580" s="184"/>
    </row>
    <row r="581" spans="1:14" s="76" customFormat="1" ht="12.75">
      <c r="A581" s="83"/>
      <c r="B581" s="83">
        <v>92116</v>
      </c>
      <c r="C581" s="86"/>
      <c r="D581" s="90" t="s">
        <v>224</v>
      </c>
      <c r="E581" s="195">
        <f t="shared" si="90"/>
        <v>51380</v>
      </c>
      <c r="F581" s="195">
        <f t="shared" si="91"/>
        <v>51380</v>
      </c>
      <c r="G581" s="195">
        <f aca="true" t="shared" si="94" ref="G581:N581">SUM(G582:G583)</f>
        <v>0</v>
      </c>
      <c r="H581" s="195">
        <f t="shared" si="94"/>
        <v>0</v>
      </c>
      <c r="I581" s="195">
        <f t="shared" si="94"/>
        <v>0</v>
      </c>
      <c r="J581" s="195">
        <f t="shared" si="94"/>
        <v>49380</v>
      </c>
      <c r="K581" s="195">
        <f t="shared" si="94"/>
        <v>0</v>
      </c>
      <c r="L581" s="195">
        <f t="shared" si="94"/>
        <v>0</v>
      </c>
      <c r="M581" s="195">
        <f t="shared" si="94"/>
        <v>2000</v>
      </c>
      <c r="N581" s="195">
        <f t="shared" si="94"/>
        <v>0</v>
      </c>
    </row>
    <row r="582" spans="1:14" s="45" customFormat="1" ht="63.75">
      <c r="A582" s="81"/>
      <c r="B582" s="81"/>
      <c r="C582" s="82">
        <v>2310</v>
      </c>
      <c r="D582" s="85" t="s">
        <v>225</v>
      </c>
      <c r="E582" s="184">
        <f t="shared" si="90"/>
        <v>49380</v>
      </c>
      <c r="F582" s="184">
        <f t="shared" si="91"/>
        <v>49380</v>
      </c>
      <c r="G582" s="184"/>
      <c r="H582" s="184"/>
      <c r="I582" s="184"/>
      <c r="J582" s="184">
        <v>49380</v>
      </c>
      <c r="K582" s="184"/>
      <c r="L582" s="184"/>
      <c r="M582" s="184"/>
      <c r="N582" s="184"/>
    </row>
    <row r="583" spans="1:14" s="45" customFormat="1" ht="12.75">
      <c r="A583" s="81"/>
      <c r="B583" s="81"/>
      <c r="C583" s="82">
        <v>4210</v>
      </c>
      <c r="D583" s="85" t="s">
        <v>363</v>
      </c>
      <c r="E583" s="184">
        <f>F583+N583</f>
        <v>2000</v>
      </c>
      <c r="F583" s="184">
        <f>SUM(G583:M583)</f>
        <v>2000</v>
      </c>
      <c r="G583" s="184"/>
      <c r="H583" s="184"/>
      <c r="I583" s="184"/>
      <c r="J583" s="184"/>
      <c r="K583" s="184"/>
      <c r="L583" s="184"/>
      <c r="M583" s="184">
        <v>2000</v>
      </c>
      <c r="N583" s="184"/>
    </row>
    <row r="584" spans="1:14" s="76" customFormat="1" ht="12.75">
      <c r="A584" s="83"/>
      <c r="B584" s="83">
        <v>92195</v>
      </c>
      <c r="C584" s="86"/>
      <c r="D584" s="90" t="s">
        <v>152</v>
      </c>
      <c r="E584" s="195">
        <f t="shared" si="90"/>
        <v>52500</v>
      </c>
      <c r="F584" s="195">
        <f t="shared" si="91"/>
        <v>52500</v>
      </c>
      <c r="G584" s="195">
        <f>SUM(G585:G590)</f>
        <v>0</v>
      </c>
      <c r="H584" s="195">
        <f aca="true" t="shared" si="95" ref="H584:N584">SUM(H585:H590)</f>
        <v>0</v>
      </c>
      <c r="I584" s="195">
        <f t="shared" si="95"/>
        <v>0</v>
      </c>
      <c r="J584" s="195">
        <f t="shared" si="95"/>
        <v>13500</v>
      </c>
      <c r="K584" s="195">
        <f t="shared" si="95"/>
        <v>0</v>
      </c>
      <c r="L584" s="195">
        <f t="shared" si="95"/>
        <v>0</v>
      </c>
      <c r="M584" s="195">
        <f t="shared" si="95"/>
        <v>39000</v>
      </c>
      <c r="N584" s="195">
        <f t="shared" si="95"/>
        <v>0</v>
      </c>
    </row>
    <row r="585" spans="1:14" s="76" customFormat="1" ht="33.75">
      <c r="A585" s="83"/>
      <c r="B585" s="83"/>
      <c r="C585" s="82">
        <v>2810</v>
      </c>
      <c r="D585" s="99" t="s">
        <v>366</v>
      </c>
      <c r="E585" s="184">
        <f t="shared" si="90"/>
        <v>0</v>
      </c>
      <c r="F585" s="184">
        <f t="shared" si="91"/>
        <v>0</v>
      </c>
      <c r="G585" s="195"/>
      <c r="H585" s="195"/>
      <c r="I585" s="195"/>
      <c r="J585" s="184"/>
      <c r="K585" s="195"/>
      <c r="L585" s="195"/>
      <c r="M585" s="195"/>
      <c r="N585" s="195"/>
    </row>
    <row r="586" spans="1:14" s="76" customFormat="1" ht="33.75">
      <c r="A586" s="83"/>
      <c r="B586" s="83"/>
      <c r="C586" s="82">
        <v>2820</v>
      </c>
      <c r="D586" s="99" t="s">
        <v>365</v>
      </c>
      <c r="E586" s="184">
        <f t="shared" si="90"/>
        <v>13500</v>
      </c>
      <c r="F586" s="184">
        <f t="shared" si="91"/>
        <v>13500</v>
      </c>
      <c r="G586" s="195"/>
      <c r="H586" s="195"/>
      <c r="I586" s="195"/>
      <c r="J586" s="184">
        <f>12000+1500</f>
        <v>13500</v>
      </c>
      <c r="K586" s="195"/>
      <c r="L586" s="195"/>
      <c r="M586" s="195"/>
      <c r="N586" s="195"/>
    </row>
    <row r="587" spans="1:14" s="45" customFormat="1" ht="12.75">
      <c r="A587" s="81"/>
      <c r="B587" s="81"/>
      <c r="C587" s="82">
        <v>4210</v>
      </c>
      <c r="D587" s="85" t="s">
        <v>71</v>
      </c>
      <c r="E587" s="184">
        <f t="shared" si="90"/>
        <v>19050</v>
      </c>
      <c r="F587" s="184">
        <f t="shared" si="91"/>
        <v>19050</v>
      </c>
      <c r="G587" s="184"/>
      <c r="H587" s="184"/>
      <c r="I587" s="184"/>
      <c r="J587" s="184"/>
      <c r="K587" s="184"/>
      <c r="L587" s="184"/>
      <c r="M587" s="184">
        <f>19050</f>
        <v>19050</v>
      </c>
      <c r="N587" s="184"/>
    </row>
    <row r="588" spans="1:14" s="45" customFormat="1" ht="12.75">
      <c r="A588" s="81"/>
      <c r="B588" s="81"/>
      <c r="C588" s="82">
        <v>4300</v>
      </c>
      <c r="D588" s="85" t="s">
        <v>115</v>
      </c>
      <c r="E588" s="184">
        <f t="shared" si="90"/>
        <v>19700</v>
      </c>
      <c r="F588" s="184">
        <f t="shared" si="91"/>
        <v>19700</v>
      </c>
      <c r="G588" s="184"/>
      <c r="H588" s="184"/>
      <c r="I588" s="184"/>
      <c r="J588" s="184"/>
      <c r="K588" s="184"/>
      <c r="L588" s="184"/>
      <c r="M588" s="184">
        <v>19700</v>
      </c>
      <c r="N588" s="184"/>
    </row>
    <row r="589" spans="1:14" s="45" customFormat="1" ht="24">
      <c r="A589" s="81"/>
      <c r="B589" s="81"/>
      <c r="C589" s="406">
        <v>4740</v>
      </c>
      <c r="D589" s="407" t="s">
        <v>107</v>
      </c>
      <c r="E589" s="184">
        <f>F589+N589</f>
        <v>50</v>
      </c>
      <c r="F589" s="184">
        <f>SUM(G589:M589)</f>
        <v>50</v>
      </c>
      <c r="G589" s="184"/>
      <c r="H589" s="184"/>
      <c r="I589" s="184"/>
      <c r="J589" s="184"/>
      <c r="K589" s="184"/>
      <c r="L589" s="184"/>
      <c r="M589" s="184">
        <v>50</v>
      </c>
      <c r="N589" s="184"/>
    </row>
    <row r="590" spans="1:14" s="45" customFormat="1" ht="24">
      <c r="A590" s="81"/>
      <c r="B590" s="81"/>
      <c r="C590" s="406">
        <v>4750</v>
      </c>
      <c r="D590" s="407" t="s">
        <v>167</v>
      </c>
      <c r="E590" s="184">
        <f>F590+N590</f>
        <v>200</v>
      </c>
      <c r="F590" s="184">
        <f>SUM(G590:M590)</f>
        <v>200</v>
      </c>
      <c r="G590" s="184"/>
      <c r="H590" s="184"/>
      <c r="I590" s="184"/>
      <c r="J590" s="184"/>
      <c r="K590" s="184"/>
      <c r="L590" s="184"/>
      <c r="M590" s="184">
        <v>200</v>
      </c>
      <c r="N590" s="184"/>
    </row>
    <row r="591" spans="1:14" s="76" customFormat="1" ht="12.75">
      <c r="A591" s="83">
        <v>926</v>
      </c>
      <c r="B591" s="83"/>
      <c r="C591" s="86"/>
      <c r="D591" s="91" t="s">
        <v>226</v>
      </c>
      <c r="E591" s="194">
        <f t="shared" si="90"/>
        <v>89849</v>
      </c>
      <c r="F591" s="194">
        <f t="shared" si="91"/>
        <v>89849</v>
      </c>
      <c r="G591" s="194">
        <f aca="true" t="shared" si="96" ref="G591:N591">SUM(G592)</f>
        <v>0</v>
      </c>
      <c r="H591" s="194">
        <f t="shared" si="96"/>
        <v>0</v>
      </c>
      <c r="I591" s="194">
        <f t="shared" si="96"/>
        <v>0</v>
      </c>
      <c r="J591" s="194">
        <f t="shared" si="96"/>
        <v>53000</v>
      </c>
      <c r="K591" s="194">
        <f t="shared" si="96"/>
        <v>0</v>
      </c>
      <c r="L591" s="194">
        <f t="shared" si="96"/>
        <v>0</v>
      </c>
      <c r="M591" s="194">
        <f t="shared" si="96"/>
        <v>36849</v>
      </c>
      <c r="N591" s="194">
        <f t="shared" si="96"/>
        <v>0</v>
      </c>
    </row>
    <row r="592" spans="1:14" s="76" customFormat="1" ht="25.5">
      <c r="A592" s="83"/>
      <c r="B592" s="83">
        <v>92605</v>
      </c>
      <c r="C592" s="86"/>
      <c r="D592" s="90" t="s">
        <v>227</v>
      </c>
      <c r="E592" s="195">
        <f t="shared" si="90"/>
        <v>89849</v>
      </c>
      <c r="F592" s="195">
        <f t="shared" si="91"/>
        <v>89849</v>
      </c>
      <c r="G592" s="197">
        <f>SUM(G593:G598)</f>
        <v>0</v>
      </c>
      <c r="H592" s="197">
        <f aca="true" t="shared" si="97" ref="H592:N592">SUM(H593:H598)</f>
        <v>0</v>
      </c>
      <c r="I592" s="197">
        <f t="shared" si="97"/>
        <v>0</v>
      </c>
      <c r="J592" s="197">
        <f t="shared" si="97"/>
        <v>53000</v>
      </c>
      <c r="K592" s="197">
        <f t="shared" si="97"/>
        <v>0</v>
      </c>
      <c r="L592" s="197">
        <f t="shared" si="97"/>
        <v>0</v>
      </c>
      <c r="M592" s="197">
        <f t="shared" si="97"/>
        <v>36849</v>
      </c>
      <c r="N592" s="197">
        <f t="shared" si="97"/>
        <v>0</v>
      </c>
    </row>
    <row r="593" spans="1:14" s="76" customFormat="1" ht="33.75">
      <c r="A593" s="83"/>
      <c r="B593" s="83"/>
      <c r="C593" s="82">
        <v>2820</v>
      </c>
      <c r="D593" s="99" t="s">
        <v>365</v>
      </c>
      <c r="E593" s="184">
        <f t="shared" si="90"/>
        <v>53000</v>
      </c>
      <c r="F593" s="184">
        <f t="shared" si="91"/>
        <v>53000</v>
      </c>
      <c r="G593" s="197"/>
      <c r="H593" s="197"/>
      <c r="I593" s="197"/>
      <c r="J593" s="285">
        <v>53000</v>
      </c>
      <c r="K593" s="197"/>
      <c r="L593" s="197"/>
      <c r="M593" s="197"/>
      <c r="N593" s="197"/>
    </row>
    <row r="594" spans="1:14" s="45" customFormat="1" ht="12.75">
      <c r="A594" s="81"/>
      <c r="B594" s="81"/>
      <c r="C594" s="82">
        <v>4210</v>
      </c>
      <c r="D594" s="85" t="s">
        <v>71</v>
      </c>
      <c r="E594" s="184">
        <f t="shared" si="90"/>
        <v>28279</v>
      </c>
      <c r="F594" s="184">
        <f t="shared" si="91"/>
        <v>28279</v>
      </c>
      <c r="G594" s="184"/>
      <c r="H594" s="184"/>
      <c r="I594" s="184"/>
      <c r="J594" s="184"/>
      <c r="K594" s="184"/>
      <c r="L594" s="184"/>
      <c r="M594" s="184">
        <f>27610+949-280</f>
        <v>28279</v>
      </c>
      <c r="N594" s="184"/>
    </row>
    <row r="595" spans="1:14" s="45" customFormat="1" ht="12.75">
      <c r="A595" s="81"/>
      <c r="B595" s="81"/>
      <c r="C595" s="82">
        <v>4170</v>
      </c>
      <c r="D595" s="85" t="s">
        <v>104</v>
      </c>
      <c r="E595" s="184">
        <f t="shared" si="90"/>
        <v>1830</v>
      </c>
      <c r="F595" s="184">
        <f t="shared" si="91"/>
        <v>1830</v>
      </c>
      <c r="G595" s="184"/>
      <c r="H595" s="184"/>
      <c r="I595" s="184"/>
      <c r="J595" s="184"/>
      <c r="K595" s="184"/>
      <c r="L595" s="184"/>
      <c r="M595" s="184">
        <f>1550+280</f>
        <v>1830</v>
      </c>
      <c r="N595" s="184"/>
    </row>
    <row r="596" spans="1:14" s="45" customFormat="1" ht="12.75">
      <c r="A596" s="103"/>
      <c r="B596" s="81"/>
      <c r="C596" s="82">
        <v>4110</v>
      </c>
      <c r="D596" s="85" t="s">
        <v>162</v>
      </c>
      <c r="E596" s="184">
        <f t="shared" si="90"/>
        <v>0</v>
      </c>
      <c r="F596" s="184">
        <f t="shared" si="91"/>
        <v>0</v>
      </c>
      <c r="G596" s="184"/>
      <c r="H596" s="184"/>
      <c r="I596" s="184">
        <v>0</v>
      </c>
      <c r="J596" s="184"/>
      <c r="K596" s="184"/>
      <c r="L596" s="184"/>
      <c r="M596" s="184"/>
      <c r="N596" s="184"/>
    </row>
    <row r="597" spans="1:14" s="45" customFormat="1" ht="12.75">
      <c r="A597" s="81"/>
      <c r="B597" s="81"/>
      <c r="C597" s="82">
        <v>4300</v>
      </c>
      <c r="D597" s="85" t="s">
        <v>115</v>
      </c>
      <c r="E597" s="184">
        <f t="shared" si="90"/>
        <v>5700</v>
      </c>
      <c r="F597" s="184">
        <f t="shared" si="91"/>
        <v>5700</v>
      </c>
      <c r="G597" s="184"/>
      <c r="H597" s="184"/>
      <c r="I597" s="184"/>
      <c r="J597" s="184"/>
      <c r="K597" s="184"/>
      <c r="L597" s="184"/>
      <c r="M597" s="184">
        <v>5700</v>
      </c>
      <c r="N597" s="184"/>
    </row>
    <row r="598" spans="1:14" s="45" customFormat="1" ht="12.75">
      <c r="A598" s="81"/>
      <c r="B598" s="81"/>
      <c r="C598" s="82">
        <v>4410</v>
      </c>
      <c r="D598" s="85" t="s">
        <v>80</v>
      </c>
      <c r="E598" s="184">
        <f t="shared" si="90"/>
        <v>1040</v>
      </c>
      <c r="F598" s="184">
        <f t="shared" si="91"/>
        <v>1040</v>
      </c>
      <c r="G598" s="184"/>
      <c r="H598" s="184"/>
      <c r="I598" s="184"/>
      <c r="J598" s="184"/>
      <c r="K598" s="184"/>
      <c r="L598" s="184"/>
      <c r="M598" s="184">
        <v>1040</v>
      </c>
      <c r="N598" s="184"/>
    </row>
    <row r="599" spans="1:14" s="47" customFormat="1" ht="24.75" customHeight="1">
      <c r="A599" s="483" t="s">
        <v>611</v>
      </c>
      <c r="B599" s="484"/>
      <c r="C599" s="484"/>
      <c r="D599" s="485"/>
      <c r="E599" s="111">
        <f aca="true" t="shared" si="98" ref="E599:N599">E8+E11+E86+E56+E45+E17+E155+E163+E166+E170+E310+E317+E447+E517+E578+E591</f>
        <v>47920399</v>
      </c>
      <c r="F599" s="111">
        <f t="shared" si="98"/>
        <v>44957275</v>
      </c>
      <c r="G599" s="111">
        <f t="shared" si="98"/>
        <v>21235310</v>
      </c>
      <c r="H599" s="111">
        <f t="shared" si="98"/>
        <v>1490858</v>
      </c>
      <c r="I599" s="111">
        <f t="shared" si="98"/>
        <v>3965166</v>
      </c>
      <c r="J599" s="111">
        <f t="shared" si="98"/>
        <v>1515334</v>
      </c>
      <c r="K599" s="111">
        <f t="shared" si="98"/>
        <v>258000</v>
      </c>
      <c r="L599" s="111">
        <f t="shared" si="98"/>
        <v>551007</v>
      </c>
      <c r="M599" s="111">
        <f t="shared" si="98"/>
        <v>15941600</v>
      </c>
      <c r="N599" s="111">
        <f t="shared" si="98"/>
        <v>2963124</v>
      </c>
    </row>
    <row r="601" spans="3:14" ht="12.75">
      <c r="C601" s="19"/>
      <c r="D601" s="444" t="s">
        <v>38</v>
      </c>
      <c r="E601" s="128">
        <f>F601+N601</f>
        <v>1256344</v>
      </c>
      <c r="F601" s="186">
        <f>SUM(G601:M601)</f>
        <v>1167248</v>
      </c>
      <c r="G601" s="186">
        <f>G469</f>
        <v>74880</v>
      </c>
      <c r="H601" s="186"/>
      <c r="I601" s="186">
        <f>I472+I474+I499+I500+I501+I502</f>
        <v>19199</v>
      </c>
      <c r="J601" s="128">
        <f>J497+J498</f>
        <v>522162</v>
      </c>
      <c r="K601" s="128"/>
      <c r="L601" s="186">
        <f>L599</f>
        <v>551007</v>
      </c>
      <c r="M601" s="128"/>
      <c r="N601" s="186">
        <f>N43</f>
        <v>89096</v>
      </c>
    </row>
  </sheetData>
  <sheetProtection/>
  <mergeCells count="11">
    <mergeCell ref="C4:C6"/>
    <mergeCell ref="A599:D599"/>
    <mergeCell ref="A1:N1"/>
    <mergeCell ref="E4:E6"/>
    <mergeCell ref="A4:A6"/>
    <mergeCell ref="D4:D6"/>
    <mergeCell ref="B4:B6"/>
    <mergeCell ref="F4:N4"/>
    <mergeCell ref="G5:M5"/>
    <mergeCell ref="F5:F6"/>
    <mergeCell ref="N5:N6"/>
  </mergeCells>
  <printOptions horizontalCentered="1"/>
  <pageMargins left="0.3937007874015748" right="0.3937007874015748" top="1.4960629921259843" bottom="0.7874015748031497" header="0.5118110236220472" footer="0.5118110236220472"/>
  <pageSetup horizontalDpi="600" verticalDpi="600" orientation="landscape" paperSize="9" scale="90" r:id="rId1"/>
  <headerFooter alignWithMargins="0">
    <oddHeader>&amp;RZałącznik nr 2
do uchwały Rady Powiatu
 nr XIV/101/08
z dnia 16.06.2008 r.</oddHeader>
  </headerFooter>
</worksheet>
</file>

<file path=xl/worksheets/sheet3.xml><?xml version="1.0" encoding="utf-8"?>
<worksheet xmlns="http://schemas.openxmlformats.org/spreadsheetml/2006/main" xmlns:r="http://schemas.openxmlformats.org/officeDocument/2006/relationships">
  <dimension ref="A1:O54"/>
  <sheetViews>
    <sheetView zoomScalePageLayoutView="0" workbookViewId="0" topLeftCell="A28">
      <selection activeCell="H28" sqref="H28"/>
    </sheetView>
  </sheetViews>
  <sheetFormatPr defaultColWidth="9.00390625" defaultRowHeight="12.75"/>
  <cols>
    <col min="1" max="1" width="3.625" style="283" customWidth="1"/>
    <col min="2" max="2" width="4.375" style="1" customWidth="1"/>
    <col min="3" max="3" width="7.75390625" style="1" customWidth="1"/>
    <col min="4" max="4" width="4.875" style="1" customWidth="1"/>
    <col min="5" max="5" width="18.25390625" style="1" customWidth="1"/>
    <col min="6" max="6" width="12.00390625" style="1" customWidth="1"/>
    <col min="7" max="7" width="12.375" style="1" customWidth="1"/>
    <col min="8" max="9" width="10.125" style="1" customWidth="1"/>
    <col min="10" max="10" width="9.125" style="1" customWidth="1"/>
    <col min="11" max="11" width="11.625" style="1" customWidth="1"/>
    <col min="12" max="12" width="8.75390625" style="335" bestFit="1" customWidth="1"/>
    <col min="13" max="13" width="17.625" style="1" bestFit="1" customWidth="1"/>
    <col min="14" max="14" width="10.125" style="335" bestFit="1" customWidth="1"/>
    <col min="15" max="15" width="16.75390625" style="1" customWidth="1"/>
    <col min="16" max="16384" width="9.125" style="1" customWidth="1"/>
  </cols>
  <sheetData>
    <row r="1" spans="2:15" ht="15.75">
      <c r="B1" s="464" t="s">
        <v>466</v>
      </c>
      <c r="C1" s="464"/>
      <c r="D1" s="464"/>
      <c r="E1" s="464"/>
      <c r="F1" s="464"/>
      <c r="G1" s="464"/>
      <c r="H1" s="464"/>
      <c r="I1" s="464"/>
      <c r="J1" s="464"/>
      <c r="K1" s="464"/>
      <c r="L1" s="464"/>
      <c r="M1" s="464"/>
      <c r="N1" s="464"/>
      <c r="O1" s="464"/>
    </row>
    <row r="2" spans="2:15" ht="10.5" customHeight="1">
      <c r="B2" s="14"/>
      <c r="C2" s="14"/>
      <c r="D2" s="14"/>
      <c r="E2" s="14"/>
      <c r="F2" s="14"/>
      <c r="G2" s="14"/>
      <c r="H2" s="14"/>
      <c r="I2" s="14"/>
      <c r="J2" s="14"/>
      <c r="K2" s="14"/>
      <c r="L2" s="331"/>
      <c r="M2" s="14"/>
      <c r="N2" s="331"/>
      <c r="O2" s="9" t="s">
        <v>549</v>
      </c>
    </row>
    <row r="3" spans="1:15" s="40" customFormat="1" ht="19.5" customHeight="1">
      <c r="A3" s="469" t="s">
        <v>443</v>
      </c>
      <c r="B3" s="465" t="s">
        <v>510</v>
      </c>
      <c r="C3" s="466" t="s">
        <v>548</v>
      </c>
      <c r="D3" s="461" t="s">
        <v>647</v>
      </c>
      <c r="E3" s="467" t="s">
        <v>631</v>
      </c>
      <c r="F3" s="467" t="s">
        <v>406</v>
      </c>
      <c r="G3" s="467" t="s">
        <v>582</v>
      </c>
      <c r="H3" s="467"/>
      <c r="I3" s="467"/>
      <c r="J3" s="467"/>
      <c r="K3" s="467"/>
      <c r="L3" s="467"/>
      <c r="M3" s="467"/>
      <c r="N3" s="181"/>
      <c r="O3" s="467" t="s">
        <v>648</v>
      </c>
    </row>
    <row r="4" spans="1:15" s="40" customFormat="1" ht="19.5" customHeight="1">
      <c r="A4" s="457"/>
      <c r="B4" s="465"/>
      <c r="C4" s="466"/>
      <c r="D4" s="461"/>
      <c r="E4" s="467"/>
      <c r="F4" s="467"/>
      <c r="G4" s="467" t="s">
        <v>652</v>
      </c>
      <c r="H4" s="467" t="s">
        <v>45</v>
      </c>
      <c r="I4" s="467"/>
      <c r="J4" s="467"/>
      <c r="K4" s="467"/>
      <c r="L4" s="468" t="s">
        <v>566</v>
      </c>
      <c r="M4" s="467" t="s">
        <v>651</v>
      </c>
      <c r="N4" s="489" t="s">
        <v>465</v>
      </c>
      <c r="O4" s="467"/>
    </row>
    <row r="5" spans="1:15" s="40" customFormat="1" ht="29.25" customHeight="1">
      <c r="A5" s="457"/>
      <c r="B5" s="465"/>
      <c r="C5" s="466"/>
      <c r="D5" s="461"/>
      <c r="E5" s="467"/>
      <c r="F5" s="467"/>
      <c r="G5" s="467"/>
      <c r="H5" s="467" t="s">
        <v>649</v>
      </c>
      <c r="I5" s="467" t="s">
        <v>629</v>
      </c>
      <c r="J5" s="468" t="s">
        <v>330</v>
      </c>
      <c r="K5" s="468" t="s">
        <v>630</v>
      </c>
      <c r="L5" s="468"/>
      <c r="M5" s="467"/>
      <c r="N5" s="490"/>
      <c r="O5" s="467"/>
    </row>
    <row r="6" spans="1:15" s="40" customFormat="1" ht="19.5" customHeight="1">
      <c r="A6" s="457"/>
      <c r="B6" s="465"/>
      <c r="C6" s="466"/>
      <c r="D6" s="461"/>
      <c r="E6" s="467"/>
      <c r="F6" s="467"/>
      <c r="G6" s="467"/>
      <c r="H6" s="467"/>
      <c r="I6" s="467"/>
      <c r="J6" s="468"/>
      <c r="K6" s="468"/>
      <c r="L6" s="468"/>
      <c r="M6" s="467"/>
      <c r="N6" s="490"/>
      <c r="O6" s="467"/>
    </row>
    <row r="7" spans="1:15" s="40" customFormat="1" ht="19.5" customHeight="1">
      <c r="A7" s="458"/>
      <c r="B7" s="465"/>
      <c r="C7" s="466"/>
      <c r="D7" s="461"/>
      <c r="E7" s="467"/>
      <c r="F7" s="467"/>
      <c r="G7" s="467"/>
      <c r="H7" s="467"/>
      <c r="I7" s="467"/>
      <c r="J7" s="468"/>
      <c r="K7" s="468"/>
      <c r="L7" s="468"/>
      <c r="M7" s="467"/>
      <c r="N7" s="491"/>
      <c r="O7" s="467"/>
    </row>
    <row r="8" spans="1:15" ht="7.5" customHeight="1">
      <c r="A8" s="446">
        <v>1</v>
      </c>
      <c r="B8" s="346">
        <v>2</v>
      </c>
      <c r="C8" s="18">
        <v>3</v>
      </c>
      <c r="D8" s="18">
        <v>4</v>
      </c>
      <c r="E8" s="18">
        <v>5</v>
      </c>
      <c r="F8" s="18">
        <v>6</v>
      </c>
      <c r="G8" s="328">
        <v>7</v>
      </c>
      <c r="H8" s="18">
        <v>8</v>
      </c>
      <c r="I8" s="18">
        <v>9</v>
      </c>
      <c r="J8" s="18">
        <v>10</v>
      </c>
      <c r="K8" s="18">
        <v>11</v>
      </c>
      <c r="L8" s="332">
        <v>12</v>
      </c>
      <c r="M8" s="18">
        <v>13</v>
      </c>
      <c r="N8" s="18">
        <v>14</v>
      </c>
      <c r="O8" s="18">
        <v>15</v>
      </c>
    </row>
    <row r="9" spans="1:15" s="343" customFormat="1" ht="123.75">
      <c r="A9" s="446">
        <v>1</v>
      </c>
      <c r="B9" s="350"/>
      <c r="C9" s="341"/>
      <c r="D9" s="341"/>
      <c r="E9" s="344" t="s">
        <v>429</v>
      </c>
      <c r="F9" s="345">
        <f aca="true" t="shared" si="0" ref="F9:N9">SUM(F11:F25)</f>
        <v>66386000</v>
      </c>
      <c r="G9" s="352">
        <f t="shared" si="0"/>
        <v>786000</v>
      </c>
      <c r="H9" s="345">
        <f t="shared" si="0"/>
        <v>411000</v>
      </c>
      <c r="I9" s="345">
        <f t="shared" si="0"/>
        <v>375000</v>
      </c>
      <c r="J9" s="345">
        <f t="shared" si="0"/>
        <v>0</v>
      </c>
      <c r="K9" s="345">
        <f t="shared" si="0"/>
        <v>0</v>
      </c>
      <c r="L9" s="333">
        <f t="shared" si="0"/>
        <v>6910000</v>
      </c>
      <c r="M9" s="333">
        <f t="shared" si="0"/>
        <v>13300000</v>
      </c>
      <c r="N9" s="333">
        <f t="shared" si="0"/>
        <v>45390000</v>
      </c>
      <c r="O9" s="19" t="s">
        <v>413</v>
      </c>
    </row>
    <row r="10" spans="1:15" s="343" customFormat="1" ht="14.25">
      <c r="A10" s="446"/>
      <c r="B10" s="350"/>
      <c r="C10" s="341"/>
      <c r="D10" s="341"/>
      <c r="E10" s="341" t="s">
        <v>431</v>
      </c>
      <c r="F10" s="341"/>
      <c r="G10" s="342"/>
      <c r="H10" s="341"/>
      <c r="I10" s="341"/>
      <c r="J10" s="341"/>
      <c r="K10" s="341"/>
      <c r="L10" s="332"/>
      <c r="M10" s="341"/>
      <c r="N10" s="341"/>
      <c r="O10" s="341"/>
    </row>
    <row r="11" spans="1:15" s="413" customFormat="1" ht="12.75">
      <c r="A11" s="446"/>
      <c r="B11" s="347">
        <v>600</v>
      </c>
      <c r="C11" s="412">
        <v>60014</v>
      </c>
      <c r="D11" s="327"/>
      <c r="E11" s="165"/>
      <c r="F11" s="229"/>
      <c r="G11" s="415">
        <f aca="true" t="shared" si="1" ref="G11:G20">SUM(H11:K11)</f>
        <v>0</v>
      </c>
      <c r="H11" s="18"/>
      <c r="I11" s="18"/>
      <c r="J11" s="18"/>
      <c r="K11" s="18"/>
      <c r="L11" s="333"/>
      <c r="M11" s="229">
        <v>0</v>
      </c>
      <c r="N11" s="333">
        <v>0</v>
      </c>
      <c r="O11" s="416" t="s">
        <v>412</v>
      </c>
    </row>
    <row r="12" spans="1:15" ht="60">
      <c r="A12" s="446"/>
      <c r="B12" s="347">
        <v>600</v>
      </c>
      <c r="C12" s="19">
        <v>60014</v>
      </c>
      <c r="D12" s="327" t="s">
        <v>414</v>
      </c>
      <c r="E12" s="165" t="s">
        <v>418</v>
      </c>
      <c r="F12" s="229">
        <f aca="true" t="shared" si="2" ref="F12:F20">G12+L12+M12+N12</f>
        <v>1400000</v>
      </c>
      <c r="G12" s="324">
        <f t="shared" si="1"/>
        <v>0</v>
      </c>
      <c r="H12" s="18"/>
      <c r="I12" s="18"/>
      <c r="J12" s="18"/>
      <c r="K12" s="18"/>
      <c r="L12" s="333">
        <v>1400000</v>
      </c>
      <c r="M12" s="229">
        <v>0</v>
      </c>
      <c r="N12" s="333">
        <v>0</v>
      </c>
      <c r="O12" s="160" t="s">
        <v>412</v>
      </c>
    </row>
    <row r="13" spans="1:15" ht="60">
      <c r="A13" s="446"/>
      <c r="B13" s="417" t="s">
        <v>412</v>
      </c>
      <c r="C13" s="19" t="s">
        <v>412</v>
      </c>
      <c r="D13" s="327" t="s">
        <v>414</v>
      </c>
      <c r="E13" s="165" t="s">
        <v>123</v>
      </c>
      <c r="F13" s="229">
        <f t="shared" si="2"/>
        <v>9183135</v>
      </c>
      <c r="G13" s="324">
        <f t="shared" si="1"/>
        <v>0</v>
      </c>
      <c r="H13" s="18"/>
      <c r="I13" s="18"/>
      <c r="J13" s="18"/>
      <c r="K13" s="18"/>
      <c r="L13" s="333">
        <f>3740000-400000</f>
        <v>3340000</v>
      </c>
      <c r="M13" s="229">
        <v>2300000</v>
      </c>
      <c r="N13" s="333">
        <v>3543135</v>
      </c>
      <c r="O13" s="326" t="s">
        <v>412</v>
      </c>
    </row>
    <row r="14" spans="1:15" s="379" customFormat="1" ht="101.25">
      <c r="A14" s="446"/>
      <c r="B14" s="378" t="s">
        <v>412</v>
      </c>
      <c r="C14" s="377" t="s">
        <v>504</v>
      </c>
      <c r="D14" s="327">
        <v>6050</v>
      </c>
      <c r="E14" s="414" t="s">
        <v>489</v>
      </c>
      <c r="F14" s="229">
        <f t="shared" si="2"/>
        <v>786000</v>
      </c>
      <c r="G14" s="324">
        <f t="shared" si="1"/>
        <v>786000</v>
      </c>
      <c r="H14" s="341">
        <f>25000+386000</f>
        <v>411000</v>
      </c>
      <c r="I14" s="341">
        <v>375000</v>
      </c>
      <c r="J14" s="341"/>
      <c r="K14" s="341"/>
      <c r="L14" s="345"/>
      <c r="M14" s="345"/>
      <c r="N14" s="345"/>
      <c r="O14" s="341"/>
    </row>
    <row r="15" spans="1:15" ht="60">
      <c r="A15" s="446"/>
      <c r="B15" s="417" t="s">
        <v>412</v>
      </c>
      <c r="C15" s="19" t="s">
        <v>412</v>
      </c>
      <c r="D15" s="327" t="s">
        <v>414</v>
      </c>
      <c r="E15" s="165" t="s">
        <v>419</v>
      </c>
      <c r="F15" s="229">
        <f t="shared" si="2"/>
        <v>1550000</v>
      </c>
      <c r="G15" s="324">
        <f t="shared" si="1"/>
        <v>0</v>
      </c>
      <c r="H15" s="18"/>
      <c r="I15" s="18"/>
      <c r="J15" s="18"/>
      <c r="K15" s="18"/>
      <c r="L15" s="333">
        <v>1550000</v>
      </c>
      <c r="M15" s="229"/>
      <c r="N15" s="333"/>
      <c r="O15" s="25" t="s">
        <v>412</v>
      </c>
    </row>
    <row r="16" spans="1:15" ht="48">
      <c r="A16" s="446"/>
      <c r="B16" s="417" t="s">
        <v>412</v>
      </c>
      <c r="C16" s="19" t="s">
        <v>412</v>
      </c>
      <c r="D16" s="327" t="s">
        <v>414</v>
      </c>
      <c r="E16" s="165" t="s">
        <v>420</v>
      </c>
      <c r="F16" s="229">
        <f t="shared" si="2"/>
        <v>300000</v>
      </c>
      <c r="G16" s="324">
        <f t="shared" si="1"/>
        <v>0</v>
      </c>
      <c r="H16" s="18"/>
      <c r="I16" s="18"/>
      <c r="J16" s="18"/>
      <c r="K16" s="18"/>
      <c r="L16" s="333">
        <v>300000</v>
      </c>
      <c r="M16" s="229"/>
      <c r="N16" s="333"/>
      <c r="O16" s="25" t="s">
        <v>412</v>
      </c>
    </row>
    <row r="17" spans="1:15" ht="48">
      <c r="A17" s="446"/>
      <c r="B17" s="417" t="s">
        <v>412</v>
      </c>
      <c r="C17" s="19" t="s">
        <v>412</v>
      </c>
      <c r="D17" s="327" t="s">
        <v>414</v>
      </c>
      <c r="E17" s="165" t="s">
        <v>421</v>
      </c>
      <c r="F17" s="229">
        <f t="shared" si="2"/>
        <v>320000</v>
      </c>
      <c r="G17" s="324">
        <f t="shared" si="1"/>
        <v>0</v>
      </c>
      <c r="H17" s="18"/>
      <c r="I17" s="18"/>
      <c r="J17" s="18"/>
      <c r="K17" s="18"/>
      <c r="L17" s="333">
        <v>320000</v>
      </c>
      <c r="M17" s="229"/>
      <c r="N17" s="333"/>
      <c r="O17" s="25" t="s">
        <v>412</v>
      </c>
    </row>
    <row r="18" spans="1:15" ht="60">
      <c r="A18" s="446"/>
      <c r="B18" s="417" t="s">
        <v>412</v>
      </c>
      <c r="C18" s="19" t="s">
        <v>412</v>
      </c>
      <c r="D18" s="327" t="s">
        <v>414</v>
      </c>
      <c r="E18" s="165" t="s">
        <v>124</v>
      </c>
      <c r="F18" s="229">
        <f t="shared" si="2"/>
        <v>3900000</v>
      </c>
      <c r="G18" s="324">
        <f t="shared" si="1"/>
        <v>0</v>
      </c>
      <c r="H18" s="18"/>
      <c r="I18" s="18"/>
      <c r="J18" s="18"/>
      <c r="K18" s="18"/>
      <c r="L18" s="333"/>
      <c r="M18" s="229">
        <v>1500000</v>
      </c>
      <c r="N18" s="333">
        <v>2400000</v>
      </c>
      <c r="O18" s="25" t="s">
        <v>412</v>
      </c>
    </row>
    <row r="19" spans="1:15" ht="60">
      <c r="A19" s="446"/>
      <c r="B19" s="417" t="s">
        <v>412</v>
      </c>
      <c r="C19" s="19" t="s">
        <v>412</v>
      </c>
      <c r="D19" s="327" t="s">
        <v>414</v>
      </c>
      <c r="E19" s="165" t="s">
        <v>125</v>
      </c>
      <c r="F19" s="229">
        <f t="shared" si="2"/>
        <v>8204200</v>
      </c>
      <c r="G19" s="324">
        <f t="shared" si="1"/>
        <v>0</v>
      </c>
      <c r="H19" s="18"/>
      <c r="I19" s="18"/>
      <c r="J19" s="18"/>
      <c r="K19" s="18"/>
      <c r="L19" s="333"/>
      <c r="M19" s="229">
        <v>4000000</v>
      </c>
      <c r="N19" s="333">
        <v>4204200</v>
      </c>
      <c r="O19" s="25" t="s">
        <v>412</v>
      </c>
    </row>
    <row r="20" spans="1:15" ht="60">
      <c r="A20" s="446"/>
      <c r="B20" s="417" t="s">
        <v>412</v>
      </c>
      <c r="C20" s="19" t="s">
        <v>412</v>
      </c>
      <c r="D20" s="327" t="s">
        <v>414</v>
      </c>
      <c r="E20" s="165" t="s">
        <v>126</v>
      </c>
      <c r="F20" s="229">
        <f t="shared" si="2"/>
        <v>8151500</v>
      </c>
      <c r="G20" s="324">
        <f t="shared" si="1"/>
        <v>0</v>
      </c>
      <c r="H20" s="18"/>
      <c r="I20" s="18"/>
      <c r="J20" s="18"/>
      <c r="K20" s="18"/>
      <c r="L20" s="333"/>
      <c r="M20" s="229">
        <v>4500000</v>
      </c>
      <c r="N20" s="333">
        <v>3651500</v>
      </c>
      <c r="O20" s="25" t="s">
        <v>412</v>
      </c>
    </row>
    <row r="21" spans="1:15" ht="62.25" customHeight="1">
      <c r="A21" s="446"/>
      <c r="B21" s="348">
        <v>600</v>
      </c>
      <c r="C21" s="19">
        <v>60014</v>
      </c>
      <c r="D21" s="327" t="s">
        <v>414</v>
      </c>
      <c r="E21" s="165" t="s">
        <v>127</v>
      </c>
      <c r="F21" s="229">
        <v>900000</v>
      </c>
      <c r="G21" s="324">
        <v>0</v>
      </c>
      <c r="H21" s="128"/>
      <c r="I21" s="128"/>
      <c r="J21" s="128">
        <v>0</v>
      </c>
      <c r="K21" s="128">
        <v>0</v>
      </c>
      <c r="L21" s="334">
        <v>0</v>
      </c>
      <c r="M21" s="128">
        <v>0</v>
      </c>
      <c r="N21" s="334">
        <v>900000</v>
      </c>
      <c r="O21" s="19" t="s">
        <v>128</v>
      </c>
    </row>
    <row r="22" spans="1:15" ht="72.75" customHeight="1">
      <c r="A22" s="446"/>
      <c r="B22" s="348">
        <v>600</v>
      </c>
      <c r="C22" s="19">
        <v>60014</v>
      </c>
      <c r="D22" s="327" t="s">
        <v>414</v>
      </c>
      <c r="E22" s="165" t="s">
        <v>129</v>
      </c>
      <c r="F22" s="229">
        <v>11000000</v>
      </c>
      <c r="G22" s="324">
        <v>0</v>
      </c>
      <c r="H22" s="128"/>
      <c r="I22" s="128"/>
      <c r="J22" s="128">
        <v>0</v>
      </c>
      <c r="K22" s="128">
        <v>0</v>
      </c>
      <c r="L22" s="334">
        <v>0</v>
      </c>
      <c r="M22" s="128">
        <v>0</v>
      </c>
      <c r="N22" s="334">
        <v>11000000</v>
      </c>
      <c r="O22" s="19" t="s">
        <v>128</v>
      </c>
    </row>
    <row r="23" spans="1:15" ht="51" customHeight="1">
      <c r="A23" s="446"/>
      <c r="B23" s="348">
        <v>600</v>
      </c>
      <c r="C23" s="19">
        <v>60014</v>
      </c>
      <c r="D23" s="327" t="s">
        <v>414</v>
      </c>
      <c r="E23" s="165" t="s">
        <v>130</v>
      </c>
      <c r="F23" s="229">
        <v>6500000</v>
      </c>
      <c r="G23" s="324">
        <v>0</v>
      </c>
      <c r="H23" s="128"/>
      <c r="I23" s="128"/>
      <c r="J23" s="128">
        <v>0</v>
      </c>
      <c r="K23" s="128">
        <v>0</v>
      </c>
      <c r="L23" s="334">
        <v>0</v>
      </c>
      <c r="M23" s="128">
        <v>0</v>
      </c>
      <c r="N23" s="334">
        <v>6500000</v>
      </c>
      <c r="O23" s="19" t="s">
        <v>128</v>
      </c>
    </row>
    <row r="24" spans="1:15" ht="62.25" customHeight="1">
      <c r="A24" s="446"/>
      <c r="B24" s="348">
        <v>600</v>
      </c>
      <c r="C24" s="19">
        <v>60014</v>
      </c>
      <c r="D24" s="327" t="s">
        <v>414</v>
      </c>
      <c r="E24" s="165" t="s">
        <v>131</v>
      </c>
      <c r="F24" s="229">
        <v>10000000</v>
      </c>
      <c r="G24" s="324">
        <v>0</v>
      </c>
      <c r="H24" s="128"/>
      <c r="I24" s="128"/>
      <c r="J24" s="128">
        <v>0</v>
      </c>
      <c r="K24" s="128">
        <v>0</v>
      </c>
      <c r="L24" s="334">
        <v>0</v>
      </c>
      <c r="M24" s="128">
        <v>1000000</v>
      </c>
      <c r="N24" s="334">
        <v>9000000</v>
      </c>
      <c r="O24" s="19" t="s">
        <v>128</v>
      </c>
    </row>
    <row r="25" spans="1:15" ht="22.5">
      <c r="A25" s="446"/>
      <c r="B25" s="348">
        <v>600</v>
      </c>
      <c r="C25" s="19">
        <v>60014</v>
      </c>
      <c r="D25" s="327" t="s">
        <v>414</v>
      </c>
      <c r="E25" s="165" t="s">
        <v>132</v>
      </c>
      <c r="F25" s="229">
        <v>4191165</v>
      </c>
      <c r="G25" s="324">
        <v>0</v>
      </c>
      <c r="H25" s="128"/>
      <c r="I25" s="128"/>
      <c r="J25" s="128">
        <v>0</v>
      </c>
      <c r="K25" s="128">
        <v>0</v>
      </c>
      <c r="L25" s="334">
        <v>0</v>
      </c>
      <c r="M25" s="128">
        <v>0</v>
      </c>
      <c r="N25" s="334">
        <v>4191165</v>
      </c>
      <c r="O25" s="19" t="s">
        <v>128</v>
      </c>
    </row>
    <row r="26" spans="1:15" ht="70.5" customHeight="1">
      <c r="A26" s="446">
        <v>2</v>
      </c>
      <c r="B26" s="348"/>
      <c r="C26" s="19"/>
      <c r="D26" s="19">
        <v>6050</v>
      </c>
      <c r="E26" s="165" t="s">
        <v>653</v>
      </c>
      <c r="F26" s="229">
        <f aca="true" t="shared" si="3" ref="F26:F34">G26+L26+M26+N26</f>
        <v>1000000</v>
      </c>
      <c r="G26" s="324">
        <f aca="true" t="shared" si="4" ref="G26:G49">SUM(H26:K26)</f>
        <v>300000</v>
      </c>
      <c r="H26" s="128">
        <v>300000</v>
      </c>
      <c r="I26" s="128"/>
      <c r="J26" s="128"/>
      <c r="K26" s="128"/>
      <c r="L26" s="334">
        <v>350000</v>
      </c>
      <c r="M26" s="128">
        <v>350000</v>
      </c>
      <c r="N26" s="334"/>
      <c r="O26" s="19" t="s">
        <v>302</v>
      </c>
    </row>
    <row r="27" spans="1:15" ht="70.5" customHeight="1">
      <c r="A27" s="446">
        <v>3</v>
      </c>
      <c r="B27" s="348" t="s">
        <v>412</v>
      </c>
      <c r="C27" s="19" t="s">
        <v>412</v>
      </c>
      <c r="D27" s="19">
        <v>6050</v>
      </c>
      <c r="E27" s="165" t="s">
        <v>428</v>
      </c>
      <c r="F27" s="229">
        <f t="shared" si="3"/>
        <v>100000</v>
      </c>
      <c r="G27" s="324">
        <f t="shared" si="4"/>
        <v>100000</v>
      </c>
      <c r="H27" s="128">
        <v>100000</v>
      </c>
      <c r="I27" s="128"/>
      <c r="J27" s="128"/>
      <c r="K27" s="128"/>
      <c r="L27" s="334"/>
      <c r="M27" s="128"/>
      <c r="N27" s="334"/>
      <c r="O27" s="19" t="s">
        <v>302</v>
      </c>
    </row>
    <row r="28" spans="1:15" ht="78" customHeight="1">
      <c r="A28" s="446">
        <v>4</v>
      </c>
      <c r="B28" s="348" t="s">
        <v>412</v>
      </c>
      <c r="C28" s="19" t="s">
        <v>412</v>
      </c>
      <c r="D28" s="327" t="s">
        <v>414</v>
      </c>
      <c r="E28" s="165" t="s">
        <v>97</v>
      </c>
      <c r="F28" s="229">
        <f>G28+L28+M28+N28</f>
        <v>21151250</v>
      </c>
      <c r="G28" s="324">
        <f>SUM(H28:K28)</f>
        <v>215000</v>
      </c>
      <c r="H28" s="128">
        <f>2!N43+2!N42</f>
        <v>215000</v>
      </c>
      <c r="I28" s="128"/>
      <c r="J28" s="128"/>
      <c r="K28" s="128"/>
      <c r="L28" s="334">
        <v>1250000</v>
      </c>
      <c r="M28" s="128">
        <v>9907515</v>
      </c>
      <c r="N28" s="334">
        <v>9778735</v>
      </c>
      <c r="O28" s="19" t="s">
        <v>302</v>
      </c>
    </row>
    <row r="29" spans="1:15" ht="22.5">
      <c r="A29" s="446">
        <v>5</v>
      </c>
      <c r="B29" s="348"/>
      <c r="C29" s="19"/>
      <c r="D29" s="19">
        <v>6060</v>
      </c>
      <c r="E29" s="161" t="s">
        <v>439</v>
      </c>
      <c r="F29" s="229">
        <f t="shared" si="3"/>
        <v>10000</v>
      </c>
      <c r="G29" s="324">
        <f t="shared" si="4"/>
        <v>10000</v>
      </c>
      <c r="H29" s="128">
        <f>2!N44</f>
        <v>10000</v>
      </c>
      <c r="I29" s="128"/>
      <c r="J29" s="128"/>
      <c r="K29" s="128"/>
      <c r="L29" s="334"/>
      <c r="M29" s="128"/>
      <c r="N29" s="334"/>
      <c r="O29" s="19" t="s">
        <v>302</v>
      </c>
    </row>
    <row r="30" spans="1:15" ht="51">
      <c r="A30" s="446">
        <v>6</v>
      </c>
      <c r="B30" s="349">
        <v>700</v>
      </c>
      <c r="C30" s="282">
        <v>70005</v>
      </c>
      <c r="D30" s="160">
        <v>6050</v>
      </c>
      <c r="E30" s="374" t="s">
        <v>493</v>
      </c>
      <c r="F30" s="229">
        <f t="shared" si="3"/>
        <v>0</v>
      </c>
      <c r="G30" s="324">
        <f>SUM(H30:K30)</f>
        <v>0</v>
      </c>
      <c r="H30" s="128"/>
      <c r="I30" s="128"/>
      <c r="J30" s="163"/>
      <c r="K30" s="128"/>
      <c r="L30" s="334"/>
      <c r="M30" s="128"/>
      <c r="N30" s="334"/>
      <c r="O30" s="164" t="s">
        <v>303</v>
      </c>
    </row>
    <row r="31" spans="1:15" ht="70.5" customHeight="1">
      <c r="A31" s="446">
        <v>7</v>
      </c>
      <c r="B31" s="348">
        <v>750</v>
      </c>
      <c r="C31" s="330">
        <v>75020</v>
      </c>
      <c r="D31" s="19">
        <v>6060</v>
      </c>
      <c r="E31" s="161" t="s">
        <v>440</v>
      </c>
      <c r="F31" s="229">
        <f t="shared" si="3"/>
        <v>41000</v>
      </c>
      <c r="G31" s="324">
        <f t="shared" si="4"/>
        <v>41000</v>
      </c>
      <c r="H31" s="128">
        <v>41000</v>
      </c>
      <c r="I31" s="128"/>
      <c r="J31" s="163"/>
      <c r="K31" s="128"/>
      <c r="L31" s="334"/>
      <c r="M31" s="128"/>
      <c r="N31" s="334"/>
      <c r="O31" s="164" t="s">
        <v>303</v>
      </c>
    </row>
    <row r="32" spans="1:15" ht="108">
      <c r="A32" s="446">
        <v>8</v>
      </c>
      <c r="B32" s="349">
        <v>750</v>
      </c>
      <c r="C32" s="282">
        <v>75020</v>
      </c>
      <c r="D32" s="160">
        <v>6050</v>
      </c>
      <c r="E32" s="303" t="s">
        <v>492</v>
      </c>
      <c r="F32" s="229">
        <f t="shared" si="3"/>
        <v>48425</v>
      </c>
      <c r="G32" s="324">
        <f t="shared" si="4"/>
        <v>48425</v>
      </c>
      <c r="H32" s="128">
        <f>3400+45025</f>
        <v>48425</v>
      </c>
      <c r="I32" s="128"/>
      <c r="J32" s="163"/>
      <c r="K32" s="128"/>
      <c r="L32" s="334"/>
      <c r="M32" s="128"/>
      <c r="N32" s="334"/>
      <c r="O32" s="164" t="s">
        <v>303</v>
      </c>
    </row>
    <row r="33" spans="1:15" ht="70.5" customHeight="1">
      <c r="A33" s="446">
        <v>9</v>
      </c>
      <c r="B33" s="348">
        <v>758</v>
      </c>
      <c r="C33" s="230">
        <v>75818</v>
      </c>
      <c r="D33" s="19">
        <v>6800</v>
      </c>
      <c r="E33" s="161" t="s">
        <v>417</v>
      </c>
      <c r="F33" s="229">
        <f t="shared" si="3"/>
        <v>167500</v>
      </c>
      <c r="G33" s="324">
        <f t="shared" si="4"/>
        <v>167500</v>
      </c>
      <c r="H33" s="128">
        <f>200000-7500-25000</f>
        <v>167500</v>
      </c>
      <c r="I33" s="128"/>
      <c r="J33" s="163"/>
      <c r="K33" s="128"/>
      <c r="L33" s="334"/>
      <c r="M33" s="128"/>
      <c r="N33" s="334"/>
      <c r="O33" s="164" t="s">
        <v>303</v>
      </c>
    </row>
    <row r="34" spans="1:15" ht="70.5" customHeight="1">
      <c r="A34" s="446">
        <v>10</v>
      </c>
      <c r="B34" s="348">
        <v>758</v>
      </c>
      <c r="C34" s="230">
        <v>75818</v>
      </c>
      <c r="D34" s="19">
        <v>6800</v>
      </c>
      <c r="E34" s="161" t="s">
        <v>411</v>
      </c>
      <c r="F34" s="229">
        <f t="shared" si="3"/>
        <v>90000</v>
      </c>
      <c r="G34" s="324">
        <f t="shared" si="4"/>
        <v>90000</v>
      </c>
      <c r="H34" s="128">
        <f>100000-10000</f>
        <v>90000</v>
      </c>
      <c r="I34" s="128"/>
      <c r="J34" s="163"/>
      <c r="K34" s="128"/>
      <c r="L34" s="334"/>
      <c r="M34" s="128"/>
      <c r="N34" s="334"/>
      <c r="O34" s="164" t="s">
        <v>303</v>
      </c>
    </row>
    <row r="35" spans="1:15" ht="70.5" customHeight="1">
      <c r="A35" s="446">
        <v>11</v>
      </c>
      <c r="B35" s="348">
        <v>801</v>
      </c>
      <c r="C35" s="19">
        <v>80130</v>
      </c>
      <c r="D35" s="19">
        <v>6050</v>
      </c>
      <c r="E35" s="161" t="s">
        <v>122</v>
      </c>
      <c r="F35" s="229">
        <f aca="true" t="shared" si="5" ref="F35:F44">G35+L35+M35+N35</f>
        <v>300000</v>
      </c>
      <c r="G35" s="324">
        <f t="shared" si="4"/>
        <v>300000</v>
      </c>
      <c r="H35" s="128">
        <f>150000+150000</f>
        <v>300000</v>
      </c>
      <c r="I35" s="128"/>
      <c r="J35" s="163"/>
      <c r="K35" s="128"/>
      <c r="L35" s="334"/>
      <c r="M35" s="128"/>
      <c r="N35" s="334"/>
      <c r="O35" s="164" t="s">
        <v>303</v>
      </c>
    </row>
    <row r="36" spans="1:15" ht="70.5" customHeight="1">
      <c r="A36" s="447">
        <v>12</v>
      </c>
      <c r="B36" s="348">
        <v>801</v>
      </c>
      <c r="C36" s="19">
        <v>80130</v>
      </c>
      <c r="D36" s="19">
        <v>6050</v>
      </c>
      <c r="E36" s="161" t="s">
        <v>461</v>
      </c>
      <c r="F36" s="229">
        <f>G36+L36+M36+N36</f>
        <v>4800000</v>
      </c>
      <c r="G36" s="324">
        <f>SUM(H36:K36)</f>
        <v>0</v>
      </c>
      <c r="H36" s="128"/>
      <c r="I36" s="128"/>
      <c r="J36" s="163"/>
      <c r="K36" s="128"/>
      <c r="L36" s="334">
        <f>4800000*30%</f>
        <v>1440000</v>
      </c>
      <c r="M36" s="128">
        <f>4800000*70%</f>
        <v>3360000</v>
      </c>
      <c r="N36" s="334"/>
      <c r="O36" s="164" t="s">
        <v>654</v>
      </c>
    </row>
    <row r="37" spans="1:15" ht="70.5" customHeight="1">
      <c r="A37" s="447">
        <v>13</v>
      </c>
      <c r="B37" s="348">
        <v>801</v>
      </c>
      <c r="C37" s="19">
        <v>80130</v>
      </c>
      <c r="D37" s="19">
        <v>6050</v>
      </c>
      <c r="E37" s="161" t="s">
        <v>463</v>
      </c>
      <c r="F37" s="229">
        <f>G37+L37+M37+N37</f>
        <v>6100000</v>
      </c>
      <c r="G37" s="324">
        <f>SUM(H37:K37)</f>
        <v>0</v>
      </c>
      <c r="H37" s="128"/>
      <c r="I37" s="128"/>
      <c r="J37" s="163"/>
      <c r="K37" s="128"/>
      <c r="L37" s="334"/>
      <c r="M37" s="128"/>
      <c r="N37" s="334">
        <v>6100000</v>
      </c>
      <c r="O37" s="164" t="s">
        <v>464</v>
      </c>
    </row>
    <row r="38" spans="1:15" ht="70.5" customHeight="1">
      <c r="A38" s="446">
        <v>14</v>
      </c>
      <c r="B38" s="348">
        <v>851</v>
      </c>
      <c r="C38" s="19">
        <v>85111</v>
      </c>
      <c r="D38" s="19">
        <v>6010</v>
      </c>
      <c r="E38" s="161" t="s">
        <v>486</v>
      </c>
      <c r="F38" s="229">
        <f t="shared" si="5"/>
        <v>4000000</v>
      </c>
      <c r="G38" s="324">
        <f t="shared" si="4"/>
        <v>200000</v>
      </c>
      <c r="H38" s="128"/>
      <c r="I38" s="128">
        <v>200000</v>
      </c>
      <c r="J38" s="163"/>
      <c r="K38" s="128"/>
      <c r="L38" s="334">
        <v>1800000</v>
      </c>
      <c r="M38" s="128">
        <v>2000000</v>
      </c>
      <c r="N38" s="334"/>
      <c r="O38" s="164" t="s">
        <v>303</v>
      </c>
    </row>
    <row r="39" spans="1:15" ht="70.5" customHeight="1">
      <c r="A39" s="446">
        <v>15</v>
      </c>
      <c r="B39" s="348">
        <v>852</v>
      </c>
      <c r="C39" s="230">
        <v>85201</v>
      </c>
      <c r="D39" s="19">
        <v>6050</v>
      </c>
      <c r="E39" s="161" t="s">
        <v>487</v>
      </c>
      <c r="F39" s="229">
        <f t="shared" si="5"/>
        <v>655000</v>
      </c>
      <c r="G39" s="324">
        <f>SUM(H39:K39)</f>
        <v>505000</v>
      </c>
      <c r="H39" s="128"/>
      <c r="I39" s="128">
        <f>655000-150000</f>
        <v>505000</v>
      </c>
      <c r="J39" s="163"/>
      <c r="K39" s="128"/>
      <c r="L39" s="334">
        <v>150000</v>
      </c>
      <c r="M39" s="128"/>
      <c r="N39" s="334"/>
      <c r="O39" s="164" t="s">
        <v>303</v>
      </c>
    </row>
    <row r="40" spans="1:15" ht="70.5" customHeight="1" thickBot="1">
      <c r="A40" s="446">
        <v>16</v>
      </c>
      <c r="B40" s="348">
        <v>852</v>
      </c>
      <c r="C40" s="230">
        <v>85202</v>
      </c>
      <c r="D40" s="19">
        <v>6050</v>
      </c>
      <c r="E40" s="161" t="s">
        <v>488</v>
      </c>
      <c r="F40" s="229">
        <f t="shared" si="5"/>
        <v>116699</v>
      </c>
      <c r="G40" s="324">
        <f t="shared" si="4"/>
        <v>116699</v>
      </c>
      <c r="H40" s="128">
        <f>53400+3299+10000+50000</f>
        <v>116699</v>
      </c>
      <c r="I40" s="128"/>
      <c r="J40" s="163"/>
      <c r="K40" s="128"/>
      <c r="L40" s="334"/>
      <c r="M40" s="128"/>
      <c r="N40" s="334"/>
      <c r="O40" s="164" t="s">
        <v>303</v>
      </c>
    </row>
    <row r="41" spans="1:15" ht="82.5" customHeight="1" thickBot="1">
      <c r="A41" s="446">
        <v>17</v>
      </c>
      <c r="B41" s="348" t="s">
        <v>504</v>
      </c>
      <c r="C41" s="230" t="s">
        <v>504</v>
      </c>
      <c r="D41" s="19" t="s">
        <v>117</v>
      </c>
      <c r="E41" s="411" t="s">
        <v>118</v>
      </c>
      <c r="F41" s="229">
        <f>G41+L41+M41+N41</f>
        <v>25000</v>
      </c>
      <c r="G41" s="324">
        <f>SUM(H41:K41)</f>
        <v>25000</v>
      </c>
      <c r="H41" s="128">
        <v>25000</v>
      </c>
      <c r="I41" s="128"/>
      <c r="J41" s="163"/>
      <c r="K41" s="128"/>
      <c r="L41" s="334"/>
      <c r="M41" s="128"/>
      <c r="N41" s="334"/>
      <c r="O41" s="164" t="s">
        <v>303</v>
      </c>
    </row>
    <row r="42" spans="1:15" ht="70.5" customHeight="1">
      <c r="A42" s="446">
        <v>18</v>
      </c>
      <c r="B42" s="348">
        <v>852</v>
      </c>
      <c r="C42" s="230">
        <v>85202</v>
      </c>
      <c r="D42" s="19">
        <v>6050</v>
      </c>
      <c r="E42" s="161" t="s">
        <v>410</v>
      </c>
      <c r="F42" s="229">
        <f t="shared" si="5"/>
        <v>2696000</v>
      </c>
      <c r="G42" s="324">
        <f t="shared" si="4"/>
        <v>26000</v>
      </c>
      <c r="H42" s="128">
        <v>26000</v>
      </c>
      <c r="I42" s="128"/>
      <c r="J42" s="163"/>
      <c r="K42" s="128"/>
      <c r="L42" s="334">
        <v>2140000</v>
      </c>
      <c r="M42" s="128">
        <v>530000</v>
      </c>
      <c r="N42" s="334"/>
      <c r="O42" s="164" t="s">
        <v>303</v>
      </c>
    </row>
    <row r="43" spans="1:15" ht="76.5">
      <c r="A43" s="446">
        <v>19</v>
      </c>
      <c r="B43" s="348">
        <v>854</v>
      </c>
      <c r="C43" s="19">
        <v>85410</v>
      </c>
      <c r="D43" s="327" t="s">
        <v>414</v>
      </c>
      <c r="E43" s="77" t="s">
        <v>318</v>
      </c>
      <c r="F43" s="229">
        <f t="shared" si="5"/>
        <v>1611818</v>
      </c>
      <c r="G43" s="324">
        <f t="shared" si="4"/>
        <v>0</v>
      </c>
      <c r="H43" s="229"/>
      <c r="I43" s="229"/>
      <c r="J43" s="229"/>
      <c r="K43" s="229"/>
      <c r="L43" s="333">
        <v>1611818</v>
      </c>
      <c r="M43" s="229"/>
      <c r="N43" s="333"/>
      <c r="O43" s="164" t="s">
        <v>319</v>
      </c>
    </row>
    <row r="44" spans="1:15" ht="25.5">
      <c r="A44" s="446">
        <v>20</v>
      </c>
      <c r="B44" s="348" t="s">
        <v>412</v>
      </c>
      <c r="C44" s="282" t="s">
        <v>412</v>
      </c>
      <c r="D44" s="375">
        <v>6060</v>
      </c>
      <c r="E44" s="77" t="s">
        <v>503</v>
      </c>
      <c r="F44" s="229">
        <f t="shared" si="5"/>
        <v>7500</v>
      </c>
      <c r="G44" s="324">
        <f t="shared" si="4"/>
        <v>7500</v>
      </c>
      <c r="H44" s="229">
        <v>7500</v>
      </c>
      <c r="I44" s="229"/>
      <c r="J44" s="229"/>
      <c r="K44" s="229"/>
      <c r="L44" s="333"/>
      <c r="M44" s="229"/>
      <c r="N44" s="333"/>
      <c r="O44" s="164" t="s">
        <v>319</v>
      </c>
    </row>
    <row r="45" spans="1:15" ht="70.5" customHeight="1">
      <c r="A45" s="446">
        <v>21</v>
      </c>
      <c r="B45" s="348"/>
      <c r="C45" s="282" t="s">
        <v>359</v>
      </c>
      <c r="D45" s="282"/>
      <c r="E45" s="161" t="s">
        <v>416</v>
      </c>
      <c r="F45" s="229">
        <f aca="true" t="shared" si="6" ref="F45:F50">G45+L45+M45+N45</f>
        <v>35000</v>
      </c>
      <c r="G45" s="324">
        <f t="shared" si="4"/>
        <v>35000</v>
      </c>
      <c r="H45" s="128"/>
      <c r="I45" s="128"/>
      <c r="J45" s="163">
        <v>35000</v>
      </c>
      <c r="K45" s="128"/>
      <c r="L45" s="334"/>
      <c r="M45" s="128"/>
      <c r="N45" s="334"/>
      <c r="O45" s="19" t="s">
        <v>302</v>
      </c>
    </row>
    <row r="46" spans="1:15" ht="70.5" customHeight="1">
      <c r="A46" s="446">
        <v>22</v>
      </c>
      <c r="B46" s="349"/>
      <c r="C46" s="282" t="s">
        <v>359</v>
      </c>
      <c r="D46" s="160"/>
      <c r="E46" s="161" t="s">
        <v>415</v>
      </c>
      <c r="F46" s="229">
        <f t="shared" si="6"/>
        <v>700000</v>
      </c>
      <c r="G46" s="324">
        <f t="shared" si="4"/>
        <v>700000</v>
      </c>
      <c r="H46" s="128"/>
      <c r="I46" s="128"/>
      <c r="J46" s="163">
        <f>500000+200000</f>
        <v>700000</v>
      </c>
      <c r="K46" s="128"/>
      <c r="L46" s="334"/>
      <c r="M46" s="128"/>
      <c r="N46" s="334"/>
      <c r="O46" s="296" t="s">
        <v>303</v>
      </c>
    </row>
    <row r="47" spans="1:15" ht="101.25">
      <c r="A47" s="446">
        <v>23</v>
      </c>
      <c r="B47" s="349"/>
      <c r="C47" s="476" t="s">
        <v>359</v>
      </c>
      <c r="D47" s="478"/>
      <c r="E47" s="161" t="s">
        <v>490</v>
      </c>
      <c r="F47" s="229">
        <f t="shared" si="6"/>
        <v>180000</v>
      </c>
      <c r="G47" s="324">
        <f t="shared" si="4"/>
        <v>180000</v>
      </c>
      <c r="H47" s="128"/>
      <c r="I47" s="128"/>
      <c r="J47" s="163">
        <v>180000</v>
      </c>
      <c r="K47" s="128"/>
      <c r="L47" s="334"/>
      <c r="M47" s="128"/>
      <c r="N47" s="334"/>
      <c r="O47" s="296" t="s">
        <v>303</v>
      </c>
    </row>
    <row r="48" spans="1:15" ht="99" customHeight="1">
      <c r="A48" s="446">
        <v>24</v>
      </c>
      <c r="B48" s="349"/>
      <c r="C48" s="282" t="s">
        <v>331</v>
      </c>
      <c r="D48" s="282"/>
      <c r="E48" s="161" t="s">
        <v>491</v>
      </c>
      <c r="F48" s="229">
        <f t="shared" si="6"/>
        <v>70000</v>
      </c>
      <c r="G48" s="324">
        <f t="shared" si="4"/>
        <v>70000</v>
      </c>
      <c r="H48" s="128"/>
      <c r="I48" s="128"/>
      <c r="J48" s="163">
        <f>20000+50000</f>
        <v>70000</v>
      </c>
      <c r="K48" s="128"/>
      <c r="L48" s="334"/>
      <c r="M48" s="128"/>
      <c r="N48" s="334"/>
      <c r="O48" s="164" t="s">
        <v>303</v>
      </c>
    </row>
    <row r="49" spans="1:15" ht="99" customHeight="1">
      <c r="A49" s="446">
        <v>25</v>
      </c>
      <c r="B49" s="349"/>
      <c r="C49" s="282" t="s">
        <v>331</v>
      </c>
      <c r="D49" s="282"/>
      <c r="E49" s="165" t="s">
        <v>441</v>
      </c>
      <c r="F49" s="229">
        <f t="shared" si="6"/>
        <v>8375</v>
      </c>
      <c r="G49" s="324">
        <f t="shared" si="4"/>
        <v>8375</v>
      </c>
      <c r="H49" s="128"/>
      <c r="I49" s="128"/>
      <c r="J49" s="163">
        <f>3400+4975</f>
        <v>8375</v>
      </c>
      <c r="K49" s="128"/>
      <c r="L49" s="334"/>
      <c r="M49" s="128"/>
      <c r="N49" s="334"/>
      <c r="O49" s="164" t="s">
        <v>303</v>
      </c>
    </row>
    <row r="50" spans="1:15" ht="48.75" thickBot="1">
      <c r="A50" s="446">
        <v>26</v>
      </c>
      <c r="B50" s="349"/>
      <c r="C50" s="476" t="s">
        <v>359</v>
      </c>
      <c r="D50" s="478"/>
      <c r="E50" s="165" t="s">
        <v>121</v>
      </c>
      <c r="F50" s="229">
        <f t="shared" si="6"/>
        <v>8000</v>
      </c>
      <c r="G50" s="324">
        <f>SUM(H50:K50)</f>
        <v>8000</v>
      </c>
      <c r="H50" s="128"/>
      <c r="I50" s="128"/>
      <c r="J50" s="163">
        <v>8000</v>
      </c>
      <c r="K50" s="128"/>
      <c r="L50" s="334"/>
      <c r="M50" s="128"/>
      <c r="N50" s="334"/>
      <c r="O50" s="164" t="s">
        <v>303</v>
      </c>
    </row>
    <row r="51" spans="1:15" ht="24.75" customHeight="1" thickBot="1">
      <c r="A51" s="446"/>
      <c r="B51" s="462" t="s">
        <v>433</v>
      </c>
      <c r="C51" s="462"/>
      <c r="D51" s="462"/>
      <c r="E51" s="463"/>
      <c r="F51" s="295"/>
      <c r="G51" s="294">
        <f>G52-J49-J45-J47-J46-J48-J50</f>
        <v>2938124</v>
      </c>
      <c r="H51" s="128"/>
      <c r="I51" s="128"/>
      <c r="J51" s="163"/>
      <c r="K51" s="128"/>
      <c r="L51" s="334"/>
      <c r="M51" s="128"/>
      <c r="N51" s="334"/>
      <c r="O51" s="164"/>
    </row>
    <row r="52" spans="1:15" ht="22.5" customHeight="1">
      <c r="A52" s="446"/>
      <c r="B52" s="459" t="s">
        <v>442</v>
      </c>
      <c r="C52" s="460"/>
      <c r="D52" s="460"/>
      <c r="E52" s="460"/>
      <c r="F52" s="128">
        <f aca="true" t="shared" si="7" ref="F52:N52">SUM(F11:F50)</f>
        <v>110307567</v>
      </c>
      <c r="G52" s="128">
        <f t="shared" si="7"/>
        <v>3939499</v>
      </c>
      <c r="H52" s="128">
        <f t="shared" si="7"/>
        <v>1858124</v>
      </c>
      <c r="I52" s="128">
        <f t="shared" si="7"/>
        <v>1080000</v>
      </c>
      <c r="J52" s="128">
        <f t="shared" si="7"/>
        <v>1001375</v>
      </c>
      <c r="K52" s="128">
        <f t="shared" si="7"/>
        <v>0</v>
      </c>
      <c r="L52" s="353">
        <f t="shared" si="7"/>
        <v>15651818</v>
      </c>
      <c r="M52" s="128">
        <f t="shared" si="7"/>
        <v>29447515</v>
      </c>
      <c r="N52" s="128">
        <f t="shared" si="7"/>
        <v>61268735</v>
      </c>
      <c r="O52" s="65" t="s">
        <v>556</v>
      </c>
    </row>
    <row r="54" ht="12.75">
      <c r="D54" s="283"/>
    </row>
  </sheetData>
  <sheetProtection/>
  <mergeCells count="22">
    <mergeCell ref="F3:F7"/>
    <mergeCell ref="H4:K4"/>
    <mergeCell ref="H5:H7"/>
    <mergeCell ref="I5:I7"/>
    <mergeCell ref="J5:J7"/>
    <mergeCell ref="K5:K7"/>
    <mergeCell ref="C47:D47"/>
    <mergeCell ref="A3:A7"/>
    <mergeCell ref="B52:E52"/>
    <mergeCell ref="D3:D7"/>
    <mergeCell ref="B51:E51"/>
    <mergeCell ref="C50:D50"/>
    <mergeCell ref="N4:N7"/>
    <mergeCell ref="B1:O1"/>
    <mergeCell ref="B3:B7"/>
    <mergeCell ref="C3:C7"/>
    <mergeCell ref="E3:E7"/>
    <mergeCell ref="G3:M3"/>
    <mergeCell ref="O3:O7"/>
    <mergeCell ref="G4:G7"/>
    <mergeCell ref="L4:L7"/>
    <mergeCell ref="M4:M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3
do uchwały Rady Powiatu 
nr XIV/101/08
z dnia 16.06.2008 r.</oddHeader>
  </headerFooter>
</worksheet>
</file>

<file path=xl/worksheets/sheet4.xml><?xml version="1.0" encoding="utf-8"?>
<worksheet xmlns="http://schemas.openxmlformats.org/spreadsheetml/2006/main" xmlns:r="http://schemas.openxmlformats.org/officeDocument/2006/relationships">
  <dimension ref="A1:L56"/>
  <sheetViews>
    <sheetView zoomScalePageLayoutView="0" workbookViewId="0" topLeftCell="A22">
      <selection activeCell="G25" sqref="G25"/>
    </sheetView>
  </sheetViews>
  <sheetFormatPr defaultColWidth="9.00390625" defaultRowHeight="12.75"/>
  <cols>
    <col min="1" max="1" width="3.25390625" style="1" bestFit="1" customWidth="1"/>
    <col min="2" max="2" width="6.875" style="1" customWidth="1"/>
    <col min="3" max="3" width="7.75390625" style="1" customWidth="1"/>
    <col min="4" max="4" width="6.25390625" style="340" customWidth="1"/>
    <col min="5" max="5" width="17.875" style="1" customWidth="1"/>
    <col min="6" max="6" width="12.00390625" style="106" customWidth="1"/>
    <col min="7" max="7" width="12.75390625" style="106" customWidth="1"/>
    <col min="8" max="9" width="10.125" style="106" customWidth="1"/>
    <col min="10" max="10" width="13.125" style="106" customWidth="1"/>
    <col min="11" max="11" width="11.125" style="106" customWidth="1"/>
    <col min="12" max="12" width="13.875" style="1" customWidth="1"/>
    <col min="13" max="16384" width="9.125" style="1" customWidth="1"/>
  </cols>
  <sheetData>
    <row r="1" spans="3:12" ht="18">
      <c r="C1" s="14"/>
      <c r="D1" s="337"/>
      <c r="E1" s="14"/>
      <c r="F1" s="329" t="s">
        <v>426</v>
      </c>
      <c r="G1" s="14"/>
      <c r="H1" s="14"/>
      <c r="I1" s="14"/>
      <c r="J1" s="14"/>
      <c r="K1" s="14"/>
      <c r="L1" s="14"/>
    </row>
    <row r="2" spans="2:12" ht="10.5" customHeight="1">
      <c r="B2" s="14"/>
      <c r="C2" s="14"/>
      <c r="D2" s="337"/>
      <c r="E2" s="14"/>
      <c r="F2" s="162"/>
      <c r="G2" s="162"/>
      <c r="H2" s="162"/>
      <c r="I2" s="162"/>
      <c r="J2" s="162"/>
      <c r="K2" s="162"/>
      <c r="L2" s="9" t="s">
        <v>549</v>
      </c>
    </row>
    <row r="3" spans="1:12" s="40" customFormat="1" ht="12.75">
      <c r="A3" s="451" t="s">
        <v>443</v>
      </c>
      <c r="B3" s="492" t="s">
        <v>510</v>
      </c>
      <c r="C3" s="461" t="s">
        <v>548</v>
      </c>
      <c r="D3" s="455" t="s">
        <v>647</v>
      </c>
      <c r="E3" s="467" t="s">
        <v>650</v>
      </c>
      <c r="F3" s="454" t="s">
        <v>407</v>
      </c>
      <c r="G3" s="454" t="s">
        <v>378</v>
      </c>
      <c r="H3" s="454"/>
      <c r="I3" s="454"/>
      <c r="J3" s="454"/>
      <c r="K3" s="454"/>
      <c r="L3" s="467" t="s">
        <v>648</v>
      </c>
    </row>
    <row r="4" spans="1:12" s="40" customFormat="1" ht="12.75">
      <c r="A4" s="452"/>
      <c r="B4" s="492"/>
      <c r="C4" s="461"/>
      <c r="D4" s="455"/>
      <c r="E4" s="467"/>
      <c r="F4" s="454"/>
      <c r="G4" s="454" t="s">
        <v>377</v>
      </c>
      <c r="H4" s="454" t="s">
        <v>45</v>
      </c>
      <c r="I4" s="454"/>
      <c r="J4" s="454"/>
      <c r="K4" s="454"/>
      <c r="L4" s="467"/>
    </row>
    <row r="5" spans="1:12" s="40" customFormat="1" ht="12.75">
      <c r="A5" s="452"/>
      <c r="B5" s="492"/>
      <c r="C5" s="461"/>
      <c r="D5" s="455"/>
      <c r="E5" s="467"/>
      <c r="F5" s="454"/>
      <c r="G5" s="454"/>
      <c r="H5" s="454" t="s">
        <v>649</v>
      </c>
      <c r="I5" s="454" t="s">
        <v>629</v>
      </c>
      <c r="J5" s="454" t="s">
        <v>427</v>
      </c>
      <c r="K5" s="456" t="s">
        <v>630</v>
      </c>
      <c r="L5" s="467"/>
    </row>
    <row r="6" spans="1:12" s="40" customFormat="1" ht="12.75">
      <c r="A6" s="452"/>
      <c r="B6" s="492"/>
      <c r="C6" s="461"/>
      <c r="D6" s="455"/>
      <c r="E6" s="467"/>
      <c r="F6" s="454"/>
      <c r="G6" s="454"/>
      <c r="H6" s="454"/>
      <c r="I6" s="454"/>
      <c r="J6" s="454"/>
      <c r="K6" s="456"/>
      <c r="L6" s="467"/>
    </row>
    <row r="7" spans="1:12" s="40" customFormat="1" ht="91.5" customHeight="1">
      <c r="A7" s="453"/>
      <c r="B7" s="492"/>
      <c r="C7" s="461"/>
      <c r="D7" s="455"/>
      <c r="E7" s="467"/>
      <c r="F7" s="454"/>
      <c r="G7" s="454"/>
      <c r="H7" s="454"/>
      <c r="I7" s="454"/>
      <c r="J7" s="454"/>
      <c r="K7" s="456"/>
      <c r="L7" s="467"/>
    </row>
    <row r="8" spans="1:12" ht="12.75">
      <c r="A8" s="351">
        <v>1</v>
      </c>
      <c r="B8" s="346">
        <v>2</v>
      </c>
      <c r="C8" s="18">
        <v>3</v>
      </c>
      <c r="D8" s="18">
        <v>4</v>
      </c>
      <c r="E8" s="18">
        <v>5</v>
      </c>
      <c r="F8" s="159">
        <v>6</v>
      </c>
      <c r="G8" s="323">
        <v>7</v>
      </c>
      <c r="H8" s="159">
        <v>8</v>
      </c>
      <c r="I8" s="159">
        <v>9</v>
      </c>
      <c r="J8" s="159">
        <v>10</v>
      </c>
      <c r="K8" s="159">
        <v>11</v>
      </c>
      <c r="L8" s="18">
        <v>12</v>
      </c>
    </row>
    <row r="9" spans="1:12" ht="157.5">
      <c r="A9" s="19">
        <v>1</v>
      </c>
      <c r="B9" s="346"/>
      <c r="C9" s="18"/>
      <c r="D9" s="18"/>
      <c r="E9" s="344" t="s">
        <v>432</v>
      </c>
      <c r="F9" s="345">
        <f aca="true" t="shared" si="0" ref="F9:K9">SUM(F11:F24)</f>
        <v>66386000</v>
      </c>
      <c r="G9" s="345">
        <f t="shared" si="0"/>
        <v>786000</v>
      </c>
      <c r="H9" s="345">
        <f t="shared" si="0"/>
        <v>411000</v>
      </c>
      <c r="I9" s="345">
        <f t="shared" si="0"/>
        <v>375000</v>
      </c>
      <c r="J9" s="345">
        <f t="shared" si="0"/>
        <v>0</v>
      </c>
      <c r="K9" s="345">
        <f t="shared" si="0"/>
        <v>0</v>
      </c>
      <c r="L9" s="164" t="s">
        <v>413</v>
      </c>
    </row>
    <row r="10" spans="1:12" ht="12.75">
      <c r="A10" s="19"/>
      <c r="B10" s="346"/>
      <c r="C10" s="18"/>
      <c r="D10" s="18"/>
      <c r="E10" s="77" t="s">
        <v>430</v>
      </c>
      <c r="F10" s="159"/>
      <c r="G10" s="323"/>
      <c r="H10" s="159"/>
      <c r="I10" s="159"/>
      <c r="J10" s="159"/>
      <c r="K10" s="159"/>
      <c r="L10" s="18"/>
    </row>
    <row r="11" spans="1:12" ht="60">
      <c r="A11" s="19"/>
      <c r="B11" s="347">
        <v>600</v>
      </c>
      <c r="C11" s="19">
        <v>60014</v>
      </c>
      <c r="D11" s="336" t="s">
        <v>414</v>
      </c>
      <c r="E11" s="165" t="s">
        <v>418</v>
      </c>
      <c r="F11" s="229">
        <f>3!F12</f>
        <v>1400000</v>
      </c>
      <c r="G11" s="323">
        <f>SUM(H11:K11)</f>
        <v>0</v>
      </c>
      <c r="H11" s="159"/>
      <c r="I11" s="159"/>
      <c r="J11" s="159"/>
      <c r="K11" s="159"/>
      <c r="L11" s="19" t="s">
        <v>412</v>
      </c>
    </row>
    <row r="12" spans="1:12" ht="60">
      <c r="A12" s="19"/>
      <c r="B12" s="417" t="s">
        <v>412</v>
      </c>
      <c r="C12" s="19" t="s">
        <v>412</v>
      </c>
      <c r="D12" s="336" t="s">
        <v>414</v>
      </c>
      <c r="E12" s="165" t="s">
        <v>133</v>
      </c>
      <c r="F12" s="229">
        <f>3!F13</f>
        <v>9183135</v>
      </c>
      <c r="G12" s="323">
        <f aca="true" t="shared" si="1" ref="G12:G24">SUM(H12:K12)</f>
        <v>0</v>
      </c>
      <c r="H12" s="159"/>
      <c r="I12" s="159"/>
      <c r="J12" s="159"/>
      <c r="K12" s="159"/>
      <c r="L12" s="326" t="s">
        <v>412</v>
      </c>
    </row>
    <row r="13" spans="1:12" ht="112.5">
      <c r="A13" s="19"/>
      <c r="B13" s="378" t="s">
        <v>412</v>
      </c>
      <c r="C13" s="377" t="s">
        <v>504</v>
      </c>
      <c r="D13" s="327">
        <v>6050</v>
      </c>
      <c r="E13" s="414" t="s">
        <v>489</v>
      </c>
      <c r="F13" s="229">
        <f>3!F14</f>
        <v>786000</v>
      </c>
      <c r="G13" s="352">
        <f t="shared" si="1"/>
        <v>786000</v>
      </c>
      <c r="H13" s="345">
        <f>3!H14</f>
        <v>411000</v>
      </c>
      <c r="I13" s="345">
        <f>3!I14</f>
        <v>375000</v>
      </c>
      <c r="J13" s="159"/>
      <c r="K13" s="159"/>
      <c r="L13" s="326"/>
    </row>
    <row r="14" spans="1:12" ht="60">
      <c r="A14" s="19"/>
      <c r="B14" s="417" t="s">
        <v>412</v>
      </c>
      <c r="C14" s="19" t="s">
        <v>412</v>
      </c>
      <c r="D14" s="336" t="s">
        <v>414</v>
      </c>
      <c r="E14" s="165" t="s">
        <v>419</v>
      </c>
      <c r="F14" s="229">
        <f>3!F15</f>
        <v>1550000</v>
      </c>
      <c r="G14" s="352">
        <f t="shared" si="1"/>
        <v>0</v>
      </c>
      <c r="H14" s="159"/>
      <c r="I14" s="159"/>
      <c r="J14" s="159"/>
      <c r="K14" s="159"/>
      <c r="L14" s="25" t="s">
        <v>412</v>
      </c>
    </row>
    <row r="15" spans="1:12" ht="48">
      <c r="A15" s="19"/>
      <c r="B15" s="417" t="s">
        <v>412</v>
      </c>
      <c r="C15" s="19" t="s">
        <v>412</v>
      </c>
      <c r="D15" s="336" t="s">
        <v>414</v>
      </c>
      <c r="E15" s="165" t="s">
        <v>420</v>
      </c>
      <c r="F15" s="229">
        <f>3!F16</f>
        <v>300000</v>
      </c>
      <c r="G15" s="352">
        <f t="shared" si="1"/>
        <v>0</v>
      </c>
      <c r="H15" s="159"/>
      <c r="I15" s="159"/>
      <c r="J15" s="159"/>
      <c r="K15" s="159"/>
      <c r="L15" s="25" t="s">
        <v>412</v>
      </c>
    </row>
    <row r="16" spans="1:12" ht="48">
      <c r="A16" s="19"/>
      <c r="B16" s="417" t="s">
        <v>412</v>
      </c>
      <c r="C16" s="19" t="s">
        <v>412</v>
      </c>
      <c r="D16" s="336" t="s">
        <v>414</v>
      </c>
      <c r="E16" s="165" t="s">
        <v>421</v>
      </c>
      <c r="F16" s="229">
        <f>3!F17</f>
        <v>320000</v>
      </c>
      <c r="G16" s="352">
        <f t="shared" si="1"/>
        <v>0</v>
      </c>
      <c r="H16" s="159"/>
      <c r="I16" s="159"/>
      <c r="J16" s="159"/>
      <c r="K16" s="159"/>
      <c r="L16" s="25" t="s">
        <v>412</v>
      </c>
    </row>
    <row r="17" spans="1:12" ht="60">
      <c r="A17" s="19"/>
      <c r="B17" s="417" t="s">
        <v>412</v>
      </c>
      <c r="C17" s="19" t="s">
        <v>412</v>
      </c>
      <c r="D17" s="336" t="s">
        <v>414</v>
      </c>
      <c r="E17" s="165" t="s">
        <v>124</v>
      </c>
      <c r="F17" s="229">
        <f>3!F18</f>
        <v>3900000</v>
      </c>
      <c r="G17" s="352">
        <f t="shared" si="1"/>
        <v>0</v>
      </c>
      <c r="H17" s="159"/>
      <c r="I17" s="159"/>
      <c r="J17" s="159"/>
      <c r="K17" s="159"/>
      <c r="L17" s="25" t="s">
        <v>412</v>
      </c>
    </row>
    <row r="18" spans="1:12" ht="60">
      <c r="A18" s="19"/>
      <c r="B18" s="417" t="s">
        <v>412</v>
      </c>
      <c r="C18" s="19" t="s">
        <v>412</v>
      </c>
      <c r="D18" s="336" t="s">
        <v>414</v>
      </c>
      <c r="E18" s="165" t="s">
        <v>125</v>
      </c>
      <c r="F18" s="229">
        <f>3!F19</f>
        <v>8204200</v>
      </c>
      <c r="G18" s="352">
        <f t="shared" si="1"/>
        <v>0</v>
      </c>
      <c r="H18" s="159"/>
      <c r="I18" s="159"/>
      <c r="J18" s="159"/>
      <c r="K18" s="159"/>
      <c r="L18" s="25" t="s">
        <v>412</v>
      </c>
    </row>
    <row r="19" spans="1:12" ht="60">
      <c r="A19" s="19"/>
      <c r="B19" s="417" t="s">
        <v>412</v>
      </c>
      <c r="C19" s="19" t="s">
        <v>412</v>
      </c>
      <c r="D19" s="336" t="s">
        <v>414</v>
      </c>
      <c r="E19" s="165" t="s">
        <v>126</v>
      </c>
      <c r="F19" s="229">
        <f>3!F20</f>
        <v>8151500</v>
      </c>
      <c r="G19" s="352">
        <f t="shared" si="1"/>
        <v>0</v>
      </c>
      <c r="H19" s="159"/>
      <c r="I19" s="159"/>
      <c r="J19" s="159"/>
      <c r="K19" s="159"/>
      <c r="L19" s="25" t="s">
        <v>412</v>
      </c>
    </row>
    <row r="20" spans="1:12" ht="60">
      <c r="A20" s="19"/>
      <c r="B20" s="348" t="s">
        <v>412</v>
      </c>
      <c r="C20" s="19" t="s">
        <v>412</v>
      </c>
      <c r="D20" s="336" t="s">
        <v>414</v>
      </c>
      <c r="E20" s="165" t="s">
        <v>127</v>
      </c>
      <c r="F20" s="229">
        <f>3!F21</f>
        <v>900000</v>
      </c>
      <c r="G20" s="352">
        <f t="shared" si="1"/>
        <v>0</v>
      </c>
      <c r="H20" s="128"/>
      <c r="I20" s="128"/>
      <c r="J20" s="128"/>
      <c r="K20" s="128"/>
      <c r="L20" s="25" t="s">
        <v>412</v>
      </c>
    </row>
    <row r="21" spans="1:12" ht="72">
      <c r="A21" s="19"/>
      <c r="B21" s="348" t="s">
        <v>412</v>
      </c>
      <c r="C21" s="19" t="s">
        <v>412</v>
      </c>
      <c r="D21" s="336" t="s">
        <v>414</v>
      </c>
      <c r="E21" s="165" t="s">
        <v>129</v>
      </c>
      <c r="F21" s="229">
        <f>3!F22</f>
        <v>11000000</v>
      </c>
      <c r="G21" s="323">
        <f t="shared" si="1"/>
        <v>0</v>
      </c>
      <c r="H21" s="128"/>
      <c r="I21" s="128"/>
      <c r="J21" s="128"/>
      <c r="K21" s="128"/>
      <c r="L21" s="25" t="s">
        <v>412</v>
      </c>
    </row>
    <row r="22" spans="1:12" ht="48">
      <c r="A22" s="19"/>
      <c r="B22" s="348" t="s">
        <v>412</v>
      </c>
      <c r="C22" s="19" t="s">
        <v>412</v>
      </c>
      <c r="D22" s="336" t="s">
        <v>414</v>
      </c>
      <c r="E22" s="165" t="s">
        <v>130</v>
      </c>
      <c r="F22" s="229">
        <f>3!F23</f>
        <v>6500000</v>
      </c>
      <c r="G22" s="323">
        <f t="shared" si="1"/>
        <v>0</v>
      </c>
      <c r="H22" s="128"/>
      <c r="I22" s="128"/>
      <c r="J22" s="128"/>
      <c r="K22" s="128"/>
      <c r="L22" s="25" t="s">
        <v>412</v>
      </c>
    </row>
    <row r="23" spans="1:12" ht="60">
      <c r="A23" s="19"/>
      <c r="B23" s="348" t="s">
        <v>412</v>
      </c>
      <c r="C23" s="19" t="s">
        <v>412</v>
      </c>
      <c r="D23" s="336" t="s">
        <v>414</v>
      </c>
      <c r="E23" s="165" t="s">
        <v>131</v>
      </c>
      <c r="F23" s="229">
        <f>3!F24</f>
        <v>10000000</v>
      </c>
      <c r="G23" s="323">
        <f t="shared" si="1"/>
        <v>0</v>
      </c>
      <c r="H23" s="128"/>
      <c r="I23" s="128"/>
      <c r="J23" s="128"/>
      <c r="K23" s="128"/>
      <c r="L23" s="25" t="s">
        <v>412</v>
      </c>
    </row>
    <row r="24" spans="1:12" ht="12.75">
      <c r="A24" s="19"/>
      <c r="B24" s="348">
        <v>600</v>
      </c>
      <c r="C24" s="19">
        <v>60014</v>
      </c>
      <c r="D24" s="336" t="s">
        <v>414</v>
      </c>
      <c r="E24" s="165" t="s">
        <v>134</v>
      </c>
      <c r="F24" s="229">
        <f>3!F25</f>
        <v>4191165</v>
      </c>
      <c r="G24" s="323">
        <f t="shared" si="1"/>
        <v>0</v>
      </c>
      <c r="H24" s="128"/>
      <c r="I24" s="128"/>
      <c r="J24" s="128"/>
      <c r="K24" s="128"/>
      <c r="L24" s="25" t="s">
        <v>412</v>
      </c>
    </row>
    <row r="25" spans="1:12" ht="72">
      <c r="A25" s="19"/>
      <c r="B25" s="348"/>
      <c r="C25" s="19"/>
      <c r="D25" s="336" t="s">
        <v>414</v>
      </c>
      <c r="E25" s="165" t="s">
        <v>97</v>
      </c>
      <c r="F25" s="229">
        <f>3!F28</f>
        <v>21151250</v>
      </c>
      <c r="G25" s="324">
        <f>SUM(H25:K25)</f>
        <v>215000</v>
      </c>
      <c r="H25" s="128">
        <f>3!H28</f>
        <v>215000</v>
      </c>
      <c r="I25" s="128"/>
      <c r="J25" s="128"/>
      <c r="K25" s="128"/>
      <c r="L25" s="25" t="s">
        <v>412</v>
      </c>
    </row>
    <row r="26" spans="1:12" ht="60">
      <c r="A26" s="19">
        <v>2</v>
      </c>
      <c r="B26" s="348"/>
      <c r="C26" s="19"/>
      <c r="D26" s="338">
        <v>6050</v>
      </c>
      <c r="E26" s="165" t="s">
        <v>653</v>
      </c>
      <c r="F26" s="128">
        <f>889379+300000+350000+350000</f>
        <v>1889379</v>
      </c>
      <c r="G26" s="324">
        <f>SUM(H26:K26)</f>
        <v>300000</v>
      </c>
      <c r="H26" s="128">
        <f>3!G26</f>
        <v>300000</v>
      </c>
      <c r="I26" s="128"/>
      <c r="J26" s="128"/>
      <c r="K26" s="128"/>
      <c r="L26" s="25" t="s">
        <v>412</v>
      </c>
    </row>
    <row r="27" spans="1:12" ht="48">
      <c r="A27" s="19">
        <v>3</v>
      </c>
      <c r="B27" s="348" t="s">
        <v>412</v>
      </c>
      <c r="C27" s="19" t="s">
        <v>412</v>
      </c>
      <c r="D27" s="338">
        <v>6050</v>
      </c>
      <c r="E27" s="165" t="s">
        <v>428</v>
      </c>
      <c r="F27" s="128">
        <f>G27</f>
        <v>100000</v>
      </c>
      <c r="G27" s="324">
        <f>SUM(H27:K27)</f>
        <v>100000</v>
      </c>
      <c r="H27" s="128">
        <f>3!G27</f>
        <v>100000</v>
      </c>
      <c r="I27" s="128"/>
      <c r="J27" s="128"/>
      <c r="K27" s="128"/>
      <c r="L27" s="25" t="s">
        <v>412</v>
      </c>
    </row>
    <row r="28" spans="1:12" ht="22.5">
      <c r="A28" s="19">
        <v>4</v>
      </c>
      <c r="B28" s="348"/>
      <c r="C28" s="19"/>
      <c r="D28" s="338">
        <v>6060</v>
      </c>
      <c r="E28" s="161" t="s">
        <v>439</v>
      </c>
      <c r="F28" s="128">
        <f>G28</f>
        <v>10000</v>
      </c>
      <c r="G28" s="324">
        <f aca="true" t="shared" si="2" ref="G28:G49">SUM(H28:K28)</f>
        <v>10000</v>
      </c>
      <c r="H28" s="128">
        <f>3!H29</f>
        <v>10000</v>
      </c>
      <c r="I28" s="128"/>
      <c r="J28" s="128"/>
      <c r="K28" s="128"/>
      <c r="L28" s="25" t="s">
        <v>412</v>
      </c>
    </row>
    <row r="29" spans="1:12" ht="51">
      <c r="A29" s="19">
        <v>5</v>
      </c>
      <c r="B29" s="348">
        <v>700</v>
      </c>
      <c r="C29" s="19">
        <v>70005</v>
      </c>
      <c r="D29" s="338">
        <v>6060</v>
      </c>
      <c r="E29" s="374" t="s">
        <v>493</v>
      </c>
      <c r="F29" s="128">
        <f>G29</f>
        <v>0</v>
      </c>
      <c r="G29" s="324">
        <f t="shared" si="2"/>
        <v>0</v>
      </c>
      <c r="H29" s="128">
        <f>3!H30</f>
        <v>0</v>
      </c>
      <c r="I29" s="128"/>
      <c r="J29" s="128"/>
      <c r="K29" s="128"/>
      <c r="L29" s="164" t="s">
        <v>303</v>
      </c>
    </row>
    <row r="30" spans="1:12" ht="33.75">
      <c r="A30" s="19">
        <v>6</v>
      </c>
      <c r="B30" s="348">
        <v>750</v>
      </c>
      <c r="C30" s="19">
        <v>75020</v>
      </c>
      <c r="D30" s="338">
        <v>6050</v>
      </c>
      <c r="E30" s="161" t="s">
        <v>444</v>
      </c>
      <c r="F30" s="128">
        <f>SUM(G30)</f>
        <v>41000</v>
      </c>
      <c r="G30" s="324">
        <f>SUM(H30:K30)</f>
        <v>41000</v>
      </c>
      <c r="H30" s="128">
        <f>3!G31</f>
        <v>41000</v>
      </c>
      <c r="I30" s="128"/>
      <c r="J30" s="163"/>
      <c r="K30" s="128"/>
      <c r="L30" s="164" t="s">
        <v>303</v>
      </c>
    </row>
    <row r="31" spans="1:12" ht="97.5" customHeight="1">
      <c r="A31" s="19">
        <v>7</v>
      </c>
      <c r="B31" s="348">
        <v>750</v>
      </c>
      <c r="C31" s="19">
        <v>75020</v>
      </c>
      <c r="D31" s="338">
        <v>6050</v>
      </c>
      <c r="E31" s="303" t="s">
        <v>485</v>
      </c>
      <c r="F31" s="128">
        <f>SUM(G31)</f>
        <v>48425</v>
      </c>
      <c r="G31" s="324">
        <f t="shared" si="2"/>
        <v>48425</v>
      </c>
      <c r="H31" s="128">
        <f>3!G32</f>
        <v>48425</v>
      </c>
      <c r="I31" s="128"/>
      <c r="J31" s="163"/>
      <c r="K31" s="128"/>
      <c r="L31" s="164" t="s">
        <v>303</v>
      </c>
    </row>
    <row r="32" spans="1:12" ht="33.75">
      <c r="A32" s="19">
        <v>8</v>
      </c>
      <c r="B32" s="348">
        <v>758</v>
      </c>
      <c r="C32" s="19">
        <v>75818</v>
      </c>
      <c r="D32" s="338">
        <v>6800</v>
      </c>
      <c r="E32" s="161" t="s">
        <v>376</v>
      </c>
      <c r="F32" s="128">
        <f>SUM(G32)</f>
        <v>167500</v>
      </c>
      <c r="G32" s="324">
        <f t="shared" si="2"/>
        <v>167500</v>
      </c>
      <c r="H32" s="128">
        <f>3!H33</f>
        <v>167500</v>
      </c>
      <c r="I32" s="128"/>
      <c r="J32" s="163"/>
      <c r="K32" s="128"/>
      <c r="L32" s="164" t="s">
        <v>303</v>
      </c>
    </row>
    <row r="33" spans="1:12" ht="33.75">
      <c r="A33" s="19">
        <v>9</v>
      </c>
      <c r="B33" s="348">
        <v>758</v>
      </c>
      <c r="C33" s="19">
        <v>75818</v>
      </c>
      <c r="D33" s="338">
        <v>6800</v>
      </c>
      <c r="E33" s="161" t="s">
        <v>422</v>
      </c>
      <c r="F33" s="128">
        <f>SUM(G33)</f>
        <v>90000</v>
      </c>
      <c r="G33" s="324">
        <f t="shared" si="2"/>
        <v>90000</v>
      </c>
      <c r="H33" s="128">
        <f>3!H34</f>
        <v>90000</v>
      </c>
      <c r="I33" s="128"/>
      <c r="J33" s="163"/>
      <c r="K33" s="128"/>
      <c r="L33" s="164" t="s">
        <v>303</v>
      </c>
    </row>
    <row r="34" spans="1:12" ht="33.75">
      <c r="A34" s="19">
        <v>10</v>
      </c>
      <c r="B34" s="348">
        <v>801</v>
      </c>
      <c r="C34" s="19">
        <v>80130</v>
      </c>
      <c r="D34" s="19">
        <v>6050</v>
      </c>
      <c r="E34" s="161" t="s">
        <v>122</v>
      </c>
      <c r="F34" s="128">
        <f>78190+300000</f>
        <v>378190</v>
      </c>
      <c r="G34" s="324">
        <f>SUM(H34:K34)</f>
        <v>300000</v>
      </c>
      <c r="H34" s="128">
        <f>3!H35</f>
        <v>300000</v>
      </c>
      <c r="I34" s="128"/>
      <c r="J34" s="163"/>
      <c r="K34" s="128"/>
      <c r="L34" s="164" t="s">
        <v>303</v>
      </c>
    </row>
    <row r="35" spans="1:12" ht="56.25">
      <c r="A35" s="382" t="s">
        <v>460</v>
      </c>
      <c r="B35" s="348">
        <v>801</v>
      </c>
      <c r="C35" s="19">
        <v>80130</v>
      </c>
      <c r="D35" s="19">
        <v>6050</v>
      </c>
      <c r="E35" s="161" t="s">
        <v>461</v>
      </c>
      <c r="F35" s="128">
        <f>3!F36</f>
        <v>4800000</v>
      </c>
      <c r="G35" s="324"/>
      <c r="H35" s="128"/>
      <c r="I35" s="128"/>
      <c r="J35" s="163"/>
      <c r="K35" s="128"/>
      <c r="L35" s="164" t="s">
        <v>654</v>
      </c>
    </row>
    <row r="36" spans="1:12" ht="78.75">
      <c r="A36" s="382" t="s">
        <v>462</v>
      </c>
      <c r="B36" s="348">
        <v>801</v>
      </c>
      <c r="C36" s="19">
        <v>80130</v>
      </c>
      <c r="D36" s="19">
        <v>6050</v>
      </c>
      <c r="E36" s="161" t="s">
        <v>463</v>
      </c>
      <c r="F36" s="128">
        <f>3!F37</f>
        <v>6100000</v>
      </c>
      <c r="G36" s="324"/>
      <c r="H36" s="128"/>
      <c r="I36" s="128"/>
      <c r="J36" s="163"/>
      <c r="K36" s="128"/>
      <c r="L36" s="164" t="s">
        <v>464</v>
      </c>
    </row>
    <row r="37" spans="1:12" ht="45">
      <c r="A37" s="19">
        <v>11</v>
      </c>
      <c r="B37" s="348">
        <v>851</v>
      </c>
      <c r="C37" s="19">
        <v>85111</v>
      </c>
      <c r="D37" s="19">
        <v>6010</v>
      </c>
      <c r="E37" s="161" t="s">
        <v>499</v>
      </c>
      <c r="F37" s="128">
        <f>1338000+I37+3!L38+3!M38</f>
        <v>5338000</v>
      </c>
      <c r="G37" s="324">
        <f>SUM(H37:K37)</f>
        <v>200000</v>
      </c>
      <c r="H37" s="128"/>
      <c r="I37" s="128">
        <f>3!I38</f>
        <v>200000</v>
      </c>
      <c r="J37" s="163"/>
      <c r="K37" s="128"/>
      <c r="L37" s="164" t="s">
        <v>303</v>
      </c>
    </row>
    <row r="38" spans="1:12" ht="78.75">
      <c r="A38" s="19">
        <v>12</v>
      </c>
      <c r="B38" s="348">
        <v>852</v>
      </c>
      <c r="C38" s="230">
        <v>85201</v>
      </c>
      <c r="D38" s="338">
        <v>6050</v>
      </c>
      <c r="E38" s="161" t="s">
        <v>487</v>
      </c>
      <c r="F38" s="128">
        <f>G38+150000</f>
        <v>655000</v>
      </c>
      <c r="G38" s="324">
        <f>SUM(H38:K38)</f>
        <v>505000</v>
      </c>
      <c r="H38" s="128">
        <f>3!H39</f>
        <v>0</v>
      </c>
      <c r="I38" s="128">
        <f>3!I39</f>
        <v>505000</v>
      </c>
      <c r="J38" s="163"/>
      <c r="K38" s="128"/>
      <c r="L38" s="164" t="s">
        <v>303</v>
      </c>
    </row>
    <row r="39" spans="1:12" ht="34.5" thickBot="1">
      <c r="A39" s="19">
        <v>13</v>
      </c>
      <c r="B39" s="348">
        <v>852</v>
      </c>
      <c r="C39" s="230">
        <v>85202</v>
      </c>
      <c r="D39" s="338">
        <v>6050</v>
      </c>
      <c r="E39" s="161" t="s">
        <v>495</v>
      </c>
      <c r="F39" s="128">
        <f>SUM(G39)</f>
        <v>116699</v>
      </c>
      <c r="G39" s="324">
        <f>SUM(H39:K39)</f>
        <v>116699</v>
      </c>
      <c r="H39" s="128">
        <f>3!H40</f>
        <v>116699</v>
      </c>
      <c r="I39" s="128"/>
      <c r="J39" s="163"/>
      <c r="K39" s="128"/>
      <c r="L39" s="164" t="s">
        <v>303</v>
      </c>
    </row>
    <row r="40" spans="1:12" ht="90" thickBot="1">
      <c r="A40" s="19"/>
      <c r="B40" s="348" t="s">
        <v>504</v>
      </c>
      <c r="C40" s="230" t="s">
        <v>504</v>
      </c>
      <c r="D40" s="338" t="s">
        <v>117</v>
      </c>
      <c r="E40" s="411" t="s">
        <v>118</v>
      </c>
      <c r="F40" s="128">
        <f>SUM(G40)</f>
        <v>25000</v>
      </c>
      <c r="G40" s="324">
        <f t="shared" si="2"/>
        <v>25000</v>
      </c>
      <c r="H40" s="128">
        <f>3!H41</f>
        <v>25000</v>
      </c>
      <c r="I40" s="128"/>
      <c r="J40" s="163"/>
      <c r="K40" s="128"/>
      <c r="L40" s="164" t="s">
        <v>303</v>
      </c>
    </row>
    <row r="41" spans="1:12" ht="25.5">
      <c r="A41" s="19">
        <v>14</v>
      </c>
      <c r="B41" s="348">
        <v>852</v>
      </c>
      <c r="C41" s="230">
        <v>85202</v>
      </c>
      <c r="D41" s="338">
        <v>6050</v>
      </c>
      <c r="E41" s="161" t="s">
        <v>496</v>
      </c>
      <c r="F41" s="128">
        <f>SUM(G41)</f>
        <v>26000</v>
      </c>
      <c r="G41" s="324">
        <f t="shared" si="2"/>
        <v>26000</v>
      </c>
      <c r="H41" s="128">
        <f>3!H42</f>
        <v>26000</v>
      </c>
      <c r="I41" s="128"/>
      <c r="J41" s="163"/>
      <c r="K41" s="128"/>
      <c r="L41" s="164" t="s">
        <v>408</v>
      </c>
    </row>
    <row r="42" spans="1:12" ht="76.5">
      <c r="A42" s="19">
        <v>15</v>
      </c>
      <c r="B42" s="348">
        <v>854</v>
      </c>
      <c r="C42" s="19">
        <v>85410</v>
      </c>
      <c r="D42" s="338" t="s">
        <v>414</v>
      </c>
      <c r="E42" s="77" t="s">
        <v>318</v>
      </c>
      <c r="F42" s="128">
        <f>3!F43</f>
        <v>1611818</v>
      </c>
      <c r="G42" s="324">
        <f t="shared" si="2"/>
        <v>0</v>
      </c>
      <c r="H42" s="128"/>
      <c r="I42" s="128"/>
      <c r="J42" s="163"/>
      <c r="K42" s="128"/>
      <c r="L42" s="164" t="s">
        <v>319</v>
      </c>
    </row>
    <row r="43" spans="1:12" ht="12.75">
      <c r="A43" s="19">
        <v>16</v>
      </c>
      <c r="B43" s="348" t="s">
        <v>504</v>
      </c>
      <c r="C43" s="282" t="s">
        <v>504</v>
      </c>
      <c r="D43" s="339">
        <v>6060</v>
      </c>
      <c r="E43" s="77" t="s">
        <v>505</v>
      </c>
      <c r="F43" s="128">
        <f>SUM(G43)</f>
        <v>7500</v>
      </c>
      <c r="G43" s="324">
        <f t="shared" si="2"/>
        <v>7500</v>
      </c>
      <c r="H43" s="128">
        <f>2!N565</f>
        <v>7500</v>
      </c>
      <c r="I43" s="128"/>
      <c r="J43" s="163"/>
      <c r="K43" s="128"/>
      <c r="L43" s="164" t="s">
        <v>504</v>
      </c>
    </row>
    <row r="44" spans="1:12" ht="70.5" customHeight="1">
      <c r="A44" s="19">
        <v>17</v>
      </c>
      <c r="B44" s="348"/>
      <c r="C44" s="284" t="s">
        <v>360</v>
      </c>
      <c r="D44" s="339"/>
      <c r="E44" s="161" t="s">
        <v>497</v>
      </c>
      <c r="F44" s="229">
        <f>G44</f>
        <v>35000</v>
      </c>
      <c r="G44" s="324">
        <f>SUM(H44:K44)</f>
        <v>35000</v>
      </c>
      <c r="H44" s="128"/>
      <c r="I44" s="128"/>
      <c r="J44" s="128">
        <f>3!G45</f>
        <v>35000</v>
      </c>
      <c r="K44" s="128"/>
      <c r="L44" s="25" t="s">
        <v>412</v>
      </c>
    </row>
    <row r="45" spans="1:12" ht="45">
      <c r="A45" s="19">
        <v>18</v>
      </c>
      <c r="B45" s="349"/>
      <c r="C45" s="284" t="s">
        <v>360</v>
      </c>
      <c r="D45" s="339"/>
      <c r="E45" s="161" t="s">
        <v>415</v>
      </c>
      <c r="F45" s="128">
        <f>SUM(G45)</f>
        <v>700000</v>
      </c>
      <c r="G45" s="324">
        <f>SUM(H45:K45)</f>
        <v>700000</v>
      </c>
      <c r="H45" s="128"/>
      <c r="I45" s="128"/>
      <c r="J45" s="163">
        <f>3!J46</f>
        <v>700000</v>
      </c>
      <c r="K45" s="128"/>
      <c r="L45" s="164" t="s">
        <v>303</v>
      </c>
    </row>
    <row r="46" spans="1:12" ht="101.25">
      <c r="A46" s="19">
        <v>19</v>
      </c>
      <c r="B46" s="349"/>
      <c r="C46" s="284" t="s">
        <v>360</v>
      </c>
      <c r="D46" s="339"/>
      <c r="E46" s="161" t="s">
        <v>498</v>
      </c>
      <c r="F46" s="128">
        <f>SUM(G46)+1157705</f>
        <v>1337705</v>
      </c>
      <c r="G46" s="324">
        <f t="shared" si="2"/>
        <v>180000</v>
      </c>
      <c r="H46" s="128"/>
      <c r="I46" s="128"/>
      <c r="J46" s="163">
        <f>3!J47</f>
        <v>180000</v>
      </c>
      <c r="K46" s="128"/>
      <c r="L46" s="164" t="s">
        <v>303</v>
      </c>
    </row>
    <row r="47" spans="1:12" ht="45">
      <c r="A47" s="19">
        <v>20</v>
      </c>
      <c r="B47" s="349"/>
      <c r="C47" s="284" t="s">
        <v>494</v>
      </c>
      <c r="D47" s="339"/>
      <c r="E47" s="161" t="s">
        <v>491</v>
      </c>
      <c r="F47" s="128">
        <f>SUM(G47)</f>
        <v>70000</v>
      </c>
      <c r="G47" s="324">
        <f t="shared" si="2"/>
        <v>70000</v>
      </c>
      <c r="H47" s="128"/>
      <c r="I47" s="128"/>
      <c r="J47" s="163">
        <f>3!J48</f>
        <v>70000</v>
      </c>
      <c r="K47" s="128"/>
      <c r="L47" s="164" t="s">
        <v>303</v>
      </c>
    </row>
    <row r="48" spans="1:12" ht="72">
      <c r="A48" s="19">
        <v>21</v>
      </c>
      <c r="B48" s="349"/>
      <c r="C48" s="284" t="s">
        <v>331</v>
      </c>
      <c r="D48" s="339" t="s">
        <v>120</v>
      </c>
      <c r="E48" s="165" t="s">
        <v>445</v>
      </c>
      <c r="F48" s="128">
        <f>SUM(G48)</f>
        <v>8375</v>
      </c>
      <c r="G48" s="324">
        <f t="shared" si="2"/>
        <v>8375</v>
      </c>
      <c r="H48" s="128"/>
      <c r="I48" s="128"/>
      <c r="J48" s="163">
        <f>3!J49</f>
        <v>8375</v>
      </c>
      <c r="K48" s="128"/>
      <c r="L48" s="164" t="s">
        <v>303</v>
      </c>
    </row>
    <row r="49" spans="1:12" ht="48.75" thickBot="1">
      <c r="A49" s="19">
        <v>22</v>
      </c>
      <c r="B49" s="349"/>
      <c r="C49" s="284" t="s">
        <v>360</v>
      </c>
      <c r="D49" s="339"/>
      <c r="E49" s="165" t="s">
        <v>121</v>
      </c>
      <c r="F49" s="128">
        <f>SUM(G49)</f>
        <v>8000</v>
      </c>
      <c r="G49" s="324">
        <f t="shared" si="2"/>
        <v>8000</v>
      </c>
      <c r="H49" s="128"/>
      <c r="I49" s="128"/>
      <c r="J49" s="163">
        <f>3!J50</f>
        <v>8000</v>
      </c>
      <c r="K49" s="128"/>
      <c r="L49" s="164" t="s">
        <v>303</v>
      </c>
    </row>
    <row r="50" spans="1:12" ht="22.5" customHeight="1" thickBot="1">
      <c r="A50" s="19"/>
      <c r="B50" s="462" t="s">
        <v>433</v>
      </c>
      <c r="C50" s="462"/>
      <c r="D50" s="462"/>
      <c r="E50" s="463"/>
      <c r="F50" s="293"/>
      <c r="G50" s="325">
        <f>G51-J48-J46-J45-J44-J47-J49</f>
        <v>2938124</v>
      </c>
      <c r="H50" s="128"/>
      <c r="I50" s="128"/>
      <c r="J50" s="163"/>
      <c r="K50" s="128"/>
      <c r="L50" s="164"/>
    </row>
    <row r="51" spans="1:12" ht="16.5" customHeight="1">
      <c r="A51" s="19"/>
      <c r="B51" s="459" t="s">
        <v>442</v>
      </c>
      <c r="C51" s="460"/>
      <c r="D51" s="460"/>
      <c r="E51" s="460"/>
      <c r="F51" s="128">
        <f>SUM(F26:F49)</f>
        <v>23563591</v>
      </c>
      <c r="G51" s="128">
        <f>SUM(G11:G49)</f>
        <v>3939499</v>
      </c>
      <c r="H51" s="128">
        <f>SUM(H11:H49)</f>
        <v>1858124</v>
      </c>
      <c r="I51" s="128">
        <f>SUM(I11:I49)</f>
        <v>1080000</v>
      </c>
      <c r="J51" s="128">
        <f>SUM(J11:J49)</f>
        <v>1001375</v>
      </c>
      <c r="K51" s="128">
        <f>SUM(K26:K49)</f>
        <v>0</v>
      </c>
      <c r="L51" s="65" t="s">
        <v>556</v>
      </c>
    </row>
    <row r="53" spans="6:11" ht="12.75">
      <c r="F53" s="1"/>
      <c r="G53" s="1"/>
      <c r="H53" s="1"/>
      <c r="I53" s="1"/>
      <c r="J53" s="1"/>
      <c r="K53" s="1"/>
    </row>
    <row r="54" spans="6:11" ht="12.75">
      <c r="F54" s="1"/>
      <c r="G54" s="1"/>
      <c r="H54" s="1"/>
      <c r="I54" s="1"/>
      <c r="J54" s="1"/>
      <c r="K54" s="1"/>
    </row>
    <row r="55" spans="6:11" ht="12.75">
      <c r="F55" s="1"/>
      <c r="G55" s="1"/>
      <c r="H55" s="1"/>
      <c r="I55" s="1"/>
      <c r="J55" s="1"/>
      <c r="K55" s="1"/>
    </row>
    <row r="56" spans="6:11" ht="12.75">
      <c r="F56" s="1"/>
      <c r="G56" s="1"/>
      <c r="H56" s="1"/>
      <c r="I56" s="1"/>
      <c r="J56" s="1"/>
      <c r="K56" s="1"/>
    </row>
  </sheetData>
  <sheetProtection/>
  <mergeCells count="16">
    <mergeCell ref="G3:K3"/>
    <mergeCell ref="B51:E51"/>
    <mergeCell ref="B3:B7"/>
    <mergeCell ref="C3:C7"/>
    <mergeCell ref="E3:E7"/>
    <mergeCell ref="B50:E50"/>
    <mergeCell ref="A3:A7"/>
    <mergeCell ref="L3:L7"/>
    <mergeCell ref="G4:G7"/>
    <mergeCell ref="D3:D7"/>
    <mergeCell ref="F3:F7"/>
    <mergeCell ref="H4:K4"/>
    <mergeCell ref="H5:H7"/>
    <mergeCell ref="I5:I7"/>
    <mergeCell ref="J5:J7"/>
    <mergeCell ref="K5:K7"/>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3a
do uchwały Rady Powiatu 
nr XIV/101/08
z dnia 16.06.2008 r.</oddHeader>
  </headerFooter>
</worksheet>
</file>

<file path=xl/worksheets/sheet5.xml><?xml version="1.0" encoding="utf-8"?>
<worksheet xmlns="http://schemas.openxmlformats.org/spreadsheetml/2006/main" xmlns:r="http://schemas.openxmlformats.org/officeDocument/2006/relationships">
  <dimension ref="B1:R89"/>
  <sheetViews>
    <sheetView zoomScalePageLayoutView="0" workbookViewId="0" topLeftCell="B1">
      <pane ySplit="2" topLeftCell="BM32" activePane="bottomLeft" state="frozen"/>
      <selection pane="topLeft" activeCell="A1" sqref="A1"/>
      <selection pane="bottomLeft" activeCell="M44" sqref="M44"/>
    </sheetView>
  </sheetViews>
  <sheetFormatPr defaultColWidth="10.25390625" defaultRowHeight="12.75"/>
  <cols>
    <col min="1" max="1" width="10.25390625" style="12" customWidth="1"/>
    <col min="2" max="2" width="3.625" style="12" bestFit="1" customWidth="1"/>
    <col min="3" max="3" width="22.625" style="12" bestFit="1" customWidth="1"/>
    <col min="4" max="4" width="13.00390625" style="12" customWidth="1"/>
    <col min="5" max="5" width="10.625" style="12" customWidth="1"/>
    <col min="6" max="6" width="12.00390625" style="12" customWidth="1"/>
    <col min="7" max="8" width="10.125" style="12" bestFit="1" customWidth="1"/>
    <col min="9" max="9" width="9.00390625" style="12" customWidth="1"/>
    <col min="10" max="10" width="8.625" style="12" customWidth="1"/>
    <col min="11" max="11" width="7.625" style="12" customWidth="1"/>
    <col min="12" max="12" width="8.375" style="12" customWidth="1"/>
    <col min="13" max="13" width="9.75390625" style="12" customWidth="1"/>
    <col min="14" max="14" width="11.75390625" style="12" customWidth="1"/>
    <col min="15" max="15" width="10.375" style="12" customWidth="1"/>
    <col min="16" max="16" width="6.25390625" style="12" customWidth="1"/>
    <col min="17" max="17" width="5.00390625" style="12" customWidth="1"/>
    <col min="18" max="18" width="7.125" style="12" customWidth="1"/>
    <col min="19" max="16384" width="10.25390625" style="12" customWidth="1"/>
  </cols>
  <sheetData>
    <row r="1" spans="2:18" ht="12.75">
      <c r="B1" s="512" t="s">
        <v>632</v>
      </c>
      <c r="C1" s="512"/>
      <c r="D1" s="512"/>
      <c r="E1" s="512"/>
      <c r="F1" s="512"/>
      <c r="G1" s="512"/>
      <c r="H1" s="512"/>
      <c r="I1" s="512"/>
      <c r="J1" s="512"/>
      <c r="K1" s="512"/>
      <c r="L1" s="512"/>
      <c r="M1" s="512"/>
      <c r="N1" s="512"/>
      <c r="O1" s="512"/>
      <c r="P1" s="512"/>
      <c r="Q1" s="512"/>
      <c r="R1" s="512"/>
    </row>
    <row r="3" spans="2:18" ht="11.25">
      <c r="B3" s="511" t="s">
        <v>568</v>
      </c>
      <c r="C3" s="511" t="s">
        <v>583</v>
      </c>
      <c r="D3" s="506" t="s">
        <v>584</v>
      </c>
      <c r="E3" s="506" t="s">
        <v>46</v>
      </c>
      <c r="F3" s="506" t="s">
        <v>637</v>
      </c>
      <c r="G3" s="511" t="s">
        <v>514</v>
      </c>
      <c r="H3" s="511"/>
      <c r="I3" s="511" t="s">
        <v>582</v>
      </c>
      <c r="J3" s="511"/>
      <c r="K3" s="511"/>
      <c r="L3" s="511"/>
      <c r="M3" s="511"/>
      <c r="N3" s="511"/>
      <c r="O3" s="511"/>
      <c r="P3" s="511"/>
      <c r="Q3" s="511"/>
      <c r="R3" s="511"/>
    </row>
    <row r="4" spans="2:18" ht="11.25">
      <c r="B4" s="511"/>
      <c r="C4" s="511"/>
      <c r="D4" s="506"/>
      <c r="E4" s="506"/>
      <c r="F4" s="506"/>
      <c r="G4" s="506" t="s">
        <v>634</v>
      </c>
      <c r="H4" s="506" t="s">
        <v>635</v>
      </c>
      <c r="I4" s="511">
        <v>2008</v>
      </c>
      <c r="J4" s="511"/>
      <c r="K4" s="511"/>
      <c r="L4" s="511"/>
      <c r="M4" s="511"/>
      <c r="N4" s="511"/>
      <c r="O4" s="511"/>
      <c r="P4" s="511"/>
      <c r="Q4" s="511"/>
      <c r="R4" s="511"/>
    </row>
    <row r="5" spans="2:18" ht="11.25">
      <c r="B5" s="511"/>
      <c r="C5" s="511"/>
      <c r="D5" s="506"/>
      <c r="E5" s="506"/>
      <c r="F5" s="506"/>
      <c r="G5" s="506"/>
      <c r="H5" s="506"/>
      <c r="I5" s="506" t="s">
        <v>586</v>
      </c>
      <c r="J5" s="511" t="s">
        <v>587</v>
      </c>
      <c r="K5" s="511"/>
      <c r="L5" s="511"/>
      <c r="M5" s="511"/>
      <c r="N5" s="511"/>
      <c r="O5" s="511"/>
      <c r="P5" s="511"/>
      <c r="Q5" s="511"/>
      <c r="R5" s="511"/>
    </row>
    <row r="6" spans="2:18" ht="14.25" customHeight="1">
      <c r="B6" s="511"/>
      <c r="C6" s="511"/>
      <c r="D6" s="506"/>
      <c r="E6" s="506"/>
      <c r="F6" s="506"/>
      <c r="G6" s="506"/>
      <c r="H6" s="506"/>
      <c r="I6" s="506"/>
      <c r="J6" s="511" t="s">
        <v>588</v>
      </c>
      <c r="K6" s="511"/>
      <c r="L6" s="511"/>
      <c r="M6" s="511"/>
      <c r="N6" s="511" t="s">
        <v>585</v>
      </c>
      <c r="O6" s="511"/>
      <c r="P6" s="511"/>
      <c r="Q6" s="511"/>
      <c r="R6" s="511"/>
    </row>
    <row r="7" spans="2:18" ht="12.75" customHeight="1">
      <c r="B7" s="511"/>
      <c r="C7" s="511"/>
      <c r="D7" s="506"/>
      <c r="E7" s="506"/>
      <c r="F7" s="506"/>
      <c r="G7" s="506"/>
      <c r="H7" s="506"/>
      <c r="I7" s="506"/>
      <c r="J7" s="506" t="s">
        <v>589</v>
      </c>
      <c r="K7" s="511" t="s">
        <v>590</v>
      </c>
      <c r="L7" s="511"/>
      <c r="M7" s="511"/>
      <c r="N7" s="506" t="s">
        <v>591</v>
      </c>
      <c r="O7" s="506" t="s">
        <v>590</v>
      </c>
      <c r="P7" s="506"/>
      <c r="Q7" s="506"/>
      <c r="R7" s="506"/>
    </row>
    <row r="8" spans="2:18" ht="48" customHeight="1">
      <c r="B8" s="511"/>
      <c r="C8" s="511"/>
      <c r="D8" s="506"/>
      <c r="E8" s="506"/>
      <c r="F8" s="506"/>
      <c r="G8" s="506"/>
      <c r="H8" s="506"/>
      <c r="I8" s="506"/>
      <c r="J8" s="506"/>
      <c r="K8" s="38" t="s">
        <v>636</v>
      </c>
      <c r="L8" s="38" t="s">
        <v>592</v>
      </c>
      <c r="M8" s="38" t="s">
        <v>593</v>
      </c>
      <c r="N8" s="506"/>
      <c r="O8" s="409" t="s">
        <v>594</v>
      </c>
      <c r="P8" s="409" t="s">
        <v>636</v>
      </c>
      <c r="Q8" s="409" t="s">
        <v>592</v>
      </c>
      <c r="R8" s="38" t="s">
        <v>595</v>
      </c>
    </row>
    <row r="9" spans="2:18" ht="12" customHeight="1">
      <c r="B9" s="13">
        <v>1</v>
      </c>
      <c r="C9" s="13">
        <v>2</v>
      </c>
      <c r="D9" s="13">
        <v>3</v>
      </c>
      <c r="E9" s="13">
        <v>4</v>
      </c>
      <c r="F9" s="13">
        <v>5</v>
      </c>
      <c r="G9" s="13">
        <v>6</v>
      </c>
      <c r="H9" s="13">
        <v>7</v>
      </c>
      <c r="I9" s="13">
        <v>8</v>
      </c>
      <c r="J9" s="13">
        <v>9</v>
      </c>
      <c r="K9" s="13">
        <v>10</v>
      </c>
      <c r="L9" s="13">
        <v>11</v>
      </c>
      <c r="M9" s="13">
        <v>12</v>
      </c>
      <c r="N9" s="13">
        <v>13</v>
      </c>
      <c r="O9" s="13">
        <v>14</v>
      </c>
      <c r="P9" s="13">
        <v>15</v>
      </c>
      <c r="Q9" s="13">
        <v>16</v>
      </c>
      <c r="R9" s="13">
        <v>17</v>
      </c>
    </row>
    <row r="10" spans="2:18" s="67" customFormat="1" ht="11.25">
      <c r="B10" s="49">
        <v>1</v>
      </c>
      <c r="C10" s="66" t="s">
        <v>596</v>
      </c>
      <c r="D10" s="509" t="s">
        <v>556</v>
      </c>
      <c r="E10" s="510"/>
      <c r="F10" s="292">
        <f>F15+F23</f>
        <v>87151250</v>
      </c>
      <c r="G10" s="292">
        <f aca="true" t="shared" si="0" ref="G10:R10">G15+G23</f>
        <v>41639174</v>
      </c>
      <c r="H10" s="292">
        <f t="shared" si="0"/>
        <v>45512076</v>
      </c>
      <c r="I10" s="292">
        <f t="shared" si="0"/>
        <v>215000</v>
      </c>
      <c r="J10" s="292">
        <f t="shared" si="0"/>
        <v>89096</v>
      </c>
      <c r="K10" s="292">
        <f t="shared" si="0"/>
        <v>0</v>
      </c>
      <c r="L10" s="292">
        <f t="shared" si="0"/>
        <v>0</v>
      </c>
      <c r="M10" s="292">
        <f t="shared" si="0"/>
        <v>89096</v>
      </c>
      <c r="N10" s="292">
        <f t="shared" si="0"/>
        <v>125904</v>
      </c>
      <c r="O10" s="292">
        <f t="shared" si="0"/>
        <v>0</v>
      </c>
      <c r="P10" s="292">
        <f t="shared" si="0"/>
        <v>0</v>
      </c>
      <c r="Q10" s="292">
        <f t="shared" si="0"/>
        <v>0</v>
      </c>
      <c r="R10" s="292">
        <f t="shared" si="0"/>
        <v>125904</v>
      </c>
    </row>
    <row r="11" spans="2:18" ht="15.75" customHeight="1">
      <c r="B11" s="494" t="s">
        <v>597</v>
      </c>
      <c r="C11" s="50" t="s">
        <v>598</v>
      </c>
      <c r="D11" s="495" t="s">
        <v>434</v>
      </c>
      <c r="E11" s="495"/>
      <c r="F11" s="495"/>
      <c r="G11" s="495"/>
      <c r="H11" s="495"/>
      <c r="I11" s="495"/>
      <c r="J11" s="495"/>
      <c r="K11" s="495"/>
      <c r="L11" s="495"/>
      <c r="M11" s="495"/>
      <c r="N11" s="495"/>
      <c r="O11" s="495"/>
      <c r="P11" s="495"/>
      <c r="Q11" s="495"/>
      <c r="R11" s="495"/>
    </row>
    <row r="12" spans="2:18" ht="12.75" customHeight="1">
      <c r="B12" s="494"/>
      <c r="C12" s="50" t="s">
        <v>599</v>
      </c>
      <c r="D12" s="495"/>
      <c r="E12" s="495"/>
      <c r="F12" s="495"/>
      <c r="G12" s="495"/>
      <c r="H12" s="495"/>
      <c r="I12" s="495"/>
      <c r="J12" s="495"/>
      <c r="K12" s="495"/>
      <c r="L12" s="495"/>
      <c r="M12" s="495"/>
      <c r="N12" s="495"/>
      <c r="O12" s="495"/>
      <c r="P12" s="495"/>
      <c r="Q12" s="495"/>
      <c r="R12" s="495"/>
    </row>
    <row r="13" spans="2:18" ht="12.75" customHeight="1">
      <c r="B13" s="494"/>
      <c r="C13" s="50" t="s">
        <v>600</v>
      </c>
      <c r="D13" s="495"/>
      <c r="E13" s="495"/>
      <c r="F13" s="495"/>
      <c r="G13" s="495"/>
      <c r="H13" s="495"/>
      <c r="I13" s="495"/>
      <c r="J13" s="495"/>
      <c r="K13" s="495"/>
      <c r="L13" s="495"/>
      <c r="M13" s="495"/>
      <c r="N13" s="495"/>
      <c r="O13" s="495"/>
      <c r="P13" s="495"/>
      <c r="Q13" s="495"/>
      <c r="R13" s="495"/>
    </row>
    <row r="14" spans="2:18" ht="68.25" customHeight="1">
      <c r="B14" s="494"/>
      <c r="C14" s="216" t="s">
        <v>601</v>
      </c>
      <c r="D14" s="495" t="s">
        <v>467</v>
      </c>
      <c r="E14" s="495"/>
      <c r="F14" s="495"/>
      <c r="G14" s="495"/>
      <c r="H14" s="495"/>
      <c r="I14" s="495"/>
      <c r="J14" s="495"/>
      <c r="K14" s="495"/>
      <c r="L14" s="495"/>
      <c r="M14" s="495"/>
      <c r="N14" s="495"/>
      <c r="O14" s="495"/>
      <c r="P14" s="495"/>
      <c r="Q14" s="495"/>
      <c r="R14" s="495"/>
    </row>
    <row r="15" spans="2:18" ht="12.75">
      <c r="B15" s="494"/>
      <c r="C15" s="217" t="s">
        <v>602</v>
      </c>
      <c r="D15" s="217"/>
      <c r="E15" s="355" t="s">
        <v>437</v>
      </c>
      <c r="F15" s="354">
        <f>SUM(F18:F21)</f>
        <v>66000000</v>
      </c>
      <c r="G15" s="354">
        <f aca="true" t="shared" si="1" ref="G15:R15">SUM(G18:G21)</f>
        <v>33000000</v>
      </c>
      <c r="H15" s="354">
        <f t="shared" si="1"/>
        <v>33000000</v>
      </c>
      <c r="I15" s="354">
        <f t="shared" si="1"/>
        <v>0</v>
      </c>
      <c r="J15" s="354">
        <f t="shared" si="1"/>
        <v>0</v>
      </c>
      <c r="K15" s="354">
        <f t="shared" si="1"/>
        <v>0</v>
      </c>
      <c r="L15" s="354">
        <f t="shared" si="1"/>
        <v>0</v>
      </c>
      <c r="M15" s="199">
        <f t="shared" si="1"/>
        <v>0</v>
      </c>
      <c r="N15" s="199">
        <f t="shared" si="1"/>
        <v>0</v>
      </c>
      <c r="O15" s="199">
        <f t="shared" si="1"/>
        <v>0</v>
      </c>
      <c r="P15" s="199">
        <f t="shared" si="1"/>
        <v>0</v>
      </c>
      <c r="Q15" s="199">
        <f t="shared" si="1"/>
        <v>0</v>
      </c>
      <c r="R15" s="199">
        <f t="shared" si="1"/>
        <v>0</v>
      </c>
    </row>
    <row r="16" spans="2:18" ht="12.75">
      <c r="B16" s="494"/>
      <c r="C16" s="217"/>
      <c r="D16" s="217"/>
      <c r="E16" s="218"/>
      <c r="F16" s="224">
        <f aca="true" t="shared" si="2" ref="F16:F21">SUM(G16:H16)</f>
        <v>0</v>
      </c>
      <c r="G16" s="219"/>
      <c r="H16" s="219"/>
      <c r="I16" s="217">
        <f aca="true" t="shared" si="3" ref="I16:I21">J16+N16</f>
        <v>0</v>
      </c>
      <c r="J16" s="217">
        <f aca="true" t="shared" si="4" ref="J16:J21">SUM(K16:M16)</f>
        <v>0</v>
      </c>
      <c r="K16" s="217"/>
      <c r="L16" s="217"/>
      <c r="M16" s="219"/>
      <c r="N16" s="217">
        <f>SUM(O16:R16)</f>
        <v>0</v>
      </c>
      <c r="O16" s="217"/>
      <c r="P16" s="217"/>
      <c r="Q16" s="217"/>
      <c r="R16" s="219"/>
    </row>
    <row r="17" spans="2:18" ht="12.75">
      <c r="B17" s="494"/>
      <c r="C17" s="217"/>
      <c r="D17" s="217"/>
      <c r="E17" s="218"/>
      <c r="F17" s="224">
        <f t="shared" si="2"/>
        <v>0</v>
      </c>
      <c r="G17" s="219"/>
      <c r="H17" s="219"/>
      <c r="I17" s="217">
        <f t="shared" si="3"/>
        <v>0</v>
      </c>
      <c r="J17" s="217">
        <f t="shared" si="4"/>
        <v>0</v>
      </c>
      <c r="K17" s="217"/>
      <c r="L17" s="217"/>
      <c r="M17" s="219"/>
      <c r="N17" s="217">
        <f>SUM(O17:R17)</f>
        <v>0</v>
      </c>
      <c r="O17" s="217"/>
      <c r="P17" s="217"/>
      <c r="Q17" s="217"/>
      <c r="R17" s="219"/>
    </row>
    <row r="18" spans="2:18" ht="12.75">
      <c r="B18" s="494"/>
      <c r="C18" s="356" t="s">
        <v>379</v>
      </c>
      <c r="D18" s="357"/>
      <c r="E18" s="357"/>
      <c r="F18" s="358">
        <f t="shared" si="2"/>
        <v>0</v>
      </c>
      <c r="G18" s="359"/>
      <c r="H18" s="359"/>
      <c r="I18" s="356">
        <f t="shared" si="3"/>
        <v>0</v>
      </c>
      <c r="J18" s="356">
        <f t="shared" si="4"/>
        <v>0</v>
      </c>
      <c r="K18" s="357"/>
      <c r="L18" s="357"/>
      <c r="M18" s="360"/>
      <c r="N18" s="356">
        <f>SUM(O18:R18)</f>
        <v>0</v>
      </c>
      <c r="O18" s="357"/>
      <c r="P18" s="357"/>
      <c r="Q18" s="357"/>
      <c r="R18" s="360"/>
    </row>
    <row r="19" spans="2:18" ht="11.25">
      <c r="B19" s="494"/>
      <c r="C19" s="217" t="s">
        <v>566</v>
      </c>
      <c r="D19" s="220"/>
      <c r="E19" s="220"/>
      <c r="F19" s="354">
        <f t="shared" si="2"/>
        <v>7310000</v>
      </c>
      <c r="G19" s="219">
        <v>3655000</v>
      </c>
      <c r="H19" s="219">
        <v>3655000</v>
      </c>
      <c r="I19" s="217">
        <f t="shared" si="3"/>
        <v>0</v>
      </c>
      <c r="J19" s="217">
        <f t="shared" si="4"/>
        <v>0</v>
      </c>
      <c r="K19" s="220"/>
      <c r="L19" s="220"/>
      <c r="M19" s="220"/>
      <c r="N19" s="220"/>
      <c r="O19" s="220"/>
      <c r="P19" s="220"/>
      <c r="Q19" s="220"/>
      <c r="R19" s="220"/>
    </row>
    <row r="20" spans="2:18" ht="11.25">
      <c r="B20" s="494"/>
      <c r="C20" s="217" t="s">
        <v>651</v>
      </c>
      <c r="D20" s="220"/>
      <c r="E20" s="220"/>
      <c r="F20" s="354">
        <f t="shared" si="2"/>
        <v>13300000</v>
      </c>
      <c r="G20" s="219">
        <v>6650000</v>
      </c>
      <c r="H20" s="219">
        <v>6650000</v>
      </c>
      <c r="I20" s="217">
        <f t="shared" si="3"/>
        <v>0</v>
      </c>
      <c r="J20" s="217">
        <f t="shared" si="4"/>
        <v>0</v>
      </c>
      <c r="K20" s="220"/>
      <c r="L20" s="217"/>
      <c r="M20" s="220"/>
      <c r="N20" s="220"/>
      <c r="O20" s="217"/>
      <c r="P20" s="220"/>
      <c r="Q20" s="220"/>
      <c r="R20" s="220"/>
    </row>
    <row r="21" spans="2:18" ht="11.25">
      <c r="B21" s="494"/>
      <c r="C21" s="217" t="s">
        <v>435</v>
      </c>
      <c r="D21" s="220"/>
      <c r="E21" s="220"/>
      <c r="F21" s="354">
        <f t="shared" si="2"/>
        <v>45390000</v>
      </c>
      <c r="G21" s="219">
        <f>23195000-500000</f>
        <v>22695000</v>
      </c>
      <c r="H21" s="219">
        <f>23195000-500000</f>
        <v>22695000</v>
      </c>
      <c r="I21" s="217">
        <f t="shared" si="3"/>
        <v>0</v>
      </c>
      <c r="J21" s="217">
        <f t="shared" si="4"/>
        <v>0</v>
      </c>
      <c r="K21" s="220"/>
      <c r="L21" s="217"/>
      <c r="M21" s="220"/>
      <c r="N21" s="220"/>
      <c r="O21" s="217"/>
      <c r="P21" s="220"/>
      <c r="Q21" s="220"/>
      <c r="R21" s="220"/>
    </row>
    <row r="22" spans="2:18" ht="24" customHeight="1">
      <c r="B22" s="425"/>
      <c r="C22" s="216" t="s">
        <v>601</v>
      </c>
      <c r="D22" s="495" t="s">
        <v>91</v>
      </c>
      <c r="E22" s="495"/>
      <c r="F22" s="495"/>
      <c r="G22" s="495"/>
      <c r="H22" s="495"/>
      <c r="I22" s="495"/>
      <c r="J22" s="495"/>
      <c r="K22" s="495"/>
      <c r="L22" s="495"/>
      <c r="M22" s="495"/>
      <c r="N22" s="495"/>
      <c r="O22" s="495"/>
      <c r="P22" s="495"/>
      <c r="Q22" s="495"/>
      <c r="R22" s="495"/>
    </row>
    <row r="23" spans="2:18" ht="11.25">
      <c r="B23" s="425"/>
      <c r="C23" s="217" t="s">
        <v>602</v>
      </c>
      <c r="D23" s="217"/>
      <c r="E23" s="355" t="s">
        <v>437</v>
      </c>
      <c r="F23" s="354">
        <f>SUM(F27:F31)</f>
        <v>21151250</v>
      </c>
      <c r="G23" s="354">
        <f aca="true" t="shared" si="5" ref="G23:R23">SUM(G27:G31)</f>
        <v>8639174</v>
      </c>
      <c r="H23" s="354">
        <f t="shared" si="5"/>
        <v>12512076</v>
      </c>
      <c r="I23" s="354">
        <f t="shared" si="5"/>
        <v>215000</v>
      </c>
      <c r="J23" s="354">
        <f t="shared" si="5"/>
        <v>89096</v>
      </c>
      <c r="K23" s="354">
        <f t="shared" si="5"/>
        <v>0</v>
      </c>
      <c r="L23" s="354">
        <f t="shared" si="5"/>
        <v>0</v>
      </c>
      <c r="M23" s="354">
        <f t="shared" si="5"/>
        <v>89096</v>
      </c>
      <c r="N23" s="354">
        <f t="shared" si="5"/>
        <v>125904</v>
      </c>
      <c r="O23" s="354">
        <f t="shared" si="5"/>
        <v>0</v>
      </c>
      <c r="P23" s="354">
        <f t="shared" si="5"/>
        <v>0</v>
      </c>
      <c r="Q23" s="354">
        <f t="shared" si="5"/>
        <v>0</v>
      </c>
      <c r="R23" s="354">
        <f t="shared" si="5"/>
        <v>125904</v>
      </c>
    </row>
    <row r="24" spans="2:18" ht="12.75">
      <c r="B24" s="425"/>
      <c r="C24" s="217"/>
      <c r="D24" s="217"/>
      <c r="E24" s="218"/>
      <c r="F24" s="224">
        <f aca="true" t="shared" si="6" ref="F24:F31">SUM(G24:H24)</f>
        <v>0</v>
      </c>
      <c r="G24" s="219"/>
      <c r="H24" s="219"/>
      <c r="I24" s="217">
        <f aca="true" t="shared" si="7" ref="I24:I31">J24+N24</f>
        <v>0</v>
      </c>
      <c r="J24" s="217">
        <f aca="true" t="shared" si="8" ref="J24:J31">SUM(K24:M24)</f>
        <v>0</v>
      </c>
      <c r="K24" s="217"/>
      <c r="L24" s="217"/>
      <c r="M24" s="219"/>
      <c r="N24" s="217">
        <f>SUM(O24:R24)</f>
        <v>0</v>
      </c>
      <c r="O24" s="217"/>
      <c r="P24" s="217"/>
      <c r="Q24" s="217"/>
      <c r="R24" s="219"/>
    </row>
    <row r="25" spans="2:18" ht="12.75">
      <c r="B25" s="425"/>
      <c r="C25" s="217"/>
      <c r="D25" s="217"/>
      <c r="E25" s="218"/>
      <c r="F25" s="224">
        <f t="shared" si="6"/>
        <v>0</v>
      </c>
      <c r="G25" s="219"/>
      <c r="H25" s="219"/>
      <c r="I25" s="217">
        <f t="shared" si="7"/>
        <v>0</v>
      </c>
      <c r="J25" s="217">
        <f t="shared" si="8"/>
        <v>0</v>
      </c>
      <c r="K25" s="217"/>
      <c r="L25" s="217"/>
      <c r="M25" s="219"/>
      <c r="N25" s="217">
        <f>SUM(O25:R25)</f>
        <v>0</v>
      </c>
      <c r="O25" s="217"/>
      <c r="P25" s="217"/>
      <c r="Q25" s="217"/>
      <c r="R25" s="219"/>
    </row>
    <row r="26" spans="2:18" ht="12.75">
      <c r="B26" s="425"/>
      <c r="C26" s="356" t="s">
        <v>379</v>
      </c>
      <c r="D26" s="357"/>
      <c r="E26" s="357"/>
      <c r="F26" s="358">
        <f t="shared" si="6"/>
        <v>215000</v>
      </c>
      <c r="G26" s="359">
        <f>SUM(G27:G28)</f>
        <v>89096</v>
      </c>
      <c r="H26" s="359">
        <f>SUM(H27:H28)</f>
        <v>125904</v>
      </c>
      <c r="I26" s="356">
        <f t="shared" si="7"/>
        <v>215000</v>
      </c>
      <c r="J26" s="356">
        <f t="shared" si="8"/>
        <v>89096</v>
      </c>
      <c r="K26" s="359">
        <f>SUM(K27:K28)</f>
        <v>0</v>
      </c>
      <c r="L26" s="359">
        <f>SUM(L27:L28)</f>
        <v>0</v>
      </c>
      <c r="M26" s="359">
        <f>SUM(M27:M28)</f>
        <v>89096</v>
      </c>
      <c r="N26" s="356">
        <f>SUM(O26:R26)</f>
        <v>125904</v>
      </c>
      <c r="O26" s="359">
        <f>SUM(O27:O28)</f>
        <v>0</v>
      </c>
      <c r="P26" s="359">
        <f>SUM(P27:P28)</f>
        <v>0</v>
      </c>
      <c r="Q26" s="359">
        <f>SUM(Q27:Q28)</f>
        <v>0</v>
      </c>
      <c r="R26" s="359">
        <f>SUM(R27:R28)</f>
        <v>125904</v>
      </c>
    </row>
    <row r="27" spans="2:18" ht="12.75">
      <c r="B27" s="425"/>
      <c r="C27" s="426"/>
      <c r="D27" s="427"/>
      <c r="E27" s="427">
        <v>6058</v>
      </c>
      <c r="F27" s="358">
        <f t="shared" si="6"/>
        <v>0</v>
      </c>
      <c r="G27" s="428"/>
      <c r="H27" s="428"/>
      <c r="I27" s="356">
        <f t="shared" si="7"/>
        <v>0</v>
      </c>
      <c r="J27" s="356">
        <f t="shared" si="8"/>
        <v>0</v>
      </c>
      <c r="K27" s="427"/>
      <c r="L27" s="427"/>
      <c r="M27" s="429"/>
      <c r="N27" s="356">
        <f>SUM(O27:R27)</f>
        <v>0</v>
      </c>
      <c r="O27" s="427"/>
      <c r="P27" s="427"/>
      <c r="Q27" s="427"/>
      <c r="R27" s="429"/>
    </row>
    <row r="28" spans="2:18" ht="12.75">
      <c r="B28" s="425"/>
      <c r="C28" s="426"/>
      <c r="D28" s="427"/>
      <c r="E28" s="427">
        <v>6059</v>
      </c>
      <c r="F28" s="358">
        <f t="shared" si="6"/>
        <v>215000</v>
      </c>
      <c r="G28" s="428">
        <f>215000-125904</f>
        <v>89096</v>
      </c>
      <c r="H28" s="428">
        <v>125904</v>
      </c>
      <c r="I28" s="356">
        <f t="shared" si="7"/>
        <v>215000</v>
      </c>
      <c r="J28" s="356">
        <f t="shared" si="8"/>
        <v>89096</v>
      </c>
      <c r="K28" s="427"/>
      <c r="L28" s="427"/>
      <c r="M28" s="429">
        <f>215000-125904</f>
        <v>89096</v>
      </c>
      <c r="N28" s="356">
        <f>SUM(O28:R28)</f>
        <v>125904</v>
      </c>
      <c r="O28" s="427"/>
      <c r="P28" s="427"/>
      <c r="Q28" s="427"/>
      <c r="R28" s="429">
        <v>125904</v>
      </c>
    </row>
    <row r="29" spans="2:18" ht="11.25">
      <c r="B29" s="425"/>
      <c r="C29" s="217" t="s">
        <v>566</v>
      </c>
      <c r="D29" s="220"/>
      <c r="E29" s="220"/>
      <c r="F29" s="354">
        <f t="shared" si="6"/>
        <v>1250000</v>
      </c>
      <c r="G29" s="219">
        <v>1250000</v>
      </c>
      <c r="H29" s="219"/>
      <c r="I29" s="217">
        <f t="shared" si="7"/>
        <v>0</v>
      </c>
      <c r="J29" s="217">
        <f t="shared" si="8"/>
        <v>0</v>
      </c>
      <c r="K29" s="220"/>
      <c r="L29" s="220"/>
      <c r="M29" s="220"/>
      <c r="N29" s="220"/>
      <c r="O29" s="220"/>
      <c r="P29" s="220"/>
      <c r="Q29" s="220"/>
      <c r="R29" s="220"/>
    </row>
    <row r="30" spans="2:18" ht="11.25">
      <c r="B30" s="425"/>
      <c r="C30" s="217" t="s">
        <v>651</v>
      </c>
      <c r="D30" s="220"/>
      <c r="E30" s="220"/>
      <c r="F30" s="354">
        <f t="shared" si="6"/>
        <v>9843124</v>
      </c>
      <c r="G30" s="219">
        <v>3650038</v>
      </c>
      <c r="H30" s="219">
        <v>6193086</v>
      </c>
      <c r="I30" s="217">
        <f t="shared" si="7"/>
        <v>0</v>
      </c>
      <c r="J30" s="217">
        <f t="shared" si="8"/>
        <v>0</v>
      </c>
      <c r="K30" s="220"/>
      <c r="L30" s="217"/>
      <c r="M30" s="220"/>
      <c r="N30" s="220"/>
      <c r="O30" s="217"/>
      <c r="P30" s="220"/>
      <c r="Q30" s="220"/>
      <c r="R30" s="220"/>
    </row>
    <row r="31" spans="2:18" ht="11.25">
      <c r="B31" s="425"/>
      <c r="C31" s="217" t="s">
        <v>92</v>
      </c>
      <c r="D31" s="220"/>
      <c r="E31" s="220"/>
      <c r="F31" s="354">
        <f t="shared" si="6"/>
        <v>9843126</v>
      </c>
      <c r="G31" s="219">
        <v>3650040</v>
      </c>
      <c r="H31" s="219">
        <v>6193086</v>
      </c>
      <c r="I31" s="217">
        <f t="shared" si="7"/>
        <v>0</v>
      </c>
      <c r="J31" s="217">
        <f t="shared" si="8"/>
        <v>0</v>
      </c>
      <c r="K31" s="220"/>
      <c r="L31" s="217"/>
      <c r="M31" s="220"/>
      <c r="N31" s="220"/>
      <c r="O31" s="217"/>
      <c r="P31" s="220"/>
      <c r="Q31" s="220"/>
      <c r="R31" s="220"/>
    </row>
    <row r="32" spans="2:18" s="67" customFormat="1" ht="11.25">
      <c r="B32" s="51">
        <v>2</v>
      </c>
      <c r="C32" s="39" t="s">
        <v>605</v>
      </c>
      <c r="D32" s="507" t="s">
        <v>556</v>
      </c>
      <c r="E32" s="508"/>
      <c r="F32" s="291">
        <f>F37+F52</f>
        <v>2200240</v>
      </c>
      <c r="G32" s="291">
        <f aca="true" t="shared" si="9" ref="G32:R32">G37+G52</f>
        <v>330036</v>
      </c>
      <c r="H32" s="291">
        <f t="shared" si="9"/>
        <v>1870204</v>
      </c>
      <c r="I32" s="291">
        <f t="shared" si="9"/>
        <v>1187280</v>
      </c>
      <c r="J32" s="291">
        <f t="shared" si="9"/>
        <v>888987</v>
      </c>
      <c r="K32" s="291">
        <f t="shared" si="9"/>
        <v>0</v>
      </c>
      <c r="L32" s="291">
        <f t="shared" si="9"/>
        <v>0</v>
      </c>
      <c r="M32" s="291">
        <f t="shared" si="9"/>
        <v>888987</v>
      </c>
      <c r="N32" s="291">
        <f t="shared" si="9"/>
        <v>298293</v>
      </c>
      <c r="O32" s="291">
        <f t="shared" si="9"/>
        <v>0</v>
      </c>
      <c r="P32" s="291">
        <f t="shared" si="9"/>
        <v>0</v>
      </c>
      <c r="Q32" s="291">
        <f t="shared" si="9"/>
        <v>0</v>
      </c>
      <c r="R32" s="291">
        <f t="shared" si="9"/>
        <v>298293</v>
      </c>
    </row>
    <row r="33" spans="2:18" ht="15.75" customHeight="1">
      <c r="B33" s="494" t="s">
        <v>606</v>
      </c>
      <c r="C33" s="215" t="s">
        <v>598</v>
      </c>
      <c r="D33" s="497" t="s">
        <v>448</v>
      </c>
      <c r="E33" s="498"/>
      <c r="F33" s="498"/>
      <c r="G33" s="498"/>
      <c r="H33" s="498"/>
      <c r="I33" s="498"/>
      <c r="J33" s="498"/>
      <c r="K33" s="498"/>
      <c r="L33" s="498"/>
      <c r="M33" s="498"/>
      <c r="N33" s="498"/>
      <c r="O33" s="498"/>
      <c r="P33" s="498"/>
      <c r="Q33" s="498"/>
      <c r="R33" s="499"/>
    </row>
    <row r="34" spans="2:18" ht="12.75" customHeight="1">
      <c r="B34" s="494"/>
      <c r="C34" s="50" t="s">
        <v>599</v>
      </c>
      <c r="D34" s="500"/>
      <c r="E34" s="501"/>
      <c r="F34" s="501"/>
      <c r="G34" s="501"/>
      <c r="H34" s="501"/>
      <c r="I34" s="501"/>
      <c r="J34" s="501"/>
      <c r="K34" s="501"/>
      <c r="L34" s="501"/>
      <c r="M34" s="501"/>
      <c r="N34" s="501"/>
      <c r="O34" s="501"/>
      <c r="P34" s="501"/>
      <c r="Q34" s="501"/>
      <c r="R34" s="502"/>
    </row>
    <row r="35" spans="2:18" ht="12.75" customHeight="1">
      <c r="B35" s="494"/>
      <c r="C35" s="50" t="s">
        <v>600</v>
      </c>
      <c r="D35" s="500"/>
      <c r="E35" s="501"/>
      <c r="F35" s="501"/>
      <c r="G35" s="501"/>
      <c r="H35" s="501"/>
      <c r="I35" s="501"/>
      <c r="J35" s="501"/>
      <c r="K35" s="501"/>
      <c r="L35" s="501"/>
      <c r="M35" s="501"/>
      <c r="N35" s="501"/>
      <c r="O35" s="501"/>
      <c r="P35" s="501"/>
      <c r="Q35" s="501"/>
      <c r="R35" s="502"/>
    </row>
    <row r="36" spans="2:18" ht="12.75" customHeight="1">
      <c r="B36" s="494"/>
      <c r="C36" s="216" t="s">
        <v>601</v>
      </c>
      <c r="D36" s="503"/>
      <c r="E36" s="504"/>
      <c r="F36" s="504"/>
      <c r="G36" s="504"/>
      <c r="H36" s="504"/>
      <c r="I36" s="504"/>
      <c r="J36" s="504"/>
      <c r="K36" s="504"/>
      <c r="L36" s="504"/>
      <c r="M36" s="504"/>
      <c r="N36" s="504"/>
      <c r="O36" s="504"/>
      <c r="P36" s="504"/>
      <c r="Q36" s="504"/>
      <c r="R36" s="505"/>
    </row>
    <row r="37" spans="2:18" s="223" customFormat="1" ht="12.75">
      <c r="B37" s="494"/>
      <c r="C37" s="39" t="s">
        <v>602</v>
      </c>
      <c r="D37" s="39"/>
      <c r="E37" s="225" t="s">
        <v>459</v>
      </c>
      <c r="F37" s="224">
        <f>F44+F45</f>
        <v>200240</v>
      </c>
      <c r="G37" s="224">
        <f aca="true" t="shared" si="10" ref="G37:R37">G44+G45</f>
        <v>30036</v>
      </c>
      <c r="H37" s="224">
        <f t="shared" si="10"/>
        <v>170204</v>
      </c>
      <c r="I37" s="224">
        <f t="shared" si="10"/>
        <v>173216</v>
      </c>
      <c r="J37" s="224">
        <f t="shared" si="10"/>
        <v>27032</v>
      </c>
      <c r="K37" s="224">
        <f t="shared" si="10"/>
        <v>0</v>
      </c>
      <c r="L37" s="224">
        <f t="shared" si="10"/>
        <v>0</v>
      </c>
      <c r="M37" s="224">
        <f t="shared" si="10"/>
        <v>27032</v>
      </c>
      <c r="N37" s="224">
        <f t="shared" si="10"/>
        <v>146184</v>
      </c>
      <c r="O37" s="224">
        <f t="shared" si="10"/>
        <v>0</v>
      </c>
      <c r="P37" s="224">
        <f t="shared" si="10"/>
        <v>0</v>
      </c>
      <c r="Q37" s="224">
        <f t="shared" si="10"/>
        <v>0</v>
      </c>
      <c r="R37" s="410">
        <f t="shared" si="10"/>
        <v>146184</v>
      </c>
    </row>
    <row r="38" spans="2:18" s="223" customFormat="1" ht="12.75">
      <c r="B38" s="494"/>
      <c r="C38" s="381" t="s">
        <v>449</v>
      </c>
      <c r="D38" s="39"/>
      <c r="E38" s="225" t="s">
        <v>454</v>
      </c>
      <c r="F38" s="224"/>
      <c r="G38" s="224"/>
      <c r="H38" s="224"/>
      <c r="I38" s="224"/>
      <c r="J38" s="224"/>
      <c r="K38" s="224"/>
      <c r="L38" s="224"/>
      <c r="M38" s="224"/>
      <c r="N38" s="224"/>
      <c r="O38" s="224"/>
      <c r="P38" s="224"/>
      <c r="Q38" s="224"/>
      <c r="R38" s="199">
        <f>2!G469</f>
        <v>74880</v>
      </c>
    </row>
    <row r="39" spans="2:18" s="223" customFormat="1" ht="22.5">
      <c r="B39" s="494"/>
      <c r="C39" s="381" t="s">
        <v>450</v>
      </c>
      <c r="D39" s="39"/>
      <c r="E39" s="225" t="s">
        <v>455</v>
      </c>
      <c r="F39" s="224"/>
      <c r="G39" s="224"/>
      <c r="H39" s="224"/>
      <c r="I39" s="224"/>
      <c r="J39" s="224"/>
      <c r="K39" s="224"/>
      <c r="L39" s="224"/>
      <c r="M39" s="224"/>
      <c r="N39" s="224"/>
      <c r="O39" s="224"/>
      <c r="P39" s="224"/>
      <c r="Q39" s="224"/>
      <c r="R39" s="199">
        <f>2!I472</f>
        <v>11308</v>
      </c>
    </row>
    <row r="40" spans="2:18" s="223" customFormat="1" ht="12.75">
      <c r="B40" s="494"/>
      <c r="C40" s="381" t="s">
        <v>451</v>
      </c>
      <c r="D40" s="39"/>
      <c r="E40" s="225" t="s">
        <v>456</v>
      </c>
      <c r="F40" s="224"/>
      <c r="G40" s="224"/>
      <c r="H40" s="224"/>
      <c r="I40" s="224"/>
      <c r="J40" s="224"/>
      <c r="K40" s="224"/>
      <c r="L40" s="224"/>
      <c r="M40" s="224"/>
      <c r="N40" s="224"/>
      <c r="O40" s="224"/>
      <c r="P40" s="224"/>
      <c r="Q40" s="224"/>
      <c r="R40" s="199">
        <f>2!I474</f>
        <v>1836</v>
      </c>
    </row>
    <row r="41" spans="2:18" s="223" customFormat="1" ht="22.5">
      <c r="B41" s="494"/>
      <c r="C41" s="381" t="s">
        <v>452</v>
      </c>
      <c r="D41" s="39"/>
      <c r="E41" s="225" t="s">
        <v>457</v>
      </c>
      <c r="F41" s="224"/>
      <c r="G41" s="224"/>
      <c r="H41" s="224"/>
      <c r="I41" s="224"/>
      <c r="J41" s="224"/>
      <c r="K41" s="224"/>
      <c r="L41" s="224"/>
      <c r="M41" s="224"/>
      <c r="N41" s="224"/>
      <c r="O41" s="224"/>
      <c r="P41" s="224"/>
      <c r="Q41" s="224"/>
      <c r="R41" s="199">
        <f>2!L488</f>
        <v>2520</v>
      </c>
    </row>
    <row r="42" spans="2:18" s="223" customFormat="1" ht="33.75">
      <c r="B42" s="494"/>
      <c r="C42" s="381" t="s">
        <v>453</v>
      </c>
      <c r="D42" s="39"/>
      <c r="E42" s="225" t="s">
        <v>458</v>
      </c>
      <c r="F42" s="224"/>
      <c r="G42" s="224"/>
      <c r="H42" s="224"/>
      <c r="I42" s="224"/>
      <c r="J42" s="224"/>
      <c r="K42" s="224"/>
      <c r="L42" s="224"/>
      <c r="M42" s="224"/>
      <c r="N42" s="224"/>
      <c r="O42" s="224"/>
      <c r="P42" s="224"/>
      <c r="Q42" s="224"/>
      <c r="R42" s="199">
        <f>2!L493</f>
        <v>55640</v>
      </c>
    </row>
    <row r="43" spans="2:18" s="223" customFormat="1" ht="12.75">
      <c r="B43" s="494"/>
      <c r="C43" s="39"/>
      <c r="D43" s="39"/>
      <c r="E43" s="225"/>
      <c r="F43" s="224"/>
      <c r="G43" s="221"/>
      <c r="H43" s="221"/>
      <c r="I43" s="217"/>
      <c r="J43" s="39"/>
      <c r="K43" s="221"/>
      <c r="L43" s="221"/>
      <c r="M43" s="221"/>
      <c r="N43" s="39"/>
      <c r="O43" s="221"/>
      <c r="P43" s="221"/>
      <c r="Q43" s="221"/>
      <c r="R43" s="221"/>
    </row>
    <row r="44" spans="2:18" s="222" customFormat="1" ht="11.25">
      <c r="B44" s="494"/>
      <c r="C44" s="217" t="s">
        <v>379</v>
      </c>
      <c r="D44" s="220"/>
      <c r="E44" s="220"/>
      <c r="F44" s="219">
        <f>G44+H44</f>
        <v>180216</v>
      </c>
      <c r="G44" s="219">
        <v>27032</v>
      </c>
      <c r="H44" s="219">
        <v>153184</v>
      </c>
      <c r="I44" s="219">
        <f>J44+N44</f>
        <v>173216</v>
      </c>
      <c r="J44" s="219">
        <f>K44+L44+M44</f>
        <v>27032</v>
      </c>
      <c r="K44" s="219"/>
      <c r="L44" s="219"/>
      <c r="M44" s="219">
        <v>27032</v>
      </c>
      <c r="N44" s="219">
        <f>O44+P44+Q44+R44</f>
        <v>146184</v>
      </c>
      <c r="O44" s="219"/>
      <c r="P44" s="219"/>
      <c r="Q44" s="219"/>
      <c r="R44" s="219">
        <f>SUM(R38:R42)</f>
        <v>146184</v>
      </c>
    </row>
    <row r="45" spans="2:18" s="222" customFormat="1" ht="11.25">
      <c r="B45" s="494"/>
      <c r="C45" s="217" t="s">
        <v>566</v>
      </c>
      <c r="D45" s="220"/>
      <c r="E45" s="220"/>
      <c r="F45" s="219">
        <f>G45+H45</f>
        <v>20024</v>
      </c>
      <c r="G45" s="217">
        <v>3004</v>
      </c>
      <c r="H45" s="217">
        <v>17020</v>
      </c>
      <c r="I45" s="219"/>
      <c r="J45" s="219"/>
      <c r="K45" s="220"/>
      <c r="L45" s="220"/>
      <c r="M45" s="380"/>
      <c r="N45" s="219"/>
      <c r="O45" s="220"/>
      <c r="P45" s="220"/>
      <c r="Q45" s="220"/>
      <c r="R45" s="220"/>
    </row>
    <row r="46" spans="2:18" s="222" customFormat="1" ht="11.25">
      <c r="B46" s="494"/>
      <c r="C46" s="217" t="s">
        <v>651</v>
      </c>
      <c r="D46" s="220"/>
      <c r="E46" s="220"/>
      <c r="F46" s="217"/>
      <c r="G46" s="217"/>
      <c r="H46" s="217"/>
      <c r="I46" s="220"/>
      <c r="J46" s="220"/>
      <c r="K46" s="220"/>
      <c r="L46" s="220"/>
      <c r="M46" s="220"/>
      <c r="N46" s="220"/>
      <c r="O46" s="220"/>
      <c r="P46" s="220"/>
      <c r="Q46" s="220"/>
      <c r="R46" s="220"/>
    </row>
    <row r="47" spans="2:18" s="222" customFormat="1" ht="11.25">
      <c r="B47" s="494"/>
      <c r="C47" s="217" t="s">
        <v>436</v>
      </c>
      <c r="D47" s="220"/>
      <c r="E47" s="220"/>
      <c r="F47" s="217"/>
      <c r="G47" s="217"/>
      <c r="H47" s="217"/>
      <c r="I47" s="220"/>
      <c r="J47" s="220"/>
      <c r="K47" s="220"/>
      <c r="L47" s="220"/>
      <c r="M47" s="220"/>
      <c r="N47" s="220"/>
      <c r="O47" s="220"/>
      <c r="P47" s="220"/>
      <c r="Q47" s="220"/>
      <c r="R47" s="220"/>
    </row>
    <row r="48" spans="2:18" s="222" customFormat="1" ht="11.25" customHeight="1">
      <c r="B48" s="448" t="s">
        <v>607</v>
      </c>
      <c r="C48" s="215" t="s">
        <v>598</v>
      </c>
      <c r="D48" s="497" t="s">
        <v>98</v>
      </c>
      <c r="E48" s="498"/>
      <c r="F48" s="498"/>
      <c r="G48" s="498"/>
      <c r="H48" s="498"/>
      <c r="I48" s="498"/>
      <c r="J48" s="498"/>
      <c r="K48" s="498"/>
      <c r="L48" s="498"/>
      <c r="M48" s="498"/>
      <c r="N48" s="498"/>
      <c r="O48" s="498"/>
      <c r="P48" s="498"/>
      <c r="Q48" s="498"/>
      <c r="R48" s="499"/>
    </row>
    <row r="49" spans="2:18" s="222" customFormat="1" ht="11.25" customHeight="1">
      <c r="B49" s="448"/>
      <c r="C49" s="50" t="s">
        <v>599</v>
      </c>
      <c r="D49" s="500"/>
      <c r="E49" s="501"/>
      <c r="F49" s="501"/>
      <c r="G49" s="501"/>
      <c r="H49" s="501"/>
      <c r="I49" s="501"/>
      <c r="J49" s="501"/>
      <c r="K49" s="501"/>
      <c r="L49" s="501"/>
      <c r="M49" s="501"/>
      <c r="N49" s="501"/>
      <c r="O49" s="501"/>
      <c r="P49" s="501"/>
      <c r="Q49" s="501"/>
      <c r="R49" s="502"/>
    </row>
    <row r="50" spans="2:18" s="222" customFormat="1" ht="11.25" customHeight="1">
      <c r="B50" s="448"/>
      <c r="C50" s="50" t="s">
        <v>600</v>
      </c>
      <c r="D50" s="500"/>
      <c r="E50" s="501"/>
      <c r="F50" s="501"/>
      <c r="G50" s="501"/>
      <c r="H50" s="501"/>
      <c r="I50" s="501"/>
      <c r="J50" s="501"/>
      <c r="K50" s="501"/>
      <c r="L50" s="501"/>
      <c r="M50" s="501"/>
      <c r="N50" s="501"/>
      <c r="O50" s="501"/>
      <c r="P50" s="501"/>
      <c r="Q50" s="501"/>
      <c r="R50" s="502"/>
    </row>
    <row r="51" spans="2:18" s="222" customFormat="1" ht="11.25" customHeight="1">
      <c r="B51" s="448"/>
      <c r="C51" s="216" t="s">
        <v>601</v>
      </c>
      <c r="D51" s="503"/>
      <c r="E51" s="504"/>
      <c r="F51" s="504"/>
      <c r="G51" s="504"/>
      <c r="H51" s="504"/>
      <c r="I51" s="504"/>
      <c r="J51" s="504"/>
      <c r="K51" s="504"/>
      <c r="L51" s="504"/>
      <c r="M51" s="504"/>
      <c r="N51" s="504"/>
      <c r="O51" s="504"/>
      <c r="P51" s="504"/>
      <c r="Q51" s="504"/>
      <c r="R51" s="505"/>
    </row>
    <row r="52" spans="2:18" s="222" customFormat="1" ht="12.75">
      <c r="B52" s="448"/>
      <c r="C52" s="39" t="s">
        <v>602</v>
      </c>
      <c r="D52" s="39"/>
      <c r="E52" s="225" t="s">
        <v>99</v>
      </c>
      <c r="F52" s="224">
        <f>F73+F74</f>
        <v>2000000</v>
      </c>
      <c r="G52" s="224">
        <f aca="true" t="shared" si="11" ref="G52:R52">G73+G74</f>
        <v>300000</v>
      </c>
      <c r="H52" s="224">
        <f t="shared" si="11"/>
        <v>1700000</v>
      </c>
      <c r="I52" s="224">
        <f t="shared" si="11"/>
        <v>1014064</v>
      </c>
      <c r="J52" s="224">
        <f t="shared" si="11"/>
        <v>861955</v>
      </c>
      <c r="K52" s="224">
        <f t="shared" si="11"/>
        <v>0</v>
      </c>
      <c r="L52" s="224">
        <f t="shared" si="11"/>
        <v>0</v>
      </c>
      <c r="M52" s="224">
        <f t="shared" si="11"/>
        <v>861955</v>
      </c>
      <c r="N52" s="224">
        <f t="shared" si="11"/>
        <v>152109</v>
      </c>
      <c r="O52" s="224">
        <f t="shared" si="11"/>
        <v>0</v>
      </c>
      <c r="P52" s="224">
        <f t="shared" si="11"/>
        <v>0</v>
      </c>
      <c r="Q52" s="224">
        <f t="shared" si="11"/>
        <v>0</v>
      </c>
      <c r="R52" s="410">
        <f t="shared" si="11"/>
        <v>152109</v>
      </c>
    </row>
    <row r="53" spans="2:18" s="222" customFormat="1" ht="56.25">
      <c r="B53" s="448"/>
      <c r="C53" s="151" t="s">
        <v>95</v>
      </c>
      <c r="D53" s="39"/>
      <c r="E53" s="440">
        <v>2328</v>
      </c>
      <c r="F53" s="224">
        <f>G53+H53</f>
        <v>443838</v>
      </c>
      <c r="G53" s="224">
        <f>R53</f>
        <v>0</v>
      </c>
      <c r="H53" s="410">
        <f>M53</f>
        <v>443838</v>
      </c>
      <c r="I53" s="224"/>
      <c r="J53" s="224"/>
      <c r="K53" s="224"/>
      <c r="L53" s="224"/>
      <c r="M53" s="224">
        <f>2!J497</f>
        <v>443838</v>
      </c>
      <c r="N53" s="224"/>
      <c r="O53" s="224"/>
      <c r="P53" s="224"/>
      <c r="Q53" s="224"/>
      <c r="R53" s="410"/>
    </row>
    <row r="54" spans="2:18" s="222" customFormat="1" ht="56.25">
      <c r="B54" s="448"/>
      <c r="C54" s="151" t="s">
        <v>95</v>
      </c>
      <c r="D54" s="39"/>
      <c r="E54" s="440">
        <v>2329</v>
      </c>
      <c r="F54" s="224">
        <f aca="true" t="shared" si="12" ref="F54:F72">G54+H54</f>
        <v>78324</v>
      </c>
      <c r="G54" s="224">
        <f aca="true" t="shared" si="13" ref="G54:G72">R54</f>
        <v>78324</v>
      </c>
      <c r="H54" s="410">
        <f aca="true" t="shared" si="14" ref="H54:H72">M54</f>
        <v>0</v>
      </c>
      <c r="I54" s="224"/>
      <c r="J54" s="224"/>
      <c r="K54" s="224"/>
      <c r="L54" s="224"/>
      <c r="M54" s="224"/>
      <c r="N54" s="224"/>
      <c r="O54" s="224"/>
      <c r="P54" s="224"/>
      <c r="Q54" s="224"/>
      <c r="R54" s="410">
        <f>2!J498</f>
        <v>78324</v>
      </c>
    </row>
    <row r="55" spans="2:18" s="222" customFormat="1" ht="22.5">
      <c r="B55" s="448"/>
      <c r="C55" s="151" t="s">
        <v>162</v>
      </c>
      <c r="D55" s="39"/>
      <c r="E55" s="436">
        <v>4118</v>
      </c>
      <c r="F55" s="224">
        <f t="shared" si="12"/>
        <v>4432</v>
      </c>
      <c r="G55" s="224">
        <f t="shared" si="13"/>
        <v>0</v>
      </c>
      <c r="H55" s="410">
        <f t="shared" si="14"/>
        <v>4432</v>
      </c>
      <c r="I55" s="224"/>
      <c r="J55" s="224"/>
      <c r="K55" s="224"/>
      <c r="L55" s="224"/>
      <c r="M55" s="224">
        <f>2!I499</f>
        <v>4432</v>
      </c>
      <c r="N55" s="224"/>
      <c r="O55" s="224"/>
      <c r="P55" s="224"/>
      <c r="Q55" s="224"/>
      <c r="R55" s="410"/>
    </row>
    <row r="56" spans="2:18" s="222" customFormat="1" ht="22.5">
      <c r="B56" s="448"/>
      <c r="C56" s="151" t="s">
        <v>162</v>
      </c>
      <c r="D56" s="39"/>
      <c r="E56" s="436">
        <v>4119</v>
      </c>
      <c r="F56" s="224">
        <f t="shared" si="12"/>
        <v>782</v>
      </c>
      <c r="G56" s="224">
        <f t="shared" si="13"/>
        <v>782</v>
      </c>
      <c r="H56" s="410">
        <f t="shared" si="14"/>
        <v>0</v>
      </c>
      <c r="I56" s="224"/>
      <c r="J56" s="224"/>
      <c r="K56" s="224"/>
      <c r="L56" s="224"/>
      <c r="M56" s="224"/>
      <c r="N56" s="224"/>
      <c r="O56" s="224"/>
      <c r="P56" s="224"/>
      <c r="Q56" s="224"/>
      <c r="R56" s="410">
        <f>2!I500</f>
        <v>782</v>
      </c>
    </row>
    <row r="57" spans="2:18" s="222" customFormat="1" ht="12.75">
      <c r="B57" s="448"/>
      <c r="C57" s="151" t="s">
        <v>164</v>
      </c>
      <c r="D57" s="39"/>
      <c r="E57" s="436">
        <v>4128</v>
      </c>
      <c r="F57" s="224">
        <f t="shared" si="12"/>
        <v>715</v>
      </c>
      <c r="G57" s="224">
        <f t="shared" si="13"/>
        <v>0</v>
      </c>
      <c r="H57" s="410">
        <f t="shared" si="14"/>
        <v>715</v>
      </c>
      <c r="I57" s="224"/>
      <c r="J57" s="224"/>
      <c r="K57" s="224"/>
      <c r="L57" s="224"/>
      <c r="M57" s="224">
        <f>2!I501</f>
        <v>715</v>
      </c>
      <c r="N57" s="224"/>
      <c r="O57" s="224"/>
      <c r="P57" s="224"/>
      <c r="Q57" s="224"/>
      <c r="R57" s="410"/>
    </row>
    <row r="58" spans="2:18" s="222" customFormat="1" ht="12.75">
      <c r="B58" s="448"/>
      <c r="C58" s="151" t="s">
        <v>164</v>
      </c>
      <c r="D58" s="39"/>
      <c r="E58" s="436">
        <v>4129</v>
      </c>
      <c r="F58" s="224">
        <f t="shared" si="12"/>
        <v>126</v>
      </c>
      <c r="G58" s="224">
        <f t="shared" si="13"/>
        <v>126</v>
      </c>
      <c r="H58" s="410">
        <f t="shared" si="14"/>
        <v>0</v>
      </c>
      <c r="I58" s="224"/>
      <c r="J58" s="224"/>
      <c r="K58" s="224"/>
      <c r="L58" s="224"/>
      <c r="M58" s="224"/>
      <c r="N58" s="224"/>
      <c r="O58" s="224"/>
      <c r="P58" s="224"/>
      <c r="Q58" s="224"/>
      <c r="R58" s="410">
        <f>2!I502</f>
        <v>126</v>
      </c>
    </row>
    <row r="59" spans="2:18" s="222" customFormat="1" ht="12.75">
      <c r="B59" s="448"/>
      <c r="C59" s="151" t="s">
        <v>104</v>
      </c>
      <c r="D59" s="39"/>
      <c r="E59" s="436">
        <v>4178</v>
      </c>
      <c r="F59" s="224">
        <f t="shared" si="12"/>
        <v>29875</v>
      </c>
      <c r="G59" s="224">
        <f t="shared" si="13"/>
        <v>0</v>
      </c>
      <c r="H59" s="410">
        <f t="shared" si="14"/>
        <v>29875</v>
      </c>
      <c r="I59" s="224"/>
      <c r="J59" s="224"/>
      <c r="K59" s="224"/>
      <c r="L59" s="224"/>
      <c r="M59" s="224">
        <f>2!L503</f>
        <v>29875</v>
      </c>
      <c r="N59" s="224"/>
      <c r="O59" s="224"/>
      <c r="P59" s="224"/>
      <c r="Q59" s="224"/>
      <c r="R59" s="410"/>
    </row>
    <row r="60" spans="2:18" s="222" customFormat="1" ht="12.75">
      <c r="B60" s="448"/>
      <c r="C60" s="151" t="s">
        <v>104</v>
      </c>
      <c r="D60" s="39"/>
      <c r="E60" s="436">
        <v>4179</v>
      </c>
      <c r="F60" s="224">
        <f t="shared" si="12"/>
        <v>5272</v>
      </c>
      <c r="G60" s="224">
        <f t="shared" si="13"/>
        <v>5272</v>
      </c>
      <c r="H60" s="410">
        <f t="shared" si="14"/>
        <v>0</v>
      </c>
      <c r="I60" s="224"/>
      <c r="J60" s="224"/>
      <c r="K60" s="224"/>
      <c r="L60" s="224"/>
      <c r="M60" s="224"/>
      <c r="N60" s="224"/>
      <c r="O60" s="224"/>
      <c r="P60" s="224"/>
      <c r="Q60" s="224"/>
      <c r="R60" s="410">
        <f>2!L504</f>
        <v>5272</v>
      </c>
    </row>
    <row r="61" spans="2:18" s="222" customFormat="1" ht="22.5">
      <c r="B61" s="448"/>
      <c r="C61" s="151" t="s">
        <v>71</v>
      </c>
      <c r="D61" s="39"/>
      <c r="E61" s="436">
        <v>4218</v>
      </c>
      <c r="F61" s="224">
        <f t="shared" si="12"/>
        <v>4505</v>
      </c>
      <c r="G61" s="224">
        <f t="shared" si="13"/>
        <v>0</v>
      </c>
      <c r="H61" s="410">
        <f t="shared" si="14"/>
        <v>4505</v>
      </c>
      <c r="I61" s="224"/>
      <c r="J61" s="224"/>
      <c r="K61" s="224"/>
      <c r="L61" s="224"/>
      <c r="M61" s="224">
        <f>2!L505</f>
        <v>4505</v>
      </c>
      <c r="N61" s="224"/>
      <c r="O61" s="224"/>
      <c r="P61" s="224"/>
      <c r="Q61" s="224"/>
      <c r="R61" s="410"/>
    </row>
    <row r="62" spans="2:18" s="222" customFormat="1" ht="22.5">
      <c r="B62" s="448"/>
      <c r="C62" s="151" t="s">
        <v>71</v>
      </c>
      <c r="D62" s="39"/>
      <c r="E62" s="436">
        <v>4219</v>
      </c>
      <c r="F62" s="224">
        <f t="shared" si="12"/>
        <v>795</v>
      </c>
      <c r="G62" s="224">
        <f t="shared" si="13"/>
        <v>795</v>
      </c>
      <c r="H62" s="410">
        <f t="shared" si="14"/>
        <v>0</v>
      </c>
      <c r="I62" s="224"/>
      <c r="J62" s="224"/>
      <c r="K62" s="224"/>
      <c r="L62" s="224"/>
      <c r="M62" s="224"/>
      <c r="N62" s="224"/>
      <c r="O62" s="224"/>
      <c r="P62" s="224"/>
      <c r="Q62" s="224"/>
      <c r="R62" s="410">
        <f>2!L506</f>
        <v>795</v>
      </c>
    </row>
    <row r="63" spans="2:18" s="222" customFormat="1" ht="22.5">
      <c r="B63" s="448"/>
      <c r="C63" s="151" t="s">
        <v>172</v>
      </c>
      <c r="D63" s="39"/>
      <c r="E63" s="436">
        <v>4248</v>
      </c>
      <c r="F63" s="224">
        <f t="shared" si="12"/>
        <v>340000</v>
      </c>
      <c r="G63" s="224">
        <f t="shared" si="13"/>
        <v>0</v>
      </c>
      <c r="H63" s="410">
        <f t="shared" si="14"/>
        <v>340000</v>
      </c>
      <c r="I63" s="224"/>
      <c r="J63" s="224"/>
      <c r="K63" s="224"/>
      <c r="L63" s="224"/>
      <c r="M63" s="224">
        <f>2!L507</f>
        <v>340000</v>
      </c>
      <c r="N63" s="224"/>
      <c r="O63" s="224"/>
      <c r="P63" s="224"/>
      <c r="Q63" s="224"/>
      <c r="R63" s="410"/>
    </row>
    <row r="64" spans="2:18" s="222" customFormat="1" ht="22.5">
      <c r="B64" s="448"/>
      <c r="C64" s="151" t="s">
        <v>172</v>
      </c>
      <c r="D64" s="39"/>
      <c r="E64" s="436">
        <v>4249</v>
      </c>
      <c r="F64" s="224">
        <f t="shared" si="12"/>
        <v>60000</v>
      </c>
      <c r="G64" s="224">
        <f t="shared" si="13"/>
        <v>60000</v>
      </c>
      <c r="H64" s="410">
        <f t="shared" si="14"/>
        <v>0</v>
      </c>
      <c r="I64" s="224"/>
      <c r="J64" s="224"/>
      <c r="K64" s="224"/>
      <c r="L64" s="224"/>
      <c r="M64" s="224"/>
      <c r="N64" s="224"/>
      <c r="O64" s="224"/>
      <c r="P64" s="224"/>
      <c r="Q64" s="224"/>
      <c r="R64" s="410">
        <f>2!L508</f>
        <v>60000</v>
      </c>
    </row>
    <row r="65" spans="2:18" s="222" customFormat="1" ht="33.75">
      <c r="B65" s="448"/>
      <c r="C65" s="151" t="s">
        <v>166</v>
      </c>
      <c r="D65" s="39"/>
      <c r="E65" s="436">
        <v>4378</v>
      </c>
      <c r="F65" s="224">
        <f t="shared" si="12"/>
        <v>850</v>
      </c>
      <c r="G65" s="224">
        <f t="shared" si="13"/>
        <v>0</v>
      </c>
      <c r="H65" s="410">
        <f t="shared" si="14"/>
        <v>850</v>
      </c>
      <c r="I65" s="224"/>
      <c r="J65" s="224"/>
      <c r="K65" s="224"/>
      <c r="L65" s="224"/>
      <c r="M65" s="224">
        <f>2!L509</f>
        <v>850</v>
      </c>
      <c r="N65" s="224"/>
      <c r="O65" s="224"/>
      <c r="P65" s="224"/>
      <c r="Q65" s="224"/>
      <c r="R65" s="410"/>
    </row>
    <row r="66" spans="2:18" s="222" customFormat="1" ht="33.75">
      <c r="B66" s="448"/>
      <c r="C66" s="151" t="s">
        <v>166</v>
      </c>
      <c r="D66" s="39"/>
      <c r="E66" s="436">
        <v>4379</v>
      </c>
      <c r="F66" s="224">
        <f t="shared" si="12"/>
        <v>150</v>
      </c>
      <c r="G66" s="224">
        <f t="shared" si="13"/>
        <v>150</v>
      </c>
      <c r="H66" s="410">
        <f t="shared" si="14"/>
        <v>0</v>
      </c>
      <c r="I66" s="224"/>
      <c r="J66" s="224"/>
      <c r="K66" s="224"/>
      <c r="L66" s="224"/>
      <c r="M66" s="224"/>
      <c r="N66" s="224"/>
      <c r="O66" s="224"/>
      <c r="P66" s="224"/>
      <c r="Q66" s="224"/>
      <c r="R66" s="410">
        <f>2!L510</f>
        <v>150</v>
      </c>
    </row>
    <row r="67" spans="2:18" s="222" customFormat="1" ht="12.75">
      <c r="B67" s="448"/>
      <c r="C67" s="151" t="s">
        <v>54</v>
      </c>
      <c r="D67" s="39"/>
      <c r="E67" s="436">
        <v>4308</v>
      </c>
      <c r="F67" s="224">
        <f t="shared" si="12"/>
        <v>22987</v>
      </c>
      <c r="G67" s="224">
        <f t="shared" si="13"/>
        <v>0</v>
      </c>
      <c r="H67" s="410">
        <f t="shared" si="14"/>
        <v>22987</v>
      </c>
      <c r="I67" s="224"/>
      <c r="J67" s="224"/>
      <c r="K67" s="224"/>
      <c r="L67" s="224"/>
      <c r="M67" s="224">
        <f>2!L511</f>
        <v>22987</v>
      </c>
      <c r="N67" s="224"/>
      <c r="O67" s="224"/>
      <c r="P67" s="224"/>
      <c r="Q67" s="224"/>
      <c r="R67" s="410"/>
    </row>
    <row r="68" spans="2:18" s="222" customFormat="1" ht="12.75">
      <c r="B68" s="448"/>
      <c r="C68" s="151" t="s">
        <v>54</v>
      </c>
      <c r="D68" s="39"/>
      <c r="E68" s="436">
        <v>4309</v>
      </c>
      <c r="F68" s="224">
        <f t="shared" si="12"/>
        <v>4057</v>
      </c>
      <c r="G68" s="224">
        <f t="shared" si="13"/>
        <v>4057</v>
      </c>
      <c r="H68" s="410">
        <f t="shared" si="14"/>
        <v>0</v>
      </c>
      <c r="I68" s="224"/>
      <c r="J68" s="224"/>
      <c r="K68" s="224"/>
      <c r="L68" s="224"/>
      <c r="M68" s="224"/>
      <c r="N68" s="224"/>
      <c r="O68" s="224"/>
      <c r="P68" s="224"/>
      <c r="Q68" s="224"/>
      <c r="R68" s="410">
        <f>2!L512</f>
        <v>4057</v>
      </c>
    </row>
    <row r="69" spans="2:18" s="222" customFormat="1" ht="45">
      <c r="B69" s="448"/>
      <c r="C69" s="151" t="s">
        <v>107</v>
      </c>
      <c r="D69" s="39"/>
      <c r="E69" s="436">
        <v>4748</v>
      </c>
      <c r="F69" s="224">
        <f t="shared" si="12"/>
        <v>3278</v>
      </c>
      <c r="G69" s="224">
        <f t="shared" si="13"/>
        <v>0</v>
      </c>
      <c r="H69" s="410">
        <f t="shared" si="14"/>
        <v>3278</v>
      </c>
      <c r="I69" s="224"/>
      <c r="J69" s="224"/>
      <c r="K69" s="224"/>
      <c r="L69" s="224"/>
      <c r="M69" s="224">
        <f>2!L513</f>
        <v>3278</v>
      </c>
      <c r="N69" s="224"/>
      <c r="O69" s="224"/>
      <c r="P69" s="224"/>
      <c r="Q69" s="224"/>
      <c r="R69" s="410"/>
    </row>
    <row r="70" spans="2:18" s="222" customFormat="1" ht="45">
      <c r="B70" s="448"/>
      <c r="C70" s="151" t="s">
        <v>107</v>
      </c>
      <c r="D70" s="39"/>
      <c r="E70" s="436">
        <v>4749</v>
      </c>
      <c r="F70" s="224">
        <f t="shared" si="12"/>
        <v>578</v>
      </c>
      <c r="G70" s="224">
        <f t="shared" si="13"/>
        <v>578</v>
      </c>
      <c r="H70" s="410">
        <f t="shared" si="14"/>
        <v>0</v>
      </c>
      <c r="I70" s="224"/>
      <c r="J70" s="224"/>
      <c r="K70" s="224"/>
      <c r="L70" s="224"/>
      <c r="M70" s="224"/>
      <c r="N70" s="224"/>
      <c r="O70" s="224"/>
      <c r="P70" s="224"/>
      <c r="Q70" s="224"/>
      <c r="R70" s="410">
        <f>2!L514</f>
        <v>578</v>
      </c>
    </row>
    <row r="71" spans="2:18" s="222" customFormat="1" ht="33.75">
      <c r="B71" s="448"/>
      <c r="C71" s="151" t="s">
        <v>167</v>
      </c>
      <c r="D71" s="39"/>
      <c r="E71" s="436">
        <v>4758</v>
      </c>
      <c r="F71" s="224">
        <f t="shared" si="12"/>
        <v>11475</v>
      </c>
      <c r="G71" s="224">
        <f t="shared" si="13"/>
        <v>0</v>
      </c>
      <c r="H71" s="410">
        <f t="shared" si="14"/>
        <v>11475</v>
      </c>
      <c r="I71" s="224"/>
      <c r="J71" s="224"/>
      <c r="K71" s="224"/>
      <c r="L71" s="224"/>
      <c r="M71" s="224">
        <f>2!L515</f>
        <v>11475</v>
      </c>
      <c r="N71" s="224"/>
      <c r="O71" s="224"/>
      <c r="P71" s="224"/>
      <c r="Q71" s="224"/>
      <c r="R71" s="410"/>
    </row>
    <row r="72" spans="2:18" s="222" customFormat="1" ht="33.75">
      <c r="B72" s="448"/>
      <c r="C72" s="151" t="s">
        <v>167</v>
      </c>
      <c r="D72" s="39"/>
      <c r="E72" s="436">
        <v>4759</v>
      </c>
      <c r="F72" s="224">
        <f t="shared" si="12"/>
        <v>2025</v>
      </c>
      <c r="G72" s="224">
        <f t="shared" si="13"/>
        <v>2025</v>
      </c>
      <c r="H72" s="410">
        <f t="shared" si="14"/>
        <v>0</v>
      </c>
      <c r="I72" s="224"/>
      <c r="J72" s="224"/>
      <c r="K72" s="224"/>
      <c r="L72" s="224"/>
      <c r="M72" s="224"/>
      <c r="N72" s="224"/>
      <c r="O72" s="224"/>
      <c r="P72" s="224"/>
      <c r="Q72" s="224"/>
      <c r="R72" s="410">
        <f>2!L516</f>
        <v>2025</v>
      </c>
    </row>
    <row r="73" spans="2:18" s="222" customFormat="1" ht="11.25">
      <c r="B73" s="448"/>
      <c r="C73" s="217" t="s">
        <v>379</v>
      </c>
      <c r="D73" s="220"/>
      <c r="E73" s="220"/>
      <c r="F73" s="219">
        <f>G73+H73</f>
        <v>1014064</v>
      </c>
      <c r="G73" s="219">
        <f>SUM(G53:G72)</f>
        <v>152109</v>
      </c>
      <c r="H73" s="219">
        <f>SUM(H53:H72)</f>
        <v>861955</v>
      </c>
      <c r="I73" s="219">
        <f>J73+N73</f>
        <v>1014064</v>
      </c>
      <c r="J73" s="219">
        <f>SUM(K73:M73)</f>
        <v>861955</v>
      </c>
      <c r="K73" s="219">
        <f>SUM(K53:K72)</f>
        <v>0</v>
      </c>
      <c r="L73" s="219">
        <f>SUM(L53:L72)</f>
        <v>0</v>
      </c>
      <c r="M73" s="219">
        <f>SUM(M53:M72)</f>
        <v>861955</v>
      </c>
      <c r="N73" s="219">
        <f>O73+P73+Q73+R73</f>
        <v>152109</v>
      </c>
      <c r="O73" s="219">
        <f>SUM(O53:O72)</f>
        <v>0</v>
      </c>
      <c r="P73" s="219">
        <f>SUM(P53:P72)</f>
        <v>0</v>
      </c>
      <c r="Q73" s="219">
        <f>SUM(Q53:Q72)</f>
        <v>0</v>
      </c>
      <c r="R73" s="219">
        <f>SUM(R53:R72)</f>
        <v>152109</v>
      </c>
    </row>
    <row r="74" spans="2:18" s="222" customFormat="1" ht="11.25">
      <c r="B74" s="448"/>
      <c r="C74" s="217" t="s">
        <v>566</v>
      </c>
      <c r="D74" s="220"/>
      <c r="E74" s="220"/>
      <c r="F74" s="219">
        <f>G74+H74</f>
        <v>985936</v>
      </c>
      <c r="G74" s="219">
        <v>147891</v>
      </c>
      <c r="H74" s="217">
        <v>838045</v>
      </c>
      <c r="I74" s="219"/>
      <c r="J74" s="219"/>
      <c r="K74" s="220"/>
      <c r="L74" s="220"/>
      <c r="M74" s="380"/>
      <c r="N74" s="219"/>
      <c r="O74" s="220"/>
      <c r="P74" s="220"/>
      <c r="Q74" s="220"/>
      <c r="R74" s="220"/>
    </row>
    <row r="75" spans="2:18" s="222" customFormat="1" ht="11.25">
      <c r="B75" s="448"/>
      <c r="C75" s="217"/>
      <c r="D75" s="220"/>
      <c r="E75" s="220"/>
      <c r="F75" s="217"/>
      <c r="G75" s="217"/>
      <c r="H75" s="217"/>
      <c r="I75" s="220"/>
      <c r="J75" s="220"/>
      <c r="K75" s="220"/>
      <c r="L75" s="220"/>
      <c r="M75" s="220"/>
      <c r="N75" s="220"/>
      <c r="O75" s="220"/>
      <c r="P75" s="220"/>
      <c r="Q75" s="220"/>
      <c r="R75" s="220"/>
    </row>
    <row r="76" spans="2:18" s="222" customFormat="1" ht="11.25">
      <c r="B76" s="448"/>
      <c r="C76" s="217"/>
      <c r="D76" s="220"/>
      <c r="E76" s="220"/>
      <c r="F76" s="217"/>
      <c r="G76" s="217"/>
      <c r="H76" s="217"/>
      <c r="I76" s="220"/>
      <c r="J76" s="220"/>
      <c r="K76" s="220"/>
      <c r="L76" s="220"/>
      <c r="M76" s="220"/>
      <c r="N76" s="220"/>
      <c r="O76" s="220"/>
      <c r="P76" s="220"/>
      <c r="Q76" s="220"/>
      <c r="R76" s="220"/>
    </row>
    <row r="77" spans="2:18" s="222" customFormat="1" ht="11.25">
      <c r="B77" s="448"/>
      <c r="C77" s="217"/>
      <c r="D77" s="220"/>
      <c r="E77" s="220"/>
      <c r="F77" s="217"/>
      <c r="G77" s="217"/>
      <c r="H77" s="217"/>
      <c r="I77" s="220"/>
      <c r="J77" s="220"/>
      <c r="K77" s="220"/>
      <c r="L77" s="220"/>
      <c r="M77" s="220"/>
      <c r="N77" s="220"/>
      <c r="O77" s="220"/>
      <c r="P77" s="220"/>
      <c r="Q77" s="220"/>
      <c r="R77" s="220"/>
    </row>
    <row r="78" spans="2:18" s="222" customFormat="1" ht="11.25">
      <c r="B78" s="448"/>
      <c r="C78" s="217"/>
      <c r="D78" s="220"/>
      <c r="E78" s="220"/>
      <c r="F78" s="217"/>
      <c r="G78" s="217"/>
      <c r="H78" s="217"/>
      <c r="I78" s="220"/>
      <c r="J78" s="220"/>
      <c r="K78" s="220"/>
      <c r="L78" s="220"/>
      <c r="M78" s="220"/>
      <c r="N78" s="220"/>
      <c r="O78" s="220"/>
      <c r="P78" s="220"/>
      <c r="Q78" s="220"/>
      <c r="R78" s="220"/>
    </row>
    <row r="79" spans="2:18" s="222" customFormat="1" ht="11.25">
      <c r="B79" s="448"/>
      <c r="C79" s="217"/>
      <c r="D79" s="220"/>
      <c r="E79" s="220"/>
      <c r="F79" s="217"/>
      <c r="G79" s="217"/>
      <c r="H79" s="217"/>
      <c r="I79" s="220"/>
      <c r="J79" s="220"/>
      <c r="K79" s="220"/>
      <c r="L79" s="220"/>
      <c r="M79" s="220"/>
      <c r="N79" s="220"/>
      <c r="O79" s="220"/>
      <c r="P79" s="220"/>
      <c r="Q79" s="220"/>
      <c r="R79" s="220"/>
    </row>
    <row r="80" spans="2:18" s="222" customFormat="1" ht="11.25">
      <c r="B80" s="448"/>
      <c r="C80" s="217"/>
      <c r="D80" s="220"/>
      <c r="E80" s="220"/>
      <c r="F80" s="217"/>
      <c r="G80" s="217"/>
      <c r="H80" s="217"/>
      <c r="I80" s="220"/>
      <c r="J80" s="220"/>
      <c r="K80" s="220"/>
      <c r="L80" s="220"/>
      <c r="M80" s="220"/>
      <c r="N80" s="220"/>
      <c r="O80" s="220"/>
      <c r="P80" s="220"/>
      <c r="Q80" s="220"/>
      <c r="R80" s="220"/>
    </row>
    <row r="81" spans="2:18" s="222" customFormat="1" ht="11.25">
      <c r="B81" s="448"/>
      <c r="C81" s="217"/>
      <c r="D81" s="220"/>
      <c r="E81" s="220"/>
      <c r="F81" s="217"/>
      <c r="G81" s="217"/>
      <c r="H81" s="217"/>
      <c r="I81" s="220"/>
      <c r="J81" s="220"/>
      <c r="K81" s="220"/>
      <c r="L81" s="220"/>
      <c r="M81" s="220"/>
      <c r="N81" s="220"/>
      <c r="O81" s="220"/>
      <c r="P81" s="220"/>
      <c r="Q81" s="220"/>
      <c r="R81" s="220"/>
    </row>
    <row r="82" spans="2:18" s="222" customFormat="1" ht="11.25">
      <c r="B82" s="448"/>
      <c r="C82" s="217"/>
      <c r="D82" s="220"/>
      <c r="E82" s="220"/>
      <c r="F82" s="217"/>
      <c r="G82" s="217"/>
      <c r="H82" s="217"/>
      <c r="I82" s="220"/>
      <c r="J82" s="220"/>
      <c r="K82" s="220"/>
      <c r="L82" s="220"/>
      <c r="M82" s="220"/>
      <c r="N82" s="220"/>
      <c r="O82" s="220"/>
      <c r="P82" s="220"/>
      <c r="Q82" s="220"/>
      <c r="R82" s="220"/>
    </row>
    <row r="83" spans="2:18" s="222" customFormat="1" ht="11.25">
      <c r="B83" s="448"/>
      <c r="C83" s="217"/>
      <c r="D83" s="220"/>
      <c r="E83" s="220"/>
      <c r="F83" s="217"/>
      <c r="G83" s="217"/>
      <c r="H83" s="217"/>
      <c r="I83" s="220"/>
      <c r="J83" s="220"/>
      <c r="K83" s="220"/>
      <c r="L83" s="220"/>
      <c r="M83" s="220"/>
      <c r="N83" s="220"/>
      <c r="O83" s="220"/>
      <c r="P83" s="220"/>
      <c r="Q83" s="220"/>
      <c r="R83" s="220"/>
    </row>
    <row r="84" spans="2:18" s="222" customFormat="1" ht="11.25">
      <c r="B84" s="448"/>
      <c r="C84" s="217"/>
      <c r="D84" s="220"/>
      <c r="E84" s="220"/>
      <c r="F84" s="217"/>
      <c r="G84" s="217"/>
      <c r="H84" s="217"/>
      <c r="I84" s="220"/>
      <c r="J84" s="220"/>
      <c r="K84" s="220"/>
      <c r="L84" s="220"/>
      <c r="M84" s="220"/>
      <c r="N84" s="220"/>
      <c r="O84" s="220"/>
      <c r="P84" s="220"/>
      <c r="Q84" s="220"/>
      <c r="R84" s="220"/>
    </row>
    <row r="85" spans="2:18" s="67" customFormat="1" ht="15" customHeight="1">
      <c r="B85" s="496" t="s">
        <v>608</v>
      </c>
      <c r="C85" s="496"/>
      <c r="D85" s="496" t="s">
        <v>556</v>
      </c>
      <c r="E85" s="496"/>
      <c r="F85" s="449">
        <f aca="true" t="shared" si="15" ref="F85:R85">F10+F32</f>
        <v>89351490</v>
      </c>
      <c r="G85" s="449">
        <f t="shared" si="15"/>
        <v>41969210</v>
      </c>
      <c r="H85" s="450">
        <f t="shared" si="15"/>
        <v>47382280</v>
      </c>
      <c r="I85" s="450">
        <f t="shared" si="15"/>
        <v>1402280</v>
      </c>
      <c r="J85" s="449">
        <f t="shared" si="15"/>
        <v>978083</v>
      </c>
      <c r="K85" s="449">
        <f t="shared" si="15"/>
        <v>0</v>
      </c>
      <c r="L85" s="449">
        <f t="shared" si="15"/>
        <v>0</v>
      </c>
      <c r="M85" s="449">
        <f t="shared" si="15"/>
        <v>978083</v>
      </c>
      <c r="N85" s="449">
        <f t="shared" si="15"/>
        <v>424197</v>
      </c>
      <c r="O85" s="449">
        <f t="shared" si="15"/>
        <v>0</v>
      </c>
      <c r="P85" s="449">
        <f t="shared" si="15"/>
        <v>0</v>
      </c>
      <c r="Q85" s="449">
        <f t="shared" si="15"/>
        <v>0</v>
      </c>
      <c r="R85" s="449">
        <f t="shared" si="15"/>
        <v>424197</v>
      </c>
    </row>
    <row r="87" spans="2:11" ht="11.25">
      <c r="B87" s="493" t="s">
        <v>609</v>
      </c>
      <c r="C87" s="493"/>
      <c r="D87" s="493"/>
      <c r="E87" s="493"/>
      <c r="F87" s="493"/>
      <c r="G87" s="493"/>
      <c r="H87" s="493"/>
      <c r="I87" s="493"/>
      <c r="J87" s="493"/>
      <c r="K87" s="493"/>
    </row>
    <row r="88" spans="2:11" ht="11.25">
      <c r="B88" s="73" t="s">
        <v>633</v>
      </c>
      <c r="C88" s="73"/>
      <c r="D88" s="73"/>
      <c r="E88" s="73"/>
      <c r="F88" s="73"/>
      <c r="G88" s="73"/>
      <c r="H88" s="73"/>
      <c r="I88" s="73"/>
      <c r="J88" s="73"/>
      <c r="K88" s="73"/>
    </row>
    <row r="89" spans="2:11" ht="11.25">
      <c r="B89" s="73" t="s">
        <v>3</v>
      </c>
      <c r="C89" s="73"/>
      <c r="D89" s="73"/>
      <c r="E89" s="73"/>
      <c r="F89" s="73"/>
      <c r="G89" s="73"/>
      <c r="H89" s="73"/>
      <c r="I89" s="73"/>
      <c r="J89" s="73"/>
      <c r="K89" s="73"/>
    </row>
  </sheetData>
  <sheetProtection/>
  <mergeCells count="31">
    <mergeCell ref="B1:R1"/>
    <mergeCell ref="J6:M6"/>
    <mergeCell ref="B3:B8"/>
    <mergeCell ref="C3:C8"/>
    <mergeCell ref="K7:M7"/>
    <mergeCell ref="G4:G8"/>
    <mergeCell ref="E3:E8"/>
    <mergeCell ref="N7:N8"/>
    <mergeCell ref="I5:I8"/>
    <mergeCell ref="I4:R4"/>
    <mergeCell ref="H4:H8"/>
    <mergeCell ref="N6:R6"/>
    <mergeCell ref="J7:J8"/>
    <mergeCell ref="F3:F8"/>
    <mergeCell ref="D3:D8"/>
    <mergeCell ref="D85:E85"/>
    <mergeCell ref="D33:R36"/>
    <mergeCell ref="D32:E32"/>
    <mergeCell ref="O7:R7"/>
    <mergeCell ref="D10:E10"/>
    <mergeCell ref="G3:H3"/>
    <mergeCell ref="I3:R3"/>
    <mergeCell ref="J5:R5"/>
    <mergeCell ref="D22:R22"/>
    <mergeCell ref="B87:K87"/>
    <mergeCell ref="B11:B21"/>
    <mergeCell ref="B33:B47"/>
    <mergeCell ref="D11:R13"/>
    <mergeCell ref="D14:R14"/>
    <mergeCell ref="B85:C85"/>
    <mergeCell ref="D48:R51"/>
  </mergeCells>
  <printOptions/>
  <pageMargins left="0.3937007874015748" right="0.3937007874015748" top="0.5511811023622047" bottom="0.3937007874015748" header="0.1968503937007874" footer="0.5118110236220472"/>
  <pageSetup horizontalDpi="300" verticalDpi="300" orientation="landscape" paperSize="9" scale="80" r:id="rId1"/>
  <headerFooter alignWithMargins="0">
    <oddHeader>&amp;R&amp;9Załącznik nr 4
do uchwały Rady Powiatu 
nr XIV/101/08
z dnia 16.06.2008 r.</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zoomScalePageLayoutView="0" workbookViewId="0" topLeftCell="A7">
      <selection activeCell="D8" sqref="D8"/>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06" customWidth="1"/>
    <col min="5" max="16384" width="9.125" style="1" customWidth="1"/>
  </cols>
  <sheetData>
    <row r="1" spans="1:4" ht="15" customHeight="1">
      <c r="A1" s="514" t="s">
        <v>394</v>
      </c>
      <c r="B1" s="514"/>
      <c r="C1" s="514"/>
      <c r="D1" s="514"/>
    </row>
    <row r="2" ht="6.75" customHeight="1">
      <c r="A2" s="17"/>
    </row>
    <row r="3" ht="12.75">
      <c r="D3" s="166" t="s">
        <v>549</v>
      </c>
    </row>
    <row r="4" spans="1:4" ht="15" customHeight="1">
      <c r="A4" s="461" t="s">
        <v>568</v>
      </c>
      <c r="B4" s="461" t="s">
        <v>513</v>
      </c>
      <c r="C4" s="467" t="s">
        <v>569</v>
      </c>
      <c r="D4" s="454" t="s">
        <v>395</v>
      </c>
    </row>
    <row r="5" spans="1:4" ht="15" customHeight="1">
      <c r="A5" s="461"/>
      <c r="B5" s="461"/>
      <c r="C5" s="461"/>
      <c r="D5" s="454"/>
    </row>
    <row r="6" spans="1:4" ht="15.75" customHeight="1">
      <c r="A6" s="461"/>
      <c r="B6" s="461"/>
      <c r="C6" s="461"/>
      <c r="D6" s="454"/>
    </row>
    <row r="7" spans="1:4" s="69" customFormat="1" ht="6.75" customHeight="1">
      <c r="A7" s="68">
        <v>1</v>
      </c>
      <c r="B7" s="68">
        <v>2</v>
      </c>
      <c r="C7" s="68">
        <v>3</v>
      </c>
      <c r="D7" s="167">
        <v>4</v>
      </c>
    </row>
    <row r="8" spans="1:4" ht="18.75" customHeight="1">
      <c r="A8" s="513" t="s">
        <v>533</v>
      </c>
      <c r="B8" s="513"/>
      <c r="C8" s="25"/>
      <c r="D8" s="140">
        <f>SUM(D9:D16)</f>
        <v>3275602</v>
      </c>
    </row>
    <row r="9" spans="1:4" ht="18.75" customHeight="1">
      <c r="A9" s="27" t="s">
        <v>519</v>
      </c>
      <c r="B9" s="28" t="s">
        <v>527</v>
      </c>
      <c r="C9" s="27" t="s">
        <v>534</v>
      </c>
      <c r="D9" s="168">
        <f>855000+375000</f>
        <v>1230000</v>
      </c>
    </row>
    <row r="10" spans="1:4" ht="18.75" customHeight="1">
      <c r="A10" s="29" t="s">
        <v>520</v>
      </c>
      <c r="B10" s="30" t="s">
        <v>528</v>
      </c>
      <c r="C10" s="29" t="s">
        <v>534</v>
      </c>
      <c r="D10" s="169"/>
    </row>
    <row r="11" spans="1:4" ht="51">
      <c r="A11" s="29" t="s">
        <v>521</v>
      </c>
      <c r="B11" s="31" t="s">
        <v>638</v>
      </c>
      <c r="C11" s="29" t="s">
        <v>558</v>
      </c>
      <c r="D11" s="169"/>
    </row>
    <row r="12" spans="1:4" ht="18.75" customHeight="1">
      <c r="A12" s="29" t="s">
        <v>509</v>
      </c>
      <c r="B12" s="30" t="s">
        <v>536</v>
      </c>
      <c r="C12" s="29" t="s">
        <v>559</v>
      </c>
      <c r="D12" s="169"/>
    </row>
    <row r="13" spans="1:4" ht="18.75" customHeight="1">
      <c r="A13" s="29" t="s">
        <v>526</v>
      </c>
      <c r="B13" s="30" t="s">
        <v>639</v>
      </c>
      <c r="C13" s="29" t="s">
        <v>4</v>
      </c>
      <c r="D13" s="169"/>
    </row>
    <row r="14" spans="1:4" ht="18.75" customHeight="1">
      <c r="A14" s="29" t="s">
        <v>529</v>
      </c>
      <c r="B14" s="30" t="s">
        <v>530</v>
      </c>
      <c r="C14" s="29" t="s">
        <v>535</v>
      </c>
      <c r="D14" s="169"/>
    </row>
    <row r="15" spans="1:4" ht="18.75" customHeight="1">
      <c r="A15" s="29" t="s">
        <v>531</v>
      </c>
      <c r="B15" s="30" t="s">
        <v>14</v>
      </c>
      <c r="C15" s="29" t="s">
        <v>578</v>
      </c>
      <c r="D15" s="169"/>
    </row>
    <row r="16" spans="1:4" ht="18.75" customHeight="1">
      <c r="A16" s="29" t="s">
        <v>538</v>
      </c>
      <c r="B16" s="33" t="s">
        <v>557</v>
      </c>
      <c r="C16" s="32" t="s">
        <v>537</v>
      </c>
      <c r="D16" s="170">
        <f>2007842+37760</f>
        <v>2045602</v>
      </c>
    </row>
    <row r="17" spans="1:4" ht="18.75" customHeight="1">
      <c r="A17" s="513" t="s">
        <v>640</v>
      </c>
      <c r="B17" s="513"/>
      <c r="C17" s="25"/>
      <c r="D17" s="140">
        <f>SUM(D18:D24)</f>
        <v>2007842</v>
      </c>
    </row>
    <row r="18" spans="1:4" ht="18.75" customHeight="1">
      <c r="A18" s="27" t="s">
        <v>519</v>
      </c>
      <c r="B18" s="28" t="s">
        <v>560</v>
      </c>
      <c r="C18" s="27" t="s">
        <v>540</v>
      </c>
      <c r="D18" s="168">
        <f>'16'!D27</f>
        <v>2007842</v>
      </c>
    </row>
    <row r="19" spans="1:4" ht="18.75" customHeight="1">
      <c r="A19" s="29" t="s">
        <v>520</v>
      </c>
      <c r="B19" s="30" t="s">
        <v>539</v>
      </c>
      <c r="C19" s="29" t="s">
        <v>540</v>
      </c>
      <c r="D19" s="169"/>
    </row>
    <row r="20" spans="1:4" ht="38.25">
      <c r="A20" s="29" t="s">
        <v>521</v>
      </c>
      <c r="B20" s="31" t="s">
        <v>563</v>
      </c>
      <c r="C20" s="29" t="s">
        <v>564</v>
      </c>
      <c r="D20" s="169"/>
    </row>
    <row r="21" spans="1:4" ht="18.75" customHeight="1">
      <c r="A21" s="29" t="s">
        <v>509</v>
      </c>
      <c r="B21" s="30" t="s">
        <v>561</v>
      </c>
      <c r="C21" s="29" t="s">
        <v>555</v>
      </c>
      <c r="D21" s="169"/>
    </row>
    <row r="22" spans="1:4" ht="18.75" customHeight="1">
      <c r="A22" s="29" t="s">
        <v>526</v>
      </c>
      <c r="B22" s="30" t="s">
        <v>562</v>
      </c>
      <c r="C22" s="29" t="s">
        <v>542</v>
      </c>
      <c r="D22" s="169"/>
    </row>
    <row r="23" spans="1:4" ht="18.75" customHeight="1">
      <c r="A23" s="29" t="s">
        <v>529</v>
      </c>
      <c r="B23" s="30" t="s">
        <v>15</v>
      </c>
      <c r="C23" s="29" t="s">
        <v>543</v>
      </c>
      <c r="D23" s="169"/>
    </row>
    <row r="24" spans="1:4" ht="18.75" customHeight="1">
      <c r="A24" s="32" t="s">
        <v>531</v>
      </c>
      <c r="B24" s="33" t="s">
        <v>544</v>
      </c>
      <c r="C24" s="32" t="s">
        <v>541</v>
      </c>
      <c r="D24" s="170"/>
    </row>
    <row r="25" spans="1:4" ht="7.5" customHeight="1">
      <c r="A25" s="4"/>
      <c r="B25" s="5"/>
      <c r="C25" s="5"/>
      <c r="D25" s="171"/>
    </row>
    <row r="26" spans="1:6" ht="12.75">
      <c r="A26" s="42"/>
      <c r="B26" s="41"/>
      <c r="C26" s="41"/>
      <c r="D26" s="172"/>
      <c r="E26" s="37"/>
      <c r="F26" s="37"/>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J19"/>
  <sheetViews>
    <sheetView showGridLines="0" defaultGridColor="0" zoomScalePageLayoutView="0" colorId="8" workbookViewId="0" topLeftCell="A5">
      <selection activeCell="D17" sqref="D17"/>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464" t="s">
        <v>397</v>
      </c>
      <c r="B1" s="464"/>
      <c r="C1" s="464"/>
      <c r="D1" s="464"/>
      <c r="E1" s="464"/>
      <c r="F1" s="464"/>
      <c r="G1" s="464"/>
      <c r="H1" s="464"/>
      <c r="I1" s="464"/>
      <c r="J1" s="464"/>
    </row>
    <row r="2" ht="12.75">
      <c r="J2" s="9" t="s">
        <v>549</v>
      </c>
    </row>
    <row r="3" spans="1:10" s="3" customFormat="1" ht="36.75" customHeight="1">
      <c r="A3" s="15" t="s">
        <v>510</v>
      </c>
      <c r="B3" s="153" t="s">
        <v>511</v>
      </c>
      <c r="C3" s="153" t="s">
        <v>645</v>
      </c>
      <c r="D3" s="16" t="s">
        <v>628</v>
      </c>
      <c r="E3" s="16" t="s">
        <v>5</v>
      </c>
      <c r="F3" s="454" t="s">
        <v>626</v>
      </c>
      <c r="G3" s="467" t="s">
        <v>514</v>
      </c>
      <c r="H3" s="467"/>
      <c r="I3" s="467"/>
      <c r="J3" s="467" t="s">
        <v>627</v>
      </c>
    </row>
    <row r="4" spans="1:10" s="3" customFormat="1" ht="65.25" customHeight="1">
      <c r="A4" s="15"/>
      <c r="B4" s="154"/>
      <c r="C4" s="154"/>
      <c r="D4" s="15"/>
      <c r="E4" s="16"/>
      <c r="F4" s="454"/>
      <c r="G4" s="158" t="s">
        <v>624</v>
      </c>
      <c r="H4" s="158" t="s">
        <v>625</v>
      </c>
      <c r="I4" s="158" t="s">
        <v>285</v>
      </c>
      <c r="J4" s="467"/>
    </row>
    <row r="5" spans="1:10" ht="9" customHeight="1">
      <c r="A5" s="18">
        <v>1</v>
      </c>
      <c r="B5" s="18">
        <v>2</v>
      </c>
      <c r="C5" s="18">
        <v>3</v>
      </c>
      <c r="D5" s="159">
        <v>4</v>
      </c>
      <c r="E5" s="159">
        <v>5</v>
      </c>
      <c r="F5" s="159">
        <v>6</v>
      </c>
      <c r="G5" s="159">
        <v>7</v>
      </c>
      <c r="H5" s="159">
        <v>8</v>
      </c>
      <c r="I5" s="159">
        <v>9</v>
      </c>
      <c r="J5" s="18">
        <v>10</v>
      </c>
    </row>
    <row r="6" spans="1:10" ht="19.5" customHeight="1">
      <c r="A6" s="19" t="s">
        <v>50</v>
      </c>
      <c r="B6" s="19" t="s">
        <v>52</v>
      </c>
      <c r="C6" s="19">
        <v>211</v>
      </c>
      <c r="D6" s="128">
        <f>1!E12</f>
        <v>45000</v>
      </c>
      <c r="E6" s="128">
        <f>SUM(F6+J6)</f>
        <v>45000</v>
      </c>
      <c r="F6" s="128">
        <f>D6</f>
        <v>45000</v>
      </c>
      <c r="G6" s="128"/>
      <c r="H6" s="128"/>
      <c r="I6" s="128"/>
      <c r="J6" s="19"/>
    </row>
    <row r="7" spans="1:10" ht="19.5" customHeight="1">
      <c r="A7" s="19" t="s">
        <v>286</v>
      </c>
      <c r="B7" s="19" t="s">
        <v>287</v>
      </c>
      <c r="C7" s="19">
        <v>211</v>
      </c>
      <c r="D7" s="128">
        <f>1!E24</f>
        <v>44306</v>
      </c>
      <c r="E7" s="128">
        <f aca="true" t="shared" si="0" ref="E7:E16">SUM(F7+J7)</f>
        <v>44306</v>
      </c>
      <c r="F7" s="128">
        <f aca="true" t="shared" si="1" ref="F7:F16">D7</f>
        <v>44306</v>
      </c>
      <c r="G7" s="128"/>
      <c r="H7" s="128"/>
      <c r="I7" s="128"/>
      <c r="J7" s="19"/>
    </row>
    <row r="8" spans="1:10" ht="19.5" customHeight="1">
      <c r="A8" s="19" t="s">
        <v>288</v>
      </c>
      <c r="B8" s="19" t="s">
        <v>289</v>
      </c>
      <c r="C8" s="19">
        <v>211</v>
      </c>
      <c r="D8" s="128">
        <f>1!E28</f>
        <v>50000</v>
      </c>
      <c r="E8" s="128">
        <f t="shared" si="0"/>
        <v>50000</v>
      </c>
      <c r="F8" s="128">
        <f t="shared" si="1"/>
        <v>50000</v>
      </c>
      <c r="G8" s="128"/>
      <c r="H8" s="128"/>
      <c r="I8" s="128"/>
      <c r="J8" s="19"/>
    </row>
    <row r="9" spans="1:10" ht="19.5" customHeight="1">
      <c r="A9" s="19"/>
      <c r="B9" s="19" t="s">
        <v>290</v>
      </c>
      <c r="C9" s="19">
        <v>211</v>
      </c>
      <c r="D9" s="128">
        <f>1!E30</f>
        <v>4200</v>
      </c>
      <c r="E9" s="128">
        <f t="shared" si="0"/>
        <v>4200</v>
      </c>
      <c r="F9" s="128">
        <f t="shared" si="1"/>
        <v>4200</v>
      </c>
      <c r="G9" s="128"/>
      <c r="H9" s="128"/>
      <c r="I9" s="128"/>
      <c r="J9" s="19"/>
    </row>
    <row r="10" spans="1:10" ht="19.5" customHeight="1">
      <c r="A10" s="19"/>
      <c r="B10" s="19" t="s">
        <v>291</v>
      </c>
      <c r="C10" s="19">
        <v>211</v>
      </c>
      <c r="D10" s="128">
        <f>1!E32</f>
        <v>436600</v>
      </c>
      <c r="E10" s="128">
        <f t="shared" si="0"/>
        <v>436600</v>
      </c>
      <c r="F10" s="128">
        <f t="shared" si="1"/>
        <v>436600</v>
      </c>
      <c r="G10" s="128">
        <f>2!G64-12200</f>
        <v>292280</v>
      </c>
      <c r="H10" s="128">
        <f>2!I66+2!I67-2300-350</f>
        <v>57195</v>
      </c>
      <c r="I10" s="128">
        <f>2!H65-2020</f>
        <v>14815</v>
      </c>
      <c r="J10" s="19"/>
    </row>
    <row r="11" spans="1:10" ht="19.5" customHeight="1">
      <c r="A11" s="19" t="s">
        <v>292</v>
      </c>
      <c r="B11" s="19" t="s">
        <v>293</v>
      </c>
      <c r="C11" s="19">
        <v>211</v>
      </c>
      <c r="D11" s="128">
        <f>1!E35</f>
        <v>269379</v>
      </c>
      <c r="E11" s="128">
        <f t="shared" si="0"/>
        <v>269379</v>
      </c>
      <c r="F11" s="128">
        <f t="shared" si="1"/>
        <v>269379</v>
      </c>
      <c r="G11" s="128">
        <f>(2!G89-15501)*(D11/(2!E87-18346))</f>
        <v>211548.4410308377</v>
      </c>
      <c r="H11" s="128">
        <f>(2!I87-2845)*(D11/(2!E87-18346))</f>
        <v>37452.23289095136</v>
      </c>
      <c r="I11" s="128">
        <f>2!H90*(D11/(2!E87-18346))</f>
        <v>13344.206854709813</v>
      </c>
      <c r="J11" s="19"/>
    </row>
    <row r="12" spans="1:10" ht="19.5" customHeight="1">
      <c r="A12" s="19"/>
      <c r="B12" s="19" t="s">
        <v>294</v>
      </c>
      <c r="C12" s="19">
        <v>211</v>
      </c>
      <c r="D12" s="128">
        <f>1!E42</f>
        <v>39000</v>
      </c>
      <c r="E12" s="128">
        <f t="shared" si="0"/>
        <v>39000</v>
      </c>
      <c r="F12" s="128">
        <f t="shared" si="1"/>
        <v>39000</v>
      </c>
      <c r="G12" s="128"/>
      <c r="H12" s="128">
        <f>2!I141+2!I139</f>
        <v>919</v>
      </c>
      <c r="I12" s="128"/>
      <c r="J12" s="19"/>
    </row>
    <row r="13" spans="1:10" ht="19.5" customHeight="1">
      <c r="A13" s="19" t="s">
        <v>295</v>
      </c>
      <c r="B13" s="19" t="s">
        <v>296</v>
      </c>
      <c r="C13" s="19">
        <v>211</v>
      </c>
      <c r="D13" s="128">
        <f>1!E73</f>
        <v>1174000</v>
      </c>
      <c r="E13" s="128">
        <f t="shared" si="0"/>
        <v>1174000</v>
      </c>
      <c r="F13" s="128">
        <f t="shared" si="1"/>
        <v>1174000</v>
      </c>
      <c r="G13" s="128"/>
      <c r="H13" s="128"/>
      <c r="I13" s="128"/>
      <c r="J13" s="19"/>
    </row>
    <row r="14" spans="1:10" ht="19.5" customHeight="1">
      <c r="A14" s="19" t="s">
        <v>297</v>
      </c>
      <c r="B14" s="19" t="s">
        <v>298</v>
      </c>
      <c r="C14" s="19">
        <v>211</v>
      </c>
      <c r="D14" s="128">
        <f>1!E83</f>
        <v>697000</v>
      </c>
      <c r="E14" s="128">
        <f t="shared" si="0"/>
        <v>697000</v>
      </c>
      <c r="F14" s="128">
        <f t="shared" si="1"/>
        <v>697000</v>
      </c>
      <c r="G14" s="128">
        <f>2!G375</f>
        <v>373552</v>
      </c>
      <c r="H14" s="128">
        <f>2!I377+2!I378</f>
        <v>75601</v>
      </c>
      <c r="I14" s="128">
        <f>2!H373</f>
        <v>24513</v>
      </c>
      <c r="J14" s="19"/>
    </row>
    <row r="15" spans="1:10" ht="19.5" customHeight="1">
      <c r="A15" s="19" t="s">
        <v>299</v>
      </c>
      <c r="B15" s="19" t="s">
        <v>300</v>
      </c>
      <c r="C15" s="19">
        <v>211</v>
      </c>
      <c r="D15" s="128">
        <f>1!E90</f>
        <v>109000</v>
      </c>
      <c r="E15" s="128">
        <f t="shared" si="0"/>
        <v>109000</v>
      </c>
      <c r="F15" s="128">
        <f t="shared" si="1"/>
        <v>109000</v>
      </c>
      <c r="G15" s="128">
        <f>2!G450*43.58%</f>
        <v>16233.985799999999</v>
      </c>
      <c r="H15" s="128">
        <f>(G15+I15)*17.9%-1</f>
        <v>3035.5158681999997</v>
      </c>
      <c r="I15" s="128">
        <f>(2!H450*43.7%)</f>
        <v>729.7900000000001</v>
      </c>
      <c r="J15" s="128"/>
    </row>
    <row r="16" spans="1:10" ht="19.5" customHeight="1">
      <c r="A16" s="19"/>
      <c r="B16" s="19" t="s">
        <v>424</v>
      </c>
      <c r="C16" s="19">
        <v>211</v>
      </c>
      <c r="D16" s="128">
        <f>1!E96</f>
        <v>6538</v>
      </c>
      <c r="E16" s="128">
        <f t="shared" si="0"/>
        <v>6538</v>
      </c>
      <c r="F16" s="128">
        <f t="shared" si="1"/>
        <v>6538</v>
      </c>
      <c r="G16" s="128"/>
      <c r="H16" s="128"/>
      <c r="I16" s="128"/>
      <c r="J16" s="128"/>
    </row>
    <row r="17" spans="1:10" s="64" customFormat="1" ht="19.5" customHeight="1">
      <c r="A17" s="515" t="s">
        <v>641</v>
      </c>
      <c r="B17" s="516"/>
      <c r="C17" s="516"/>
      <c r="D17" s="186">
        <f>SUM(D6+D7+D8+D9+D10+D11+D12+D13+D14+D15+D16)</f>
        <v>2875023</v>
      </c>
      <c r="E17" s="186">
        <f>SUM(F17+J17)</f>
        <v>2875023</v>
      </c>
      <c r="F17" s="186">
        <f>SUM(F6:F16)</f>
        <v>2875023</v>
      </c>
      <c r="G17" s="186">
        <f>SUM(G6:G15)</f>
        <v>893614.4268308377</v>
      </c>
      <c r="H17" s="186">
        <f>SUM(H6:H15)</f>
        <v>174202.74875915135</v>
      </c>
      <c r="I17" s="186">
        <f>SUM(I6:I15)</f>
        <v>53401.99685470982</v>
      </c>
      <c r="J17" s="186">
        <f>SUM(J6:J15)</f>
        <v>0</v>
      </c>
    </row>
    <row r="19" ht="12.75">
      <c r="A19" s="72"/>
    </row>
  </sheetData>
  <sheetProtection/>
  <mergeCells count="5">
    <mergeCell ref="A17:C17"/>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&amp;A
do uchwały Rady Powiatu nr ...............
z dnia ..............................</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H9" sqref="H9"/>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464" t="s">
        <v>396</v>
      </c>
      <c r="B1" s="464"/>
      <c r="C1" s="464"/>
      <c r="D1" s="464"/>
      <c r="E1" s="464"/>
      <c r="F1" s="464"/>
      <c r="G1" s="464"/>
      <c r="H1" s="464"/>
      <c r="I1" s="464"/>
      <c r="J1" s="464"/>
    </row>
    <row r="2" spans="1:6" ht="15.75">
      <c r="A2" s="11"/>
      <c r="B2" s="11"/>
      <c r="C2" s="11"/>
      <c r="D2" s="11"/>
      <c r="E2" s="11"/>
      <c r="F2" s="11"/>
    </row>
    <row r="3" spans="1:10" ht="13.5" customHeight="1">
      <c r="A3" s="5"/>
      <c r="B3" s="5"/>
      <c r="C3" s="5"/>
      <c r="D3" s="5"/>
      <c r="E3" s="5"/>
      <c r="F3" s="5"/>
      <c r="J3" s="61" t="s">
        <v>549</v>
      </c>
    </row>
    <row r="4" spans="1:10" ht="20.25" customHeight="1">
      <c r="A4" s="461" t="s">
        <v>510</v>
      </c>
      <c r="B4" s="517" t="s">
        <v>511</v>
      </c>
      <c r="C4" s="517" t="s">
        <v>645</v>
      </c>
      <c r="D4" s="467" t="s">
        <v>628</v>
      </c>
      <c r="E4" s="467" t="s">
        <v>5</v>
      </c>
      <c r="F4" s="467" t="s">
        <v>587</v>
      </c>
      <c r="G4" s="467"/>
      <c r="H4" s="467"/>
      <c r="I4" s="467"/>
      <c r="J4" s="467"/>
    </row>
    <row r="5" spans="1:10" ht="18" customHeight="1">
      <c r="A5" s="461"/>
      <c r="B5" s="518"/>
      <c r="C5" s="518"/>
      <c r="D5" s="461"/>
      <c r="E5" s="467"/>
      <c r="F5" s="467" t="s">
        <v>626</v>
      </c>
      <c r="G5" s="467" t="s">
        <v>514</v>
      </c>
      <c r="H5" s="467"/>
      <c r="I5" s="467"/>
      <c r="J5" s="467" t="s">
        <v>627</v>
      </c>
    </row>
    <row r="6" spans="1:10" ht="69" customHeight="1">
      <c r="A6" s="461"/>
      <c r="B6" s="519"/>
      <c r="C6" s="519"/>
      <c r="D6" s="461"/>
      <c r="E6" s="467"/>
      <c r="F6" s="467"/>
      <c r="G6" s="16" t="s">
        <v>624</v>
      </c>
      <c r="H6" s="16" t="s">
        <v>625</v>
      </c>
      <c r="I6" s="16" t="s">
        <v>6</v>
      </c>
      <c r="J6" s="467"/>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182">
        <f>1!E43</f>
        <v>24000</v>
      </c>
      <c r="E8" s="182">
        <f>F8+J8</f>
        <v>24000</v>
      </c>
      <c r="F8" s="182">
        <f>D8</f>
        <v>24000</v>
      </c>
      <c r="G8" s="182"/>
      <c r="H8" s="182"/>
      <c r="I8" s="182"/>
      <c r="J8" s="182"/>
    </row>
    <row r="9" spans="1:10" ht="24.75" customHeight="1">
      <c r="A9" s="520" t="s">
        <v>641</v>
      </c>
      <c r="B9" s="521"/>
      <c r="C9" s="521"/>
      <c r="D9" s="183">
        <f aca="true" t="shared" si="0" ref="D9:J9">SUM(D8:D8)</f>
        <v>24000</v>
      </c>
      <c r="E9" s="183">
        <f t="shared" si="0"/>
        <v>24000</v>
      </c>
      <c r="F9" s="183">
        <f t="shared" si="0"/>
        <v>24000</v>
      </c>
      <c r="G9" s="183">
        <f t="shared" si="0"/>
        <v>0</v>
      </c>
      <c r="H9" s="183">
        <f t="shared" si="0"/>
        <v>0</v>
      </c>
      <c r="I9" s="183">
        <f t="shared" si="0"/>
        <v>0</v>
      </c>
      <c r="J9" s="183">
        <f t="shared" si="0"/>
        <v>0</v>
      </c>
    </row>
    <row r="11" spans="1:7" ht="12.75">
      <c r="A11" s="72"/>
      <c r="G11"/>
    </row>
  </sheetData>
  <sheetProtection/>
  <mergeCells count="11">
    <mergeCell ref="A9:C9"/>
    <mergeCell ref="D4:D6"/>
    <mergeCell ref="A1:J1"/>
    <mergeCell ref="E4:E6"/>
    <mergeCell ref="F4:J4"/>
    <mergeCell ref="F5:F6"/>
    <mergeCell ref="G5:I5"/>
    <mergeCell ref="J5:J6"/>
    <mergeCell ref="A4:A6"/>
    <mergeCell ref="B4:B6"/>
    <mergeCell ref="C4:C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20"/>
  <sheetViews>
    <sheetView zoomScalePageLayoutView="0" workbookViewId="0" topLeftCell="A4">
      <selection activeCell="C11" sqref="C11"/>
    </sheetView>
  </sheetViews>
  <sheetFormatPr defaultColWidth="9.00390625" defaultRowHeight="12.75"/>
  <cols>
    <col min="1" max="1" width="7.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464" t="s">
        <v>49</v>
      </c>
      <c r="B1" s="464"/>
      <c r="C1" s="464"/>
      <c r="D1" s="464"/>
      <c r="E1" s="464"/>
      <c r="F1" s="464"/>
      <c r="G1" s="464"/>
      <c r="H1" s="464"/>
      <c r="I1" s="464"/>
      <c r="J1" s="464"/>
      <c r="K1" s="464"/>
    </row>
    <row r="3" ht="12.75">
      <c r="K3" s="61" t="s">
        <v>549</v>
      </c>
    </row>
    <row r="4" spans="1:80" ht="20.25" customHeight="1">
      <c r="A4" s="461" t="s">
        <v>510</v>
      </c>
      <c r="B4" s="517" t="s">
        <v>511</v>
      </c>
      <c r="C4" s="517" t="s">
        <v>512</v>
      </c>
      <c r="D4" s="467" t="s">
        <v>628</v>
      </c>
      <c r="E4" s="467" t="s">
        <v>309</v>
      </c>
      <c r="F4" s="467" t="s">
        <v>587</v>
      </c>
      <c r="G4" s="467"/>
      <c r="H4" s="467"/>
      <c r="I4" s="467"/>
      <c r="J4" s="467"/>
      <c r="K4" s="467"/>
      <c r="BY4" s="1"/>
      <c r="BZ4" s="1"/>
      <c r="CA4" s="1"/>
      <c r="CB4" s="1"/>
    </row>
    <row r="5" spans="1:80" ht="18" customHeight="1">
      <c r="A5" s="461"/>
      <c r="B5" s="518"/>
      <c r="C5" s="518"/>
      <c r="D5" s="461"/>
      <c r="E5" s="467"/>
      <c r="F5" s="467" t="s">
        <v>626</v>
      </c>
      <c r="G5" s="467" t="s">
        <v>514</v>
      </c>
      <c r="H5" s="467"/>
      <c r="I5" s="467"/>
      <c r="J5" s="16"/>
      <c r="K5" s="467" t="s">
        <v>627</v>
      </c>
      <c r="BY5" s="1"/>
      <c r="BZ5" s="1"/>
      <c r="CA5" s="1"/>
      <c r="CB5" s="1"/>
    </row>
    <row r="6" spans="1:80" ht="69" customHeight="1">
      <c r="A6" s="461"/>
      <c r="B6" s="519"/>
      <c r="C6" s="519"/>
      <c r="D6" s="461"/>
      <c r="E6" s="467"/>
      <c r="F6" s="467"/>
      <c r="G6" s="16" t="s">
        <v>624</v>
      </c>
      <c r="H6" s="16" t="s">
        <v>625</v>
      </c>
      <c r="I6" s="181" t="s">
        <v>308</v>
      </c>
      <c r="J6" s="181" t="s">
        <v>329</v>
      </c>
      <c r="K6" s="467"/>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8.25" customHeight="1">
      <c r="A8" s="18"/>
      <c r="B8" s="18"/>
      <c r="C8" s="18"/>
      <c r="D8" s="18"/>
      <c r="E8" s="18"/>
      <c r="F8" s="18"/>
      <c r="G8" s="18"/>
      <c r="H8" s="18"/>
      <c r="I8" s="18"/>
      <c r="J8" s="18"/>
      <c r="K8" s="18"/>
      <c r="BY8" s="1"/>
      <c r="BZ8" s="1"/>
      <c r="CA8" s="1"/>
      <c r="CB8" s="1"/>
    </row>
    <row r="9" spans="1:80" ht="19.5" customHeight="1">
      <c r="A9" s="128">
        <v>600</v>
      </c>
      <c r="B9" s="185">
        <v>60014</v>
      </c>
      <c r="C9" s="185">
        <v>2310</v>
      </c>
      <c r="D9" s="128">
        <f>1!F18</f>
        <v>100000</v>
      </c>
      <c r="E9" s="128">
        <f>F9+K9</f>
        <v>100000</v>
      </c>
      <c r="F9" s="128">
        <f>D9</f>
        <v>100000</v>
      </c>
      <c r="G9" s="128">
        <f>2!G321*((D9/(2!E317-2!E318)))</f>
        <v>0</v>
      </c>
      <c r="H9" s="128"/>
      <c r="I9" s="128">
        <f>2!H322*((D9/(2!E317-2!E318)))</f>
        <v>0</v>
      </c>
      <c r="J9" s="128"/>
      <c r="K9" s="128"/>
      <c r="BY9" s="1"/>
      <c r="BZ9" s="1"/>
      <c r="CA9" s="1"/>
      <c r="CB9" s="1"/>
    </row>
    <row r="10" spans="1:80" ht="19.5" customHeight="1">
      <c r="A10" s="128"/>
      <c r="B10" s="185">
        <v>60014</v>
      </c>
      <c r="C10" s="387">
        <v>6610</v>
      </c>
      <c r="D10" s="128">
        <f>1!G19</f>
        <v>25000</v>
      </c>
      <c r="E10" s="128">
        <f>F10+K10</f>
        <v>25000</v>
      </c>
      <c r="F10" s="128"/>
      <c r="G10" s="128"/>
      <c r="H10" s="128"/>
      <c r="I10" s="128"/>
      <c r="J10" s="128"/>
      <c r="K10" s="128">
        <v>25000</v>
      </c>
      <c r="BY10" s="1"/>
      <c r="BZ10" s="1"/>
      <c r="CA10" s="1"/>
      <c r="CB10" s="1"/>
    </row>
    <row r="11" spans="1:80" ht="19.5" customHeight="1">
      <c r="A11" s="128"/>
      <c r="B11" s="185">
        <v>60014</v>
      </c>
      <c r="C11" s="387">
        <v>6610</v>
      </c>
      <c r="D11" s="128">
        <f>1!G20</f>
        <v>107500</v>
      </c>
      <c r="E11" s="128">
        <f>F11+K11</f>
        <v>107500</v>
      </c>
      <c r="F11" s="128"/>
      <c r="G11" s="128"/>
      <c r="H11" s="128"/>
      <c r="I11" s="128"/>
      <c r="J11" s="128"/>
      <c r="K11" s="128">
        <v>107500</v>
      </c>
      <c r="BY11" s="1"/>
      <c r="BZ11" s="1"/>
      <c r="CA11" s="1"/>
      <c r="CB11" s="1"/>
    </row>
    <row r="12" spans="1:80" ht="19.5" customHeight="1">
      <c r="A12" s="128">
        <v>852</v>
      </c>
      <c r="B12" s="185">
        <v>85201</v>
      </c>
      <c r="C12" s="185">
        <v>2320</v>
      </c>
      <c r="D12" s="128">
        <f>1!E76</f>
        <v>131200</v>
      </c>
      <c r="E12" s="128">
        <f>F12+K12</f>
        <v>131200</v>
      </c>
      <c r="F12" s="128">
        <f>D12</f>
        <v>131200</v>
      </c>
      <c r="G12" s="128"/>
      <c r="H12" s="128"/>
      <c r="I12" s="128"/>
      <c r="J12" s="128"/>
      <c r="K12" s="128"/>
      <c r="BY12" s="1"/>
      <c r="BZ12" s="1"/>
      <c r="CA12" s="1"/>
      <c r="CB12" s="1"/>
    </row>
    <row r="13" spans="1:80" ht="19.5" customHeight="1">
      <c r="A13" s="128"/>
      <c r="B13" s="185">
        <v>85204</v>
      </c>
      <c r="C13" s="185">
        <v>2320</v>
      </c>
      <c r="D13" s="128">
        <f>1!E85</f>
        <v>195000</v>
      </c>
      <c r="E13" s="128">
        <f>F13+K13</f>
        <v>195000</v>
      </c>
      <c r="F13" s="128">
        <f>D13</f>
        <v>195000</v>
      </c>
      <c r="G13" s="128"/>
      <c r="H13" s="128"/>
      <c r="I13" s="128"/>
      <c r="J13" s="128"/>
      <c r="K13" s="128"/>
      <c r="BY13" s="1"/>
      <c r="BZ13" s="1"/>
      <c r="CA13" s="1"/>
      <c r="CB13" s="1"/>
    </row>
    <row r="14" spans="1:80" ht="19.5" customHeight="1">
      <c r="A14" s="128">
        <v>853</v>
      </c>
      <c r="B14" s="185">
        <v>85333</v>
      </c>
      <c r="C14" s="185">
        <v>2008</v>
      </c>
      <c r="D14" s="128">
        <f>1!E93</f>
        <v>153184</v>
      </c>
      <c r="E14" s="128">
        <f aca="true" t="shared" si="0" ref="E14:F17">D14</f>
        <v>153184</v>
      </c>
      <c r="F14" s="128">
        <f t="shared" si="0"/>
        <v>153184</v>
      </c>
      <c r="G14" s="128">
        <f>2!G469</f>
        <v>74880</v>
      </c>
      <c r="H14" s="128">
        <f>2!I472+2!I474</f>
        <v>13144</v>
      </c>
      <c r="I14" s="128"/>
      <c r="J14" s="128"/>
      <c r="K14" s="128"/>
      <c r="BY14" s="1"/>
      <c r="BZ14" s="1"/>
      <c r="CA14" s="1"/>
      <c r="CB14" s="1"/>
    </row>
    <row r="15" spans="1:80" ht="19.5" customHeight="1">
      <c r="A15" s="128"/>
      <c r="B15" s="185">
        <v>85395</v>
      </c>
      <c r="C15" s="185">
        <v>2320</v>
      </c>
      <c r="D15" s="128">
        <f>1!E100</f>
        <v>119471</v>
      </c>
      <c r="E15" s="128">
        <f t="shared" si="0"/>
        <v>119471</v>
      </c>
      <c r="F15" s="128">
        <f t="shared" si="0"/>
        <v>119471</v>
      </c>
      <c r="G15" s="128"/>
      <c r="H15" s="128">
        <f>(2!I499+2!I500+2!I501+2!I502)*11.78%</f>
        <v>713.2789999999999</v>
      </c>
      <c r="I15" s="128"/>
      <c r="J15" s="128"/>
      <c r="K15" s="128"/>
      <c r="BY15" s="1"/>
      <c r="BZ15" s="1"/>
      <c r="CA15" s="1"/>
      <c r="CB15" s="1"/>
    </row>
    <row r="16" spans="1:80" ht="19.5" customHeight="1">
      <c r="A16" s="128"/>
      <c r="B16" s="185">
        <v>85395</v>
      </c>
      <c r="C16" s="185">
        <v>2008</v>
      </c>
      <c r="D16" s="128">
        <f>1!E98</f>
        <v>861955</v>
      </c>
      <c r="E16" s="128">
        <f t="shared" si="0"/>
        <v>861955</v>
      </c>
      <c r="F16" s="128">
        <f t="shared" si="0"/>
        <v>861955</v>
      </c>
      <c r="G16" s="128"/>
      <c r="H16" s="128">
        <f>(2!I499+2!I500+2!I501+2!I502)*85%</f>
        <v>5146.75</v>
      </c>
      <c r="I16" s="128"/>
      <c r="J16" s="128"/>
      <c r="K16" s="128"/>
      <c r="BY16" s="1"/>
      <c r="BZ16" s="1"/>
      <c r="CA16" s="1"/>
      <c r="CB16" s="1"/>
    </row>
    <row r="17" spans="1:80" ht="19.5" customHeight="1">
      <c r="A17" s="128"/>
      <c r="B17" s="185">
        <v>85395</v>
      </c>
      <c r="C17" s="185">
        <v>2009</v>
      </c>
      <c r="D17" s="128">
        <f>1!E99</f>
        <v>29708</v>
      </c>
      <c r="E17" s="128">
        <f t="shared" si="0"/>
        <v>29708</v>
      </c>
      <c r="F17" s="128">
        <f t="shared" si="0"/>
        <v>29708</v>
      </c>
      <c r="G17" s="128"/>
      <c r="H17" s="128">
        <f>(2!I499+2!I500+2!I501+2!I502)*2.93%</f>
        <v>177.41150000000002</v>
      </c>
      <c r="I17" s="128"/>
      <c r="J17" s="128"/>
      <c r="K17" s="128"/>
      <c r="BY17" s="1"/>
      <c r="BZ17" s="1"/>
      <c r="CA17" s="1"/>
      <c r="CB17" s="1"/>
    </row>
    <row r="18" spans="1:80" ht="19.5" customHeight="1">
      <c r="A18" s="128">
        <v>854</v>
      </c>
      <c r="B18" s="185">
        <v>85415</v>
      </c>
      <c r="C18" s="185">
        <v>2330</v>
      </c>
      <c r="D18" s="128">
        <f>1!F109</f>
        <v>9000</v>
      </c>
      <c r="E18" s="128">
        <f>F18+K18</f>
        <v>9000</v>
      </c>
      <c r="F18" s="128">
        <f>D18</f>
        <v>9000</v>
      </c>
      <c r="G18" s="128"/>
      <c r="H18" s="128"/>
      <c r="I18" s="128"/>
      <c r="J18" s="128"/>
      <c r="K18" s="128"/>
      <c r="BY18" s="1"/>
      <c r="BZ18" s="1"/>
      <c r="CA18" s="1"/>
      <c r="CB18" s="1"/>
    </row>
    <row r="19" spans="1:80" ht="19.5" customHeight="1">
      <c r="A19" s="128"/>
      <c r="B19" s="185"/>
      <c r="C19" s="185"/>
      <c r="D19" s="128"/>
      <c r="E19" s="128"/>
      <c r="F19" s="128">
        <f>D19</f>
        <v>0</v>
      </c>
      <c r="G19" s="128"/>
      <c r="H19" s="128"/>
      <c r="I19" s="128"/>
      <c r="J19" s="128"/>
      <c r="K19" s="128"/>
      <c r="BY19" s="1"/>
      <c r="BZ19" s="1"/>
      <c r="CA19" s="1"/>
      <c r="CB19" s="1"/>
    </row>
    <row r="20" spans="1:76" s="188" customFormat="1" ht="24.75" customHeight="1">
      <c r="A20" s="522" t="s">
        <v>641</v>
      </c>
      <c r="B20" s="523"/>
      <c r="C20" s="524"/>
      <c r="D20" s="187">
        <f aca="true" t="shared" si="1" ref="D20:K20">SUM(D9:D19)</f>
        <v>1732018</v>
      </c>
      <c r="E20" s="187">
        <f t="shared" si="1"/>
        <v>1732018</v>
      </c>
      <c r="F20" s="187">
        <f t="shared" si="1"/>
        <v>1599518</v>
      </c>
      <c r="G20" s="187">
        <f t="shared" si="1"/>
        <v>74880</v>
      </c>
      <c r="H20" s="187">
        <f t="shared" si="1"/>
        <v>19181.4405</v>
      </c>
      <c r="I20" s="187">
        <f t="shared" si="1"/>
        <v>0</v>
      </c>
      <c r="J20" s="187">
        <f t="shared" si="1"/>
        <v>0</v>
      </c>
      <c r="K20" s="187">
        <f t="shared" si="1"/>
        <v>132500</v>
      </c>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row>
  </sheetData>
  <sheetProtection/>
  <mergeCells count="11">
    <mergeCell ref="K5:K6"/>
    <mergeCell ref="A20:C20"/>
    <mergeCell ref="A1:K1"/>
    <mergeCell ref="A4:A6"/>
    <mergeCell ref="B4:B6"/>
    <mergeCell ref="C4:C6"/>
    <mergeCell ref="D4:D6"/>
    <mergeCell ref="E4:E6"/>
    <mergeCell ref="F4:K4"/>
    <mergeCell ref="F5:F6"/>
    <mergeCell ref="G5:I5"/>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8
do uchwały Rady Powiatu 
nr XIV/101/08
z dnia 16.06.2008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Starostwo</cp:lastModifiedBy>
  <cp:lastPrinted>2008-06-23T06:38:06Z</cp:lastPrinted>
  <dcterms:created xsi:type="dcterms:W3CDTF">1998-12-09T13:02:10Z</dcterms:created>
  <dcterms:modified xsi:type="dcterms:W3CDTF">2008-06-23T06:38:07Z</dcterms:modified>
  <cp:category/>
  <cp:version/>
  <cp:contentType/>
  <cp:contentStatus/>
</cp:coreProperties>
</file>