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2"/>
  </bookViews>
  <sheets>
    <sheet name="1" sheetId="1" r:id="rId1"/>
    <sheet name="1-DO UCHWAŁY " sheetId="2" r:id="rId2"/>
    <sheet name="2" sheetId="3" r:id="rId3"/>
    <sheet name="2-do uchwały " sheetId="4" r:id="rId4"/>
    <sheet name="3" sheetId="5" r:id="rId5"/>
    <sheet name="3a"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do  uchwały" sheetId="16" r:id="rId16"/>
    <sheet name="13" sheetId="17" r:id="rId17"/>
    <sheet name="14" sheetId="18" r:id="rId18"/>
    <sheet name="14-do uchwały" sheetId="19" r:id="rId19"/>
    <sheet name="15" sheetId="20" r:id="rId20"/>
    <sheet name="17" sheetId="21" r:id="rId21"/>
    <sheet name="16" sheetId="22" r:id="rId22"/>
  </sheets>
  <externalReferences>
    <externalReference r:id="rId25"/>
  </externalReferences>
  <definedNames/>
  <calcPr fullCalcOnLoad="1"/>
</workbook>
</file>

<file path=xl/sharedStrings.xml><?xml version="1.0" encoding="utf-8"?>
<sst xmlns="http://schemas.openxmlformats.org/spreadsheetml/2006/main" count="2138" uniqueCount="868">
  <si>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Przyjazny  Urząd "</t>
  </si>
  <si>
    <t xml:space="preserve">Wynagrodzenia osobowe pracowników </t>
  </si>
  <si>
    <t xml:space="preserve">Wynagrodzenia  osobowe pracowników </t>
  </si>
  <si>
    <t xml:space="preserve">Priorytet  VII - Promocja  integracji  społecznej  Działanie  -  7.1  -  rozwój  i  upowszechnianie   aktywnej   integracji ,
Poddziałanie -  7.1.2  Rozwój  i  upowszechnianie   aktywnej   integracji  przez  powiatowe   centra   pomocy  rodzinie .
  Nazwa  zadania   " „ Uwierzyć   w  siebie -  aktywna integracja  osób  przebywających   w  rodzinach   zastępczych   i  je  opuszczających   „ </t>
  </si>
  <si>
    <t xml:space="preserve">Świadczenia  społeczne </t>
  </si>
  <si>
    <t xml:space="preserve">Różne  opłaty  i  składki </t>
  </si>
  <si>
    <t>wynagrodzenia osobowe</t>
  </si>
  <si>
    <t xml:space="preserve">Opłaty  za  administrowanie i  czynsze  za  budynku , lokale  i  pomieszczenia  garażowe </t>
  </si>
  <si>
    <t xml:space="preserve">wydatki  FP </t>
  </si>
  <si>
    <t>Opłata  na  rzecz budżetu państwa</t>
  </si>
  <si>
    <t xml:space="preserve">Razem    inwestycje </t>
  </si>
  <si>
    <t xml:space="preserve">inne </t>
  </si>
  <si>
    <t>2a</t>
  </si>
  <si>
    <t>Regały  przesuwne   dla  potrzeb   zasobu   geodezyjnego,skaner,ksero, klimatyzatory  inne</t>
  </si>
  <si>
    <t>J.W.</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</si>
  <si>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</si>
  <si>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</si>
  <si>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</si>
  <si>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</si>
  <si>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</si>
  <si>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</si>
  <si>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</si>
  <si>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</si>
  <si>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</si>
  <si>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</si>
  <si>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</si>
  <si>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</si>
  <si>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2004 rok</t>
  </si>
  <si>
    <t>2007  rok</t>
  </si>
  <si>
    <t xml:space="preserve">4270 Zakup usług  remontowych </t>
  </si>
  <si>
    <t xml:space="preserve">4210 Zakup materiałów i  wyposażenia </t>
  </si>
  <si>
    <t>2.Z.SZ.  CKU  W  GRONOWIE -STOŁÓWKA   SZKOLNA -801-80148</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</si>
  <si>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</si>
  <si>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</si>
  <si>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</si>
  <si>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</si>
  <si>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</si>
  <si>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</si>
  <si>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</si>
  <si>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</si>
  <si>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</si>
  <si>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</si>
  <si>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</si>
  <si>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</si>
  <si>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</si>
  <si>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</si>
  <si>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</si>
  <si>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</si>
  <si>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</si>
  <si>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</si>
  <si>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</si>
  <si>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</si>
  <si>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</si>
  <si>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</si>
  <si>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</si>
  <si>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LP</t>
  </si>
  <si>
    <t xml:space="preserve">ŻRODŁA DOCHODÓW </t>
  </si>
  <si>
    <t>BIEŻĄCE</t>
  </si>
  <si>
    <t>MAJĄTKOWE</t>
  </si>
  <si>
    <t>Dotacje celowe  z budżetu państwa na zadania własne  powiatu</t>
  </si>
  <si>
    <t xml:space="preserve">Dotacje celowe  z budżetu państwa na zadania  z zakresu administracji rządowej wykonywane przez powiat </t>
  </si>
  <si>
    <t xml:space="preserve">Dotacje celowe z budżetu państwa  na zadania  realizowane  na  podstawie  porozumień  z organami administracji rządowej                                                              </t>
  </si>
  <si>
    <t>Dochody   własne    w tym  :</t>
  </si>
  <si>
    <t xml:space="preserve"> -   subwencje </t>
  </si>
  <si>
    <t xml:space="preserve"> - udziały   w   dochodach  w  podatkach           stanowiących   dochód    budżetu  państwa                                                                                     </t>
  </si>
  <si>
    <t xml:space="preserve">STAROSTWO POWIATOWE   i  PUP  DLA  PT   W  TORUNIU  </t>
  </si>
  <si>
    <t xml:space="preserve">- udziały      w   dochodach  skarbu  państwa        w  związku  z  realizacją  zadań  z  zakresu  administracji  rządowej oraz  innych  zadań  zleconych  ustawami                                                   </t>
  </si>
  <si>
    <t>0</t>
  </si>
  <si>
    <t xml:space="preserve">- pozostałe dochody </t>
  </si>
  <si>
    <t xml:space="preserve">WYODRĘBNIENIE  WYDATKÓW </t>
  </si>
  <si>
    <t xml:space="preserve">WYDATKI  BIEŻĄCE </t>
  </si>
  <si>
    <t>W  TYM :</t>
  </si>
  <si>
    <t>ZGODNE   Z  ZAŁĄCZNIKIEM  NR  :</t>
  </si>
  <si>
    <t>A</t>
  </si>
  <si>
    <t>B</t>
  </si>
  <si>
    <t>C</t>
  </si>
  <si>
    <t>D</t>
  </si>
  <si>
    <t>E</t>
  </si>
  <si>
    <t>F</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</si>
  <si>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</si>
  <si>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</si>
  <si>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</si>
  <si>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</si>
  <si>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</si>
  <si>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</si>
  <si>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</si>
  <si>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</si>
  <si>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</si>
  <si>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</si>
  <si>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</si>
  <si>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</si>
  <si>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</si>
  <si>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</si>
  <si>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WYDATKI   MAJĄTKOWE</t>
  </si>
  <si>
    <t xml:space="preserve">RAZEM      WYDATKI </t>
  </si>
  <si>
    <t>2, 4</t>
  </si>
  <si>
    <t xml:space="preserve">Razem </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</si>
  <si>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</si>
  <si>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</si>
  <si>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</si>
  <si>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</si>
  <si>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</si>
  <si>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</si>
  <si>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</si>
  <si>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</si>
  <si>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</si>
  <si>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</si>
  <si>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</si>
  <si>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</si>
  <si>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</si>
  <si>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</si>
  <si>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</si>
  <si>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</si>
  <si>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</si>
  <si>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 xml:space="preserve">Filharmonie , orkiestry , chóry ,  kapele </t>
  </si>
  <si>
    <t xml:space="preserve">Powiatowe  Centra Pomocy  Rodzinie </t>
  </si>
  <si>
    <t>WYDATKI</t>
  </si>
  <si>
    <t>dotacje  z funduszu  celowego   na  finansowanie  lub  dofinansowanie kosztów    realizacji   inwestycji  i  zakupów   inwestycyjnych  oraz  w.  bieżących   j.s.f.p</t>
  </si>
  <si>
    <t>Priorytet  IX -  Rozwój  wykształcenia  i  kompetencji   w  regionach  .  Działanie  9.2  Podniesienie  atrakcyjności  i  jakości  szkolnictwa  zawodowego.  Tytuł  projektu  : Lepsza  szkoła ,  lepszy  zawód -  wzmocnienie  oferty   edukacyjnej   szkolnictwa  zawodowego   w  powiecie  toruńskim w   roku  szkolnym   2009/2010</t>
  </si>
  <si>
    <t xml:space="preserve">Różnica </t>
  </si>
  <si>
    <t>„ Przebudowa  i  dostosowanie   do  obowiązujących   standardów dla  Domu  Pomocy  Społecznej   budynku  Zespołu   nr   2   DPS   w  Browinie „  .</t>
  </si>
  <si>
    <t>600/921</t>
  </si>
  <si>
    <t>60014/92195</t>
  </si>
  <si>
    <t>Droga 2004 Łążyn-Zarośla  Cienkie -Smolno od km 0+550 do km 1+135 na dł. 0,585 km</t>
  </si>
  <si>
    <t>Wpływ z tytułu pomocy finansowej udzielanej między jednostkami samorządu terytorialnego na dofinansowanie własnych zakupów inwestycyjnych</t>
  </si>
  <si>
    <t>Wynagrodzenie bezosobowe</t>
  </si>
  <si>
    <t>Dotacja celowa na pomoc finansową udzielaną pomiędzy j.s.t. na dofinansowanie zadań inwestycyjnych i zakupów inwestycyjnych</t>
  </si>
  <si>
    <t>Dotacje celowe w ramach programów finansowanych z udziałem środków europejskich oraz środków, o których mowa w art. 5 ust. 1 pkt 3 oraz ust. 3 pkt 5 i 6 ustawy, lub płatności w ramach budżetu środków europejskich</t>
  </si>
  <si>
    <t xml:space="preserve">Dotacje   rozwojowe   (    z  projektów  roku  2009 ) , dotacje celowe  z  budżetu  UE  2010 </t>
  </si>
  <si>
    <t xml:space="preserve">dotacje  z funduszu  celowego   na  finansowanie  lub  dofinansowanie  realizacji   inwestycji   i  zakupów  inwestycyjnych    jednostek   nie  należących  do  sektora  finansów publicznych </t>
  </si>
  <si>
    <t>wydatki majątkowe</t>
  </si>
  <si>
    <t>wydatki  bieżące</t>
  </si>
  <si>
    <t>WYSZCZEGÓLNIENIE</t>
  </si>
  <si>
    <t>KWOTA</t>
  </si>
  <si>
    <t>WYDATKI   BIEŻĄCE</t>
  </si>
  <si>
    <t>WYDATKI  MAJĄTKOWE</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</si>
  <si>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</si>
  <si>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</si>
  <si>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</si>
  <si>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</si>
  <si>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</si>
  <si>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</si>
  <si>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</si>
  <si>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</si>
  <si>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</si>
  <si>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</si>
  <si>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</si>
  <si>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</si>
  <si>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</si>
  <si>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</si>
  <si>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</si>
  <si>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</si>
  <si>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</si>
  <si>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</si>
  <si>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</si>
  <si>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</si>
  <si>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</si>
  <si>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</si>
  <si>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</si>
  <si>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</si>
  <si>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</si>
  <si>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</si>
  <si>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</si>
  <si>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</si>
  <si>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</si>
  <si>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</si>
  <si>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</si>
  <si>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</si>
  <si>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</si>
  <si>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</si>
  <si>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</si>
  <si>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</si>
  <si>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</si>
  <si>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</si>
  <si>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</si>
  <si>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</si>
  <si>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</si>
  <si>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</si>
  <si>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</si>
  <si>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</si>
  <si>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</si>
  <si>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</si>
  <si>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</si>
  <si>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</si>
  <si>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</si>
  <si>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</si>
  <si>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</si>
  <si>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</si>
  <si>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</si>
  <si>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</si>
  <si>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</si>
  <si>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</si>
  <si>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</si>
  <si>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</si>
  <si>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</si>
  <si>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</si>
  <si>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</si>
  <si>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</si>
  <si>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</si>
  <si>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</si>
  <si>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</si>
  <si>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</si>
  <si>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</si>
  <si>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</si>
  <si>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</si>
  <si>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</si>
  <si>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</si>
  <si>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</si>
  <si>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</si>
  <si>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</si>
  <si>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</si>
  <si>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</si>
  <si>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</si>
  <si>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</si>
  <si>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</si>
  <si>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</si>
  <si>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</si>
  <si>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</si>
  <si>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</si>
  <si>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</si>
  <si>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</si>
  <si>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</si>
  <si>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</si>
  <si>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</si>
  <si>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</si>
  <si>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</si>
  <si>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</si>
  <si>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</si>
  <si>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</si>
  <si>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</si>
  <si>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</si>
  <si>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</si>
  <si>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</si>
  <si>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</si>
  <si>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</si>
  <si>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</si>
  <si>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Gospodarki Zasobem Geodezyjnym i Kartograficznym</t>
  </si>
  <si>
    <t>pożyczek</t>
  </si>
  <si>
    <t>kredytów</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</si>
  <si>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</si>
  <si>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</si>
  <si>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</si>
  <si>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</si>
  <si>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</si>
  <si>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</si>
  <si>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</si>
  <si>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</si>
  <si>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</si>
  <si>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</si>
  <si>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</si>
  <si>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</si>
  <si>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</si>
  <si>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</si>
  <si>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</si>
  <si>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</si>
  <si>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</si>
  <si>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</si>
  <si>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</si>
  <si>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</si>
  <si>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</si>
  <si>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</si>
  <si>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</si>
  <si>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</si>
  <si>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</si>
  <si>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</si>
  <si>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</si>
  <si>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 xml:space="preserve">Wykończenie  budynku  zajmowanego   na  potrzeby  Starostwa  Powiatowego na  ul. Towarowej  i  inwestycje   w  zasobach  powiatu (  w  tym  6.500   PUP  ) </t>
  </si>
  <si>
    <t>dochody własne jst</t>
  </si>
  <si>
    <t xml:space="preserve">wkład  własny  niepieniężny </t>
  </si>
  <si>
    <t>1.4</t>
  </si>
  <si>
    <t>1.5</t>
  </si>
  <si>
    <t>środki  UE  lub  kredyty planowane   pod  współfinansowanie  z UE ,  kredyty</t>
  </si>
  <si>
    <t xml:space="preserve">Pomoc  materialna  dla  uczniów </t>
  </si>
  <si>
    <t xml:space="preserve">Pozostała   działalność </t>
  </si>
  <si>
    <t xml:space="preserve">Dotacje celowe otrzymane    z budżetu państwa na   inwestycje  i  zakupy  inwestycyjne  własne powiatu </t>
  </si>
  <si>
    <t>powtarzają się paragrafy</t>
  </si>
  <si>
    <t>Zakup usług dostępu do  sieci Internet</t>
  </si>
  <si>
    <t xml:space="preserve">Urzędy  naczelnych  i  centralnych  organów  administracji  rządowej </t>
  </si>
  <si>
    <t xml:space="preserve">Uzupełnienie  udziału  części nieruchomości </t>
  </si>
  <si>
    <t xml:space="preserve">Zagospodarowanie terenów sportowych Szkół  Podstawowych oraz  Gimnazjum   w  Chełmży w tym  zagospodarowanie terenu  sportowego Zespołu  Szkół Specjalnych   w  Chełmży </t>
  </si>
  <si>
    <t>Priorytet  IX -  Rozwój  wykształcenia  i  kompetencji   w  regionach  .  Działanie  9.1.2 Wyrównywanie szans  edukacyjnych  uczniów  z  grup   o  utrudnionym  dostępie  do  edukacji  oraz  zmniejszenie  różnic   w  jakości  usług   edukacyjnych   Tytuł  projektu  : Czego Jaś się nie nauczy... - wzbogacenie oferty edukacyjnej szkół realizujących kształcenie ogólne z terenu powiatu toruńskiego w roku szkolnym 2009/2010</t>
  </si>
  <si>
    <t xml:space="preserve">Dotacje  przekazane  dla powiatu   na  zadania  bieżące  realizowane  na  podstawie  porozumień (  umów  ) między   j.s.t -  na  realizację   w  partnerstwie  z  powiatami  województwa  kujawsko-pomorskiego  projektu  UE  "Podniesienie atrakcyjności  i  jakości  szkolnictwa   zawodowego   na  terenie   województwa  kujawsko-pomorskiego   w  roku  szkolnym   2008/2009 .
</t>
  </si>
  <si>
    <t xml:space="preserve">Dług  publiczny  na  2010  i  lata  następne   nie  może  być  wyższy niż </t>
  </si>
  <si>
    <t>Kwota  długu na   dzień 31.12.2009</t>
  </si>
  <si>
    <t>Internat  w  Gronowie -  termomodernizacja</t>
  </si>
  <si>
    <t>dział   900  r.  90019</t>
  </si>
  <si>
    <t>852  i  900</t>
  </si>
  <si>
    <t>85202,  90019</t>
  </si>
  <si>
    <t>600 i  900</t>
  </si>
  <si>
    <t>60014  i  90019</t>
  </si>
  <si>
    <t>80130 i  90019</t>
  </si>
  <si>
    <t>801  i  90019</t>
  </si>
  <si>
    <t>85202  i 90019</t>
  </si>
  <si>
    <t>801i  900</t>
  </si>
  <si>
    <t>80130  i  90019</t>
  </si>
  <si>
    <t>600  ,  900</t>
  </si>
  <si>
    <t>60014 ,90019</t>
  </si>
  <si>
    <t>60014 , 90019</t>
  </si>
  <si>
    <t xml:space="preserve">wolne  środki   z  lat  ubiegłych </t>
  </si>
  <si>
    <t>obligacje
i pożyczki</t>
  </si>
  <si>
    <t>„  Budowa  dróg  gminnych Nr 101117C,101121 i 101116C  w  miejscowości  Czernikowo ,  Jackowo ,  Steklinek wraz  z  przebudową skrzyżowania  z  drogą  powiatową  nr  2043C   w  miejscowości  Steklinek  „.</t>
  </si>
  <si>
    <t xml:space="preserve">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t>
  </si>
  <si>
    <t xml:space="preserve">Wydatki  bieżące  uczestniczące w  programach  UE </t>
  </si>
  <si>
    <t xml:space="preserve">wydatki   na  zadania  stanutowe jednostek  organiacyjnych </t>
  </si>
  <si>
    <t xml:space="preserve">Wynagrodzenia  </t>
  </si>
  <si>
    <t>Składki  naliczane  od  wynagrodzeń  ,</t>
  </si>
  <si>
    <t xml:space="preserve">Inne  paragrafy  wynagrodzeń </t>
  </si>
  <si>
    <t>w  tym   :</t>
  </si>
  <si>
    <t>składki  z  UE</t>
  </si>
  <si>
    <t>Wynagrodzenia   pozostałe   z  UE</t>
  </si>
  <si>
    <t>wynagrodzenia osobowe  z  UE</t>
  </si>
  <si>
    <t>ZFN</t>
  </si>
  <si>
    <t>Łącznie  wynagrodzenia i  składki   UE</t>
  </si>
  <si>
    <t xml:space="preserve">Wydatki na poręczenia  i  gwarancje </t>
  </si>
  <si>
    <t>WYDATKI  JEDNOSTEK</t>
  </si>
  <si>
    <t xml:space="preserve">Wydatki   na  wynagrodzenia  i  składki  z  nimi  związane </t>
  </si>
  <si>
    <t xml:space="preserve">w  tym </t>
  </si>
  <si>
    <t xml:space="preserve">Świadczenia  na  rzecz  osób  fizycznych </t>
  </si>
  <si>
    <t>w  tym :</t>
  </si>
  <si>
    <t>z tego</t>
  </si>
  <si>
    <t xml:space="preserve">inwestycje  i  zakupy  inwestycyjne </t>
  </si>
  <si>
    <t>na  projekty  i  programy   z  udziałem  środków   UE</t>
  </si>
  <si>
    <t xml:space="preserve">zakup  i  objęcie  akcji  udziałów  oraz  wniesienie  wkładów  do  spółek  prawa  handlowego </t>
  </si>
  <si>
    <t>WYNAGRODZENIE  I  SKŁADKI  OD  NICH  NALICZANE</t>
  </si>
  <si>
    <t>WYDATKI  ZWIĄZANE   Z  REALIZACJĄ  ICH  ZADAŃ  STATUTOWYCH</t>
  </si>
  <si>
    <t xml:space="preserve">WYDATKI  JEDNOSTEK  BUDŻETOWYCH   </t>
  </si>
  <si>
    <t xml:space="preserve">DOTACJE  NA  ZADANIA  BIEŻĄCE </t>
  </si>
  <si>
    <t xml:space="preserve">ŚWIADCZENIA  NA  RZECZ  OSÓB   FIZYCZNYCH </t>
  </si>
  <si>
    <t>1.6</t>
  </si>
  <si>
    <t>WYDATKI   Z  TYTUŁU  PORĘCZEŃ  I  GWARANCJI</t>
  </si>
  <si>
    <t xml:space="preserve">INWESTYCJE  I  ZAKUPY  INWESTYCYJNE </t>
  </si>
  <si>
    <t xml:space="preserve">W  TYM   NA PROJEKTY  I  PROGRAMY   FINANSOWANE  Z  UDZIAŁEM    ŚRODKÓW  , O  KTÓRYCH  MOWA  W  art.5 ust.1 , pkt  2 i  3   USTAWY  O  FINANSACH  PUBLICZNYCH  ,  </t>
  </si>
  <si>
    <t xml:space="preserve">ZAKUP  I  OBJĘCIE  AKCJI  I   UDZIAŁÓW ORAZ  WNIESIENIE  WKŁADÓW  DO  SPÓŁEK  PRAWA   HANDLOWEGO </t>
  </si>
  <si>
    <t>1.4.1</t>
  </si>
  <si>
    <t>Inwestycje  UE</t>
  </si>
  <si>
    <t>Razem   UE</t>
  </si>
  <si>
    <t>Zadania  bieżące  UE</t>
  </si>
  <si>
    <t>OBSŁUGA  DŁUGU  PUBLICZNEGO</t>
  </si>
  <si>
    <t xml:space="preserve">Dotacje  celowe przekazane gminie  na  inwestycje  i  zakupy  inwestycyjne  realizowane  na  podstawie  porozumień  (  umów ) pomiędzy  jednostami  samorządu  terytorialnego </t>
  </si>
  <si>
    <t>GOSPODARKA  KOMUNALNA I  OCHRONA ŚRODOWISKA</t>
  </si>
  <si>
    <t>Wpływy  i wydatki  związane  z  gromadzeniem  środków   z  opłat  i  kar   za  korzystanie  ze  środowiska</t>
  </si>
  <si>
    <t xml:space="preserve">Dotacja  celowa  z  budżetu  na  finansowanie  lub  dofinansowanie  zadań  zleconych  do  realizacji  stowarzyszeniom   </t>
  </si>
  <si>
    <t>Szkolenia pracowników niebędących członkami korpusu służby cywilnej</t>
  </si>
  <si>
    <t xml:space="preserve">Wpłaty jednostek na  fundusz celowy na   finansowanie  lub  dofinansowanie  zadań inwestycyjnych </t>
  </si>
  <si>
    <t xml:space="preserve"> Wpływy   z różnych  opłat </t>
  </si>
  <si>
    <t xml:space="preserve">Wpływy z  różnych dochodów </t>
  </si>
  <si>
    <t>60014 ,</t>
  </si>
  <si>
    <t>Wpłaty  na  fundusz   celowy (f.wsparcia  )</t>
  </si>
  <si>
    <t>Starostwo  Powiatowe   lubZ.SZ. CKU Gronowo</t>
  </si>
  <si>
    <t>Dotacja  celowa  z  budżetu  na  finansowanie  lub  dofinansowanie  zadań  zleconych  do  realizacji  fundacjom</t>
  </si>
  <si>
    <t>2,11,12</t>
  </si>
  <si>
    <t xml:space="preserve">WYDATKI  NA PROJEKTY  I  PROGRAMY   FINANSOWANE  Z  UDZIAŁEM    ŚRODKÓW  , O  KTÓRYCH  MOWA  W  art.5 ust.1 , pkt  2 i  3   USTAWY  O  FINANSACH  PUBLICZNYCH  ,  </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</si>
  <si>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</si>
  <si>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</si>
  <si>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</si>
  <si>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</si>
  <si>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</si>
  <si>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</si>
  <si>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</si>
  <si>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</si>
  <si>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</si>
  <si>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</si>
  <si>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</si>
  <si>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</si>
  <si>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</si>
  <si>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</si>
  <si>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</si>
  <si>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</si>
  <si>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</si>
  <si>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</si>
  <si>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</si>
  <si>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</si>
  <si>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</si>
  <si>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</si>
  <si>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</si>
  <si>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</si>
  <si>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</si>
  <si>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</si>
  <si>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</si>
  <si>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</si>
  <si>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</si>
  <si>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</si>
  <si>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</si>
  <si>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</si>
  <si>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</si>
  <si>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</si>
  <si>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</si>
  <si>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</si>
  <si>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</si>
  <si>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</si>
  <si>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</si>
  <si>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</si>
  <si>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</si>
  <si>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</si>
  <si>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</si>
  <si>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</si>
  <si>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</si>
  <si>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</si>
  <si>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</si>
  <si>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</si>
  <si>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</si>
  <si>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</si>
  <si>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</si>
  <si>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</si>
  <si>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</si>
  <si>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</si>
  <si>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</si>
  <si>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</si>
  <si>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</si>
  <si>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</si>
  <si>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</si>
  <si>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</si>
  <si>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</si>
  <si>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</si>
  <si>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</si>
  <si>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</si>
  <si>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</si>
  <si>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</si>
  <si>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</si>
  <si>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</si>
  <si>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</si>
  <si>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</si>
  <si>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</si>
  <si>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</si>
  <si>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</si>
  <si>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</si>
  <si>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</si>
  <si>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</si>
  <si>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</si>
  <si>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</si>
  <si>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</si>
  <si>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</si>
  <si>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</si>
  <si>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</si>
  <si>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</si>
  <si>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</si>
  <si>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</si>
  <si>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</si>
  <si>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</si>
  <si>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</si>
  <si>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</si>
  <si>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</si>
  <si>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</si>
  <si>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</si>
  <si>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Poprawa  bezpieczeństwa  na   drogach   publicznych  poprzez wybudowanie   dróg  rowerowych .</t>
  </si>
  <si>
    <t xml:space="preserve">Dotacje celowe otrzymane    z budżetu państwa na realizacje  inwestycji  i  zakupów  inwestycyjnych  własnych powiatu </t>
  </si>
  <si>
    <t xml:space="preserve">Razem  dochody </t>
  </si>
  <si>
    <t>853-85395</t>
  </si>
  <si>
    <t>853-85333</t>
  </si>
  <si>
    <t>DZIAŁALNOŚĆ USŁUGOWA</t>
  </si>
  <si>
    <t>obligacje  komunalne   z  roku  2010</t>
  </si>
  <si>
    <t xml:space="preserve">max  spłata   długu </t>
  </si>
  <si>
    <t>Termomodernizacja budynku warsztatów-kontynuacja  w  Z.SZ. CKU  Gronowo</t>
  </si>
  <si>
    <t xml:space="preserve">obligacji   2009  roku </t>
  </si>
  <si>
    <t>Planowane w roku budżetowym   2010</t>
  </si>
  <si>
    <t>Prognoza kwoty długu i spłat na rok 2010 i lata następne</t>
  </si>
  <si>
    <t xml:space="preserve">spłata   kredytu  z  2010 </t>
  </si>
  <si>
    <t>Odsetki  od   kredytu  3.800.000   zł (   5  %  )</t>
  </si>
  <si>
    <t>Plan
na 2010 r.
(6+13)</t>
  </si>
  <si>
    <t>Dyskonto  obligacji   3.600.000   zł  (  4  % )</t>
  </si>
  <si>
    <t>Przychody i rozchody budżetu w 2010 r.</t>
  </si>
  <si>
    <t>Wydatki budżetu powiatu na  2010 r.</t>
  </si>
  <si>
    <r>
      <t>PL</t>
    </r>
    <r>
      <rPr>
        <b/>
        <sz val="11"/>
        <rFont val="Arial CE"/>
        <family val="0"/>
      </rPr>
      <t xml:space="preserve">AN  2010 </t>
    </r>
  </si>
  <si>
    <t>Dochody budżetu powiatu na 2010 r.</t>
  </si>
  <si>
    <t>rok budżetowy 2010 (8+9+10+11)</t>
  </si>
  <si>
    <t xml:space="preserve">Limity wydatków na wieloletnie programy inwestycyjne w latach 2010 - 2012  r.i  lata  następne </t>
  </si>
  <si>
    <t>Łączne koszty finansowe   (2010-2012)</t>
  </si>
  <si>
    <r>
      <t xml:space="preserve">droga rowerowa: </t>
    </r>
    <r>
      <rPr>
        <sz val="11"/>
        <color indexed="8"/>
        <rFont val="Czcionka tekstu podstawowego"/>
        <family val="0"/>
      </rPr>
      <t>Toruń - Złotoria - Osiek</t>
    </r>
  </si>
  <si>
    <r>
      <t xml:space="preserve">droga rowerowa: </t>
    </r>
    <r>
      <rPr>
        <sz val="11"/>
        <color indexed="8"/>
        <rFont val="Czcionka tekstu podstawowego"/>
        <family val="0"/>
      </rPr>
      <t>Toruń - Chełmża z odgałęzieniem do  m. Kamionki Małe</t>
    </r>
  </si>
  <si>
    <r>
      <t xml:space="preserve">droga rowerowa: </t>
    </r>
    <r>
      <rPr>
        <sz val="11"/>
        <color indexed="8"/>
        <rFont val="Czcionka tekstu podstawowego"/>
        <family val="0"/>
      </rPr>
      <t>Toruń - Barbarka - Wybcz - Unisław</t>
    </r>
  </si>
  <si>
    <t>Projekty  UE</t>
  </si>
  <si>
    <t xml:space="preserve">Wolne  środki   </t>
  </si>
  <si>
    <t xml:space="preserve">Fundusze   celowe </t>
  </si>
  <si>
    <t>PCPR</t>
  </si>
  <si>
    <r>
      <t xml:space="preserve">rok budżetowy 2010 </t>
    </r>
    <r>
      <rPr>
        <b/>
        <sz val="10"/>
        <rFont val="Arial CE"/>
        <family val="0"/>
      </rPr>
      <t>(8+9+10+11)</t>
    </r>
  </si>
  <si>
    <t xml:space="preserve">Planowane wydatki 2010 </t>
  </si>
  <si>
    <t>Zadania inwestycyjne w 2010 r.</t>
  </si>
  <si>
    <t xml:space="preserve">W TYM  INWESTYCJE  WYKAZANE   W  ZAŁĄCZNIKU  NR   2  DO  UCHWAŁY  BUDŻETOWEJ   NA  2010  ROK </t>
  </si>
  <si>
    <t>Plan na 2010 r.</t>
  </si>
  <si>
    <t xml:space="preserve">Finansowanie   zadań  inwestycyjnych   Wojewódzkiej  Komendy  Policji </t>
  </si>
  <si>
    <t>Przebudowa  drogi 1619 Lisewo-Dubielno-Chełmża w km  8+972  do  12+552  na  dł. 3,580 km oraz  chodnik  ul.  Trakt  12+546 do  14+955  na  dł.  2,409 km</t>
  </si>
  <si>
    <t>Przebudowa   drogi  powiatowej  nr  2037C  Dobrzejewice-Świętosław-Mazowsze  w km 0+000 : 7+432 oraz   10+982 :11+551 na łączną  dł.8,001 km</t>
  </si>
  <si>
    <t>Kwota
2010 r.</t>
  </si>
  <si>
    <t xml:space="preserve"> oraz dochodów i wydatków dochodów własnych jednostek budżetowych na 2010 r.</t>
  </si>
  <si>
    <t>Rozliczenia
z budżetem
z tytułu wpłat nadwyżek środków za 2010 r.</t>
  </si>
  <si>
    <t>Przebudowa ciągu  komunikacyjnego Drogi powiatowej  nr  2009C Brzeźno-Młyniec-Lubicz Górny w km 3+450 : 9+590 oraz  drogi  powiatowej  nr  2035C  Młyniec I-Jedwabno-  Toruń  w km 0+000 : 0+703 na  łączną długość  6,843 km.</t>
  </si>
  <si>
    <t xml:space="preserve">Środki  na   finansowanie  własnych  inwestycji  gmin (  związków  gmin )  ,powiatów I związków  powiatów ) ,  samorządów  województw ,pozyskane  z innych  źródeł </t>
  </si>
  <si>
    <t xml:space="preserve">Wpływy  z  usług </t>
  </si>
  <si>
    <t>Wpływy z innych opłat stanowiących dochody jednostek samorządu terytorialnego na podstawie ustaw  </t>
  </si>
  <si>
    <t>Wpływy z innych lokalnych opłat pobieranych przez jednostki samorządu terytorialnego na podstawie odrębnych ustaw  </t>
  </si>
  <si>
    <t>Wpływy do budżetu części zysku gospodarstwa pomocniczego  </t>
  </si>
  <si>
    <t xml:space="preserve">Gimnazja  specjalne </t>
  </si>
  <si>
    <t>Pozostałe  odsetki</t>
  </si>
  <si>
    <t>Dochody i wydatki związane z realizacją zadań wykonywanych na podstawie porozumień (umów) między jednostkami samorządu terytorialnego w 2010 r.</t>
  </si>
  <si>
    <t>Dochody i wydatki związane z realizacją zadań z zakresu administracji rządowej i innych zadań zleconych odrębnymi ustawami w 2010 r.</t>
  </si>
  <si>
    <t>Dochody i wydatki związane z realizacją zadań z zakresu administracji rządowej wykonywanych na podstawie porozumień z organami administracji rządowej w 2010 r.</t>
  </si>
  <si>
    <t>Dotacje podmiotowe   w 2010 r.</t>
  </si>
  <si>
    <t xml:space="preserve">Dotacja podmiotowa z budżetu dla niepublicznej szkoły lub innej placówki oświatowo - wychowawczej-Kwota dotacji dla szkoły-Uzupełniającego  Liceum  Ogólnokształcącego w  Złej wsi  Wielkiej  .
</t>
  </si>
  <si>
    <t>RAZEM</t>
  </si>
  <si>
    <t>Wydatki  inwestycyjne jednostek budżetowych</t>
  </si>
  <si>
    <t>Dotacje celowe przekazane gminie lub  miastu  stołecznemu  Warszawie  na zadania bieżące realizowane na podstawie porozumień między  jednostkami samorządu terytorialnego- dokształcanie  zawodowe</t>
  </si>
  <si>
    <t>Dotacje celowe na zadania własne powiatu realizowane przez podmioty należące
i nie należące do sektora finansów publicznych w 2010 r.</t>
  </si>
  <si>
    <t>zał  nr   1</t>
  </si>
  <si>
    <t xml:space="preserve">RAZEM </t>
  </si>
  <si>
    <t>Wpływy z tytułu pomocy finansowej udzielanej między jednostkami samorządu terytorialnego na dofinansowanie własnych zadań inwestycyjnych i zakupów inwestycyjnych  </t>
  </si>
  <si>
    <t xml:space="preserve">Inwestycje   w  zasobach   powiatu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</si>
  <si>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- 3312 .Stawka  przyjęta  za  nadzór  za 1  ha - 14 zł.
</t>
  </si>
  <si>
    <t xml:space="preserve">Dotacje  dla  jednostek   sektora   finansów  publicznych </t>
  </si>
  <si>
    <t xml:space="preserve">Dotacje  dla  jednostek  spoza  sektora   finansów  publicznych </t>
  </si>
  <si>
    <t>DOTACJE  2010</t>
  </si>
  <si>
    <t>Kwalifikacja  wojskowa</t>
  </si>
  <si>
    <t xml:space="preserve">2010  rok </t>
  </si>
  <si>
    <t>2009 ROK</t>
  </si>
  <si>
    <t>2008/2009</t>
  </si>
  <si>
    <t>2.11</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</si>
  <si>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</si>
  <si>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</si>
  <si>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</si>
  <si>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</si>
  <si>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</si>
  <si>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</si>
  <si>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</si>
  <si>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</si>
  <si>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</si>
  <si>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</si>
  <si>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</si>
  <si>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</si>
  <si>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</si>
  <si>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</si>
  <si>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</si>
  <si>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</si>
  <si>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</si>
  <si>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</si>
  <si>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</si>
  <si>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</si>
  <si>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</si>
  <si>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</si>
  <si>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</si>
  <si>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</si>
  <si>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</si>
  <si>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</si>
  <si>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</si>
  <si>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</si>
  <si>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</si>
  <si>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</si>
  <si>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</si>
  <si>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</si>
  <si>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</si>
  <si>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</si>
  <si>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</si>
  <si>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</si>
  <si>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</si>
  <si>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</si>
  <si>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</si>
  <si>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</si>
  <si>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</si>
  <si>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</si>
  <si>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</si>
  <si>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</si>
  <si>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</si>
  <si>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</si>
  <si>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</si>
  <si>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</si>
  <si>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</si>
  <si>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</si>
  <si>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</si>
  <si>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</si>
  <si>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</si>
  <si>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</si>
  <si>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</si>
  <si>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Droga 2031 Zelgno- Bezdół -Zelgno od km 2+360 do km 2+860 na dł.0,500 km</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</si>
  <si>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</si>
  <si>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</si>
  <si>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</si>
  <si>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</si>
  <si>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</si>
  <si>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</si>
  <si>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</si>
  <si>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</si>
  <si>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</si>
  <si>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</si>
  <si>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</si>
  <si>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</si>
  <si>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</si>
  <si>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</si>
  <si>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</si>
  <si>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</si>
  <si>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</si>
  <si>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</si>
  <si>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</si>
  <si>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</si>
  <si>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</si>
  <si>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</si>
  <si>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</si>
  <si>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</si>
  <si>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</si>
  <si>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</si>
  <si>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</si>
  <si>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</si>
  <si>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</si>
  <si>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</si>
  <si>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</si>
  <si>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</si>
  <si>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</si>
  <si>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</si>
  <si>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</si>
  <si>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</si>
  <si>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</si>
  <si>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</si>
  <si>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</si>
  <si>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</si>
  <si>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</si>
  <si>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</si>
  <si>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</si>
  <si>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</si>
  <si>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</si>
  <si>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</si>
  <si>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</si>
  <si>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</si>
  <si>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Dodatkowe  wynagrodzenie  roczne </t>
  </si>
  <si>
    <t>Opłata  na  rzecz budżetów j.s.t</t>
  </si>
  <si>
    <t xml:space="preserve">Rezerwy  na  inwestycje  i  zakupy  inwestycyjne </t>
  </si>
  <si>
    <t xml:space="preserve">2960  Przelewy   redystrybucyjne </t>
  </si>
  <si>
    <t>0830 Wpływy  z  usług</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</si>
  <si>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</si>
  <si>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</si>
  <si>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</si>
  <si>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</si>
  <si>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</si>
  <si>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</si>
  <si>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</si>
  <si>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</si>
  <si>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</si>
  <si>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</si>
  <si>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</si>
  <si>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</si>
  <si>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</si>
  <si>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</si>
  <si>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</si>
  <si>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</si>
  <si>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</si>
  <si>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</si>
  <si>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</si>
  <si>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</si>
  <si>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</si>
  <si>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</si>
  <si>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</si>
  <si>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</si>
  <si>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</si>
  <si>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</si>
  <si>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</si>
  <si>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</si>
  <si>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</si>
  <si>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</si>
  <si>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</si>
  <si>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</si>
  <si>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</si>
  <si>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</si>
  <si>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</si>
  <si>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</si>
  <si>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</si>
  <si>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</si>
  <si>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</si>
  <si>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</si>
  <si>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</si>
  <si>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</si>
  <si>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</si>
  <si>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</si>
  <si>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</si>
  <si>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</si>
  <si>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</si>
  <si>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</si>
  <si>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</si>
  <si>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</si>
  <si>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</si>
  <si>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</si>
  <si>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</si>
  <si>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</si>
  <si>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</si>
  <si>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</si>
  <si>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</si>
  <si>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</si>
  <si>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</si>
  <si>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</si>
  <si>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</si>
  <si>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</si>
  <si>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</si>
  <si>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</si>
  <si>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</si>
  <si>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</si>
  <si>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</si>
  <si>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</si>
  <si>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</si>
  <si>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</si>
  <si>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</si>
  <si>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</si>
  <si>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</si>
  <si>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</si>
  <si>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</si>
  <si>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</si>
  <si>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</si>
  <si>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</si>
  <si>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</si>
  <si>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</si>
  <si>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</si>
  <si>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</si>
  <si>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dochody  jst  z  tyt.opłat  i  kar  za  zanieczyszczanie  środowiska</t>
  </si>
  <si>
    <t>Dotacje celowe przekazane dla powiatu na inwestycje i zakupy inwestycyjne realizowane na podstawie porozumień (umów) między jednostkami samorządu terytorialnego </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</si>
  <si>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</si>
  <si>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</si>
  <si>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</si>
  <si>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</si>
  <si>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</si>
  <si>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</si>
  <si>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</si>
  <si>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</si>
  <si>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</si>
  <si>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</si>
  <si>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</si>
  <si>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</si>
  <si>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</si>
  <si>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</si>
  <si>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</si>
  <si>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</si>
  <si>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</si>
  <si>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</si>
  <si>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</si>
  <si>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</si>
  <si>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</si>
  <si>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</si>
  <si>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</si>
  <si>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</si>
  <si>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</si>
  <si>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</si>
  <si>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</si>
  <si>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</si>
  <si>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</si>
  <si>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</si>
  <si>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</si>
  <si>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</si>
  <si>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</si>
  <si>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</si>
  <si>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</si>
  <si>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</si>
  <si>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</si>
  <si>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</si>
  <si>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</si>
  <si>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</si>
  <si>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Wynagrodzenia   bezosobowe</t>
  </si>
  <si>
    <t>Zakup  energii</t>
  </si>
  <si>
    <t>4208/4209</t>
  </si>
  <si>
    <t xml:space="preserve">zakup  materiałów  i  wyposażenia </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</si>
  <si>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</si>
  <si>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</si>
  <si>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</si>
  <si>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</si>
  <si>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</si>
  <si>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</si>
  <si>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</si>
  <si>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</si>
  <si>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</si>
  <si>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</si>
  <si>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</si>
  <si>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</si>
  <si>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</si>
  <si>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</si>
  <si>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</si>
  <si>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</si>
  <si>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</si>
  <si>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</si>
  <si>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</si>
  <si>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OBRONA NARODOWA</t>
  </si>
  <si>
    <t>Pozostałe  wydatki  obronne</t>
  </si>
  <si>
    <t>.752</t>
  </si>
  <si>
    <t>.75212</t>
  </si>
  <si>
    <t xml:space="preserve">Wynagrodzenia osobowe członków  korpusu  służby  cywilnej </t>
  </si>
  <si>
    <t>OBRONA  NARODOWA</t>
  </si>
  <si>
    <t>w  tym  na programy  współfinansowane   z  UE</t>
  </si>
  <si>
    <t>2,3,3A,4</t>
  </si>
  <si>
    <t>Kwota długu na dzień 31.12.2008</t>
  </si>
  <si>
    <t>obligacje  komunalne   z  roku  2009</t>
  </si>
  <si>
    <t xml:space="preserve">dotacje  z funduszu  celowego   na  finansowanie  lub  dofinansowanie kosztów    realizacji zadań bieżących   jednostek  spoza  sfery  finansów  publicznych </t>
  </si>
  <si>
    <t xml:space="preserve">Razem    fundusz </t>
  </si>
  <si>
    <t>852  i  PFOŚIGW</t>
  </si>
  <si>
    <t>STAROSTWO POWIATOWE</t>
  </si>
  <si>
    <t xml:space="preserve">Sprzęt  informatyczny  z   oprogramowaniem ,  inne  biurowe,  </t>
  </si>
  <si>
    <t>w  tym  :</t>
  </si>
  <si>
    <t xml:space="preserve">Kontynuacja robót budowlanych w obiektach zlokalizowanych przy ul. Hallera 25 w Chełmży zmierzających do adaptacji budynku dla potrzeb Placówki  Opiekuńczo-  Wychowawczej-  POW  GŁUCHOWO </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</si>
  <si>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</si>
  <si>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Wykończenie  budynku  zajmowanego   na  potrzeby  PCPR  w  Toruniu na  ul. Towarowej</t>
  </si>
  <si>
    <t>Wykończenie  budynku  zajmowanego   na  potrzeby  PCPR   w  Toruniu na  ul. Towarowej</t>
  </si>
  <si>
    <t xml:space="preserve">dodatkowe  wynagrodzenie  roczne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</si>
  <si>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</si>
  <si>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</si>
  <si>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</si>
  <si>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</si>
  <si>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</si>
  <si>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</si>
  <si>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Wypłaty z tytułu gwarancji i poręczeń</t>
  </si>
  <si>
    <t>Rozliczenia z tytułu poręczeń i gwarancji udzielonych przez Skarb Państwa lub jednostkę samorządu terytorialnego  </t>
  </si>
  <si>
    <t>Baza  sportowa  dla  Z.SZ.   CKU  w  Gronowie  i  środowiska  lokalnego  oraz  zaplecze   gastronomiczne 2011-2014</t>
  </si>
  <si>
    <t xml:space="preserve">Budowa  chodników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</si>
  <si>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</si>
  <si>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</si>
  <si>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</si>
  <si>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</si>
  <si>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</si>
  <si>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</si>
  <si>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</si>
  <si>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</si>
  <si>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Projekt 9.4-  UE</t>
  </si>
  <si>
    <t>6068/6069</t>
  </si>
  <si>
    <t xml:space="preserve">Priorytet  IX -  Rozwój  wykształcenia  i  kompetencji   w  regionach  .  Działanie  9.3  Upowszechnianie formalnego  kształcenia  ustawicznego  Tytuł  projektu  : Nigdy  nie  jest   za  późno  na  naukę -  daj  sobie  drugą  szansę </t>
  </si>
  <si>
    <t>dochody własne jst,</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</si>
  <si>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</si>
  <si>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</si>
  <si>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z tego: 2009 r.</t>
  </si>
  <si>
    <t>20010 r.</t>
  </si>
  <si>
    <t>2011 r.</t>
  </si>
  <si>
    <t xml:space="preserve">Wydatki na  zakupy   inwestycyjne  jednostek  budżetowych </t>
  </si>
  <si>
    <t xml:space="preserve">Szkolenie  pracowników  korpusu  służby  cywilnej </t>
  </si>
  <si>
    <t xml:space="preserve">Komendy  Powiatowe   Policji </t>
  </si>
  <si>
    <t xml:space="preserve">Zakup  pozostałych  usług </t>
  </si>
  <si>
    <t xml:space="preserve">Dotacje celowe przekazane dla  powiatu  e  na zadania bieżące realizowane na podstawie porozumień między jednostkami samorządu terytorialnego </t>
  </si>
  <si>
    <t>2.8</t>
  </si>
  <si>
    <t xml:space="preserve">„ Majówka  Europejska ”   ,  w  ramach   Programu  Operacyjnego   Pomoc  Techniczna  2007-2013  </t>
  </si>
  <si>
    <t xml:space="preserve">STAROSTWO POWIATOWE  lub   DPS Browina </t>
  </si>
  <si>
    <t xml:space="preserve">Zakup  udziałów w  spółce  Szpital  Powiatowy   w  Chełmży </t>
  </si>
  <si>
    <t>2.9</t>
  </si>
  <si>
    <t xml:space="preserve">Dotacje  udzielane   przez inne   samorządy ,  pomoc   finansowa </t>
  </si>
  <si>
    <t xml:space="preserve">Szpitale  ogólne </t>
  </si>
  <si>
    <t xml:space="preserve">Wydatki na  zakup  i  objęcie  akcji  oraz  wniesienie  wkładów  do  spółek prawa  handlowego </t>
  </si>
  <si>
    <t>750/75001</t>
  </si>
  <si>
    <t xml:space="preserve">Składki  na  fundusz merytur   pomostowowych </t>
  </si>
  <si>
    <t>0920  Pozostałe  odsetki</t>
  </si>
  <si>
    <t>„  Przebudowa systemu  ogrzewania  budynku  i  przygotowania ciepłej wody  użytkowej poprzez zastosowanie zespołu pomp ciepła wykorzystujących energię geotermiczną  ziemi  dla  Domu  Pomocy Społecznej   w  Pigży „</t>
  </si>
  <si>
    <t>inne   wydatki   w  dz.  852</t>
  </si>
  <si>
    <t>dział   900  r. 90019</t>
  </si>
  <si>
    <r>
      <t>Oś: 1- Rozwój infrastruktury  technicznej ,Działanie :1.1 - Infrastruktura drogowa, Tytuł projektu : Poprawa bezpieczeństwa  na  drogach publicznych poprzez wybudowanie dróg rowerowych-droga  rowerowa Toruń- Chełmża   z  odgałęzieniem   do  m.  Kamionki  Małe   -</t>
    </r>
    <r>
      <rPr>
        <b/>
        <sz val="10"/>
        <color indexed="10"/>
        <rFont val="Arial"/>
        <family val="2"/>
      </rPr>
      <t xml:space="preserve">projekt  przed  złożeniem   wniosku  aplikacyjnego </t>
    </r>
  </si>
  <si>
    <t xml:space="preserve">( kwoty zgodne  z  przygotowywanym harmonogramem(  budżetem  )  realizacji  projektu </t>
  </si>
  <si>
    <r>
      <t>Oś: 1- Rozwój infrastruktury  technicznej ,Działanie :1.1 - Infrastruktura drogowa, Tytuł projektu : Poprawa bezpieczeństwa  na  drogach publicznych poprzez wybudowanie dróg rowerowych-droga  rowerowa Toruń-Brabarka -Wybcz -  Unisław    -</t>
    </r>
    <r>
      <rPr>
        <b/>
        <sz val="10"/>
        <color indexed="10"/>
        <rFont val="Arial"/>
        <family val="2"/>
      </rPr>
      <t xml:space="preserve">projekt  przed  złożeniem  wniosku  aplikacyjnego </t>
    </r>
  </si>
  <si>
    <r>
      <t xml:space="preserve">Oś: 1- Rozwój infrastruktury  technicznej ,Działanie :1.1 - Infrastruktura drogowa, Tytuł projektu : Poprawa bezpieczeństwa  na  drogach publicznych poprzez wybudowanie dróg rowerowych-droga  rowerowa Toruń-Złotoria -Osiek   </t>
    </r>
    <r>
      <rPr>
        <b/>
        <sz val="10"/>
        <color indexed="10"/>
        <rFont val="Arial"/>
        <family val="2"/>
      </rPr>
      <t xml:space="preserve">- projekt przed  złożeniem  wniosku  aplikacyjnego </t>
    </r>
  </si>
  <si>
    <t>Dotacje celowe w ramach programów finansowanych z udziałem środków europejskich oraz środków, o których mowa w art. 5 ust. 1 pkt 3 oraz ust. 3 pkt 5 i 6 ustawy, lub płatności w ramach budżetu środków europejskich </t>
  </si>
  <si>
    <t>UE</t>
  </si>
  <si>
    <t>Zakup usług obejmujących tłumaczenia</t>
  </si>
  <si>
    <t>13  Zfn</t>
  </si>
  <si>
    <t>świadczenia  na  rzecz  osób  (  UE</t>
  </si>
  <si>
    <t>1.4.2</t>
  </si>
  <si>
    <t xml:space="preserve">Przebudowa  drogi 1619 Lisewo –Dubielno -Chełmża w km  8+972  do  12+552  na  dł. 3,580 km oraz  chodnik  ul.  Trakt  12+546 do  14+955  na  dł.  2,409 km      </t>
  </si>
  <si>
    <t>OŚ -  3  Działanie  3.2   Nr projektu nr: WND-RPKP.03.02.00-04-009/09 pt:” Przebudowa i dostosowanie do obowiązujących standardów dla Domów Pomocy Społecznej Budynku Zespołu nr 2 w Browinie”</t>
  </si>
  <si>
    <t>„  Przebudowa systemu  ogrzewania  budynku  i  przygotowania ciepłej wody  użytkowej poprzez zastosowanie zespołu pomp ciepła wykorzystujących energię geotermiczną  ziemi  dla  Domu  Pomocy Społecznej   w  Pigży „ .</t>
  </si>
  <si>
    <t>Aktywizacja  społeczna  mieszkańców DPS Browina</t>
  </si>
  <si>
    <t>PCPR  w  Toruniu   -  "  Uwierzyć  w  siebie  "</t>
  </si>
  <si>
    <t xml:space="preserve">Dodatkowe  wynagrodzenie roczne </t>
  </si>
  <si>
    <t xml:space="preserve">Zakup  usług  remontowych </t>
  </si>
  <si>
    <t>Priorytetu  VII - Promocja  integracji  społecznej  ,</t>
  </si>
  <si>
    <t>Działania  -  7.1  -  rozwój  i  upowszechnianie   aktywnej   integracji ,</t>
  </si>
  <si>
    <t>Poddziałania -  7.1.2  Rozwój  i  upowszechnianie   aktywnej   integracji  przez  powiatowe   centra   pomocy  rodzinie .</t>
  </si>
  <si>
    <t>Priorytet IX</t>
  </si>
  <si>
    <t>Rozwój wykształcenia i kompetencji w regionach</t>
  </si>
  <si>
    <t>Działanie 9.6</t>
  </si>
  <si>
    <t>Projekty innowacyjne</t>
  </si>
  <si>
    <t>Projekt 9.6</t>
  </si>
  <si>
    <t>"Szkoła innowacyjna i konkurencyjna - dostosowanie oferty szkolnictwa zawodowego do wymagań lokalnego rynku pracy"</t>
  </si>
  <si>
    <t xml:space="preserve">SP   W  Toruniu </t>
  </si>
  <si>
    <t xml:space="preserve">Szkolenia  pracowników nie  będących   członkami   korpusu  służby   cywilnej </t>
  </si>
  <si>
    <t>1.7</t>
  </si>
  <si>
    <r>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r>
    <r>
      <rPr>
        <b/>
        <sz val="10"/>
        <color indexed="10"/>
        <rFont val="Arial"/>
        <family val="2"/>
      </rPr>
      <t xml:space="preserve"> </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</si>
</sst>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 numFmtId="173" formatCode="#,##0.0000"/>
  </numFmts>
  <fonts count="106">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color indexed="8"/>
      <name val="Times New Roman"/>
      <family val="1"/>
    </font>
    <font>
      <sz val="10"/>
      <name val="Times New Roman"/>
      <family val="1"/>
    </font>
    <font>
      <sz val="11"/>
      <color indexed="8"/>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b/>
      <u val="single"/>
      <sz val="9"/>
      <name val="Times New Roman"/>
      <family val="1"/>
    </font>
    <font>
      <b/>
      <sz val="9"/>
      <name val="Times New Roman"/>
      <family val="1"/>
    </font>
    <font>
      <b/>
      <u val="single"/>
      <sz val="8"/>
      <name val="Times New Roman"/>
      <family val="1"/>
    </font>
    <font>
      <b/>
      <sz val="8"/>
      <name val="Times New Roman"/>
      <family val="1"/>
    </font>
    <font>
      <sz val="7"/>
      <name val="Arial"/>
      <family val="2"/>
    </font>
    <font>
      <b/>
      <sz val="12"/>
      <name val="Arial"/>
      <family val="2"/>
    </font>
    <font>
      <b/>
      <u val="single"/>
      <sz val="12"/>
      <name val="Arial"/>
      <family val="2"/>
    </font>
    <font>
      <b/>
      <sz val="11"/>
      <name val="Calibri"/>
      <family val="2"/>
    </font>
    <font>
      <b/>
      <sz val="10"/>
      <color indexed="8"/>
      <name val="Times New Roman"/>
      <family val="1"/>
    </font>
    <font>
      <sz val="8"/>
      <color indexed="8"/>
      <name val="Times New Roman"/>
      <family val="1"/>
    </font>
    <font>
      <sz val="10"/>
      <color indexed="10"/>
      <name val="Arial CE"/>
      <family val="2"/>
    </font>
    <font>
      <b/>
      <sz val="9"/>
      <name val="Arial"/>
      <family val="2"/>
    </font>
    <font>
      <u val="single"/>
      <sz val="8"/>
      <name val="Times New Roman"/>
      <family val="1"/>
    </font>
    <font>
      <sz val="11"/>
      <color indexed="8"/>
      <name val="Czcionka tekstu podstawowego"/>
      <family val="0"/>
    </font>
    <font>
      <sz val="7"/>
      <name val="Arial CE"/>
      <family val="0"/>
    </font>
    <font>
      <b/>
      <sz val="10"/>
      <color indexed="10"/>
      <name val="Arial"/>
      <family val="2"/>
    </font>
    <font>
      <b/>
      <sz val="10"/>
      <color indexed="10"/>
      <name val="Arial CE"/>
      <family val="0"/>
    </font>
    <font>
      <sz val="10"/>
      <color indexed="55"/>
      <name val="Arial CE"/>
      <family val="0"/>
    </font>
    <font>
      <sz val="8"/>
      <color indexed="55"/>
      <name val="Arial CE"/>
      <family val="2"/>
    </font>
    <font>
      <b/>
      <u val="single"/>
      <sz val="8"/>
      <name val="Arial CE"/>
      <family val="0"/>
    </font>
    <font>
      <b/>
      <u val="single"/>
      <sz val="8"/>
      <name val="Arial"/>
      <family val="2"/>
    </font>
    <font>
      <sz val="9"/>
      <name val="Times New Roman"/>
      <family val="1"/>
    </font>
    <font>
      <b/>
      <u val="single"/>
      <sz val="9"/>
      <name val="Arial"/>
      <family val="2"/>
    </font>
    <font>
      <sz val="12"/>
      <color indexed="10"/>
      <name val="Arial"/>
      <family val="2"/>
    </font>
    <font>
      <sz val="8"/>
      <name val="Calibri"/>
      <family val="2"/>
    </font>
    <font>
      <sz val="11"/>
      <name val="Calibri"/>
      <family val="2"/>
    </font>
    <font>
      <sz val="14"/>
      <name val="Arial"/>
      <family val="2"/>
    </font>
    <font>
      <b/>
      <sz val="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
      <patternFill patternType="solid">
        <fgColor indexed="14"/>
        <bgColor indexed="64"/>
      </patternFill>
    </fill>
    <fill>
      <patternFill patternType="solid">
        <fgColor theme="0"/>
        <bgColor indexed="64"/>
      </patternFill>
    </fill>
    <fill>
      <patternFill patternType="solid">
        <fgColor rgb="FFFFFF00"/>
        <bgColor indexed="64"/>
      </patternFill>
    </fill>
    <fill>
      <patternFill patternType="solid">
        <fgColor indexed="55"/>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style="thin"/>
      <right>
        <color indexed="63"/>
      </right>
      <top>
        <color indexed="63"/>
      </top>
      <bottom style="medium"/>
    </border>
    <border>
      <left>
        <color indexed="63"/>
      </left>
      <right style="thin"/>
      <top style="thin"/>
      <bottom>
        <color indexed="63"/>
      </bottom>
    </border>
    <border>
      <left style="medium"/>
      <right style="medium"/>
      <top style="medium"/>
      <bottom style="mediu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thin"/>
      <bottom style="thin"/>
    </border>
    <border>
      <left style="thin"/>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hair"/>
      <bottom style="hair"/>
    </border>
    <border>
      <left style="thin"/>
      <right>
        <color indexed="63"/>
      </right>
      <top style="hair"/>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1" applyNumberFormat="0" applyAlignment="0" applyProtection="0"/>
    <xf numFmtId="0" fontId="91" fillId="27" borderId="2" applyNumberFormat="0" applyAlignment="0" applyProtection="0"/>
    <xf numFmtId="0" fontId="9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93" fillId="0" borderId="3" applyNumberFormat="0" applyFill="0" applyAlignment="0" applyProtection="0"/>
    <xf numFmtId="0" fontId="94" fillId="29" borderId="4" applyNumberFormat="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30" borderId="0" applyNumberFormat="0" applyBorder="0" applyAlignment="0" applyProtection="0"/>
    <xf numFmtId="0" fontId="9" fillId="0" borderId="0">
      <alignment/>
      <protection/>
    </xf>
    <xf numFmtId="0" fontId="99" fillId="27"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100" fillId="0" borderId="8"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32" borderId="0" applyNumberFormat="0" applyBorder="0" applyAlignment="0" applyProtection="0"/>
  </cellStyleXfs>
  <cellXfs count="875">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33"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0" fillId="0" borderId="11" xfId="52" applyFont="1" applyBorder="1" applyAlignment="1">
      <alignment horizontal="center"/>
      <protection/>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33"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33"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33"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3" fontId="0" fillId="0" borderId="10" xfId="0" applyNumberFormat="1" applyBorder="1" applyAlignment="1">
      <alignment/>
    </xf>
    <xf numFmtId="1" fontId="8" fillId="0" borderId="10" xfId="0" applyNumberFormat="1" applyFont="1" applyBorder="1" applyAlignment="1">
      <alignment vertical="center" wrapText="1" shrinkToFi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33"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3" fontId="14" fillId="0" borderId="19" xfId="0" applyNumberFormat="1" applyFont="1" applyBorder="1" applyAlignment="1">
      <alignment horizontal="right" vertical="top" wrapText="1"/>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34" borderId="20" xfId="0" applyFont="1" applyFill="1" applyBorder="1" applyAlignment="1">
      <alignment shrinkToFit="1"/>
    </xf>
    <xf numFmtId="0" fontId="6" fillId="34" borderId="21" xfId="0" applyFont="1" applyFill="1" applyBorder="1" applyAlignment="1">
      <alignment shrinkToFit="1"/>
    </xf>
    <xf numFmtId="1" fontId="6" fillId="34" borderId="21" xfId="0" applyNumberFormat="1" applyFont="1" applyFill="1" applyBorder="1" applyAlignment="1">
      <alignment/>
    </xf>
    <xf numFmtId="1" fontId="0" fillId="34" borderId="22" xfId="0" applyNumberFormat="1" applyFont="1" applyFill="1" applyBorder="1" applyAlignment="1">
      <alignment wrapText="1"/>
    </xf>
    <xf numFmtId="3" fontId="6" fillId="34" borderId="21" xfId="0" applyNumberFormat="1" applyFont="1" applyFill="1" applyBorder="1" applyAlignment="1">
      <alignment wrapText="1" shrinkToFit="1"/>
    </xf>
    <xf numFmtId="0" fontId="8" fillId="0" borderId="0" xfId="0" applyFont="1" applyAlignment="1">
      <alignment vertical="center"/>
    </xf>
    <xf numFmtId="3" fontId="10" fillId="35" borderId="14" xfId="52" applyNumberFormat="1" applyFont="1" applyFill="1" applyBorder="1">
      <alignment/>
      <protection/>
    </xf>
    <xf numFmtId="3" fontId="4" fillId="35" borderId="10" xfId="0" applyNumberFormat="1" applyFont="1" applyFill="1" applyBorder="1" applyAlignment="1">
      <alignment vertical="center"/>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4"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8" fillId="0" borderId="0" xfId="0" applyNumberFormat="1" applyFont="1" applyAlignment="1">
      <alignment horizontal="left"/>
    </xf>
    <xf numFmtId="3" fontId="1" fillId="33"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33"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33"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27" fillId="0" borderId="18" xfId="0" applyFont="1" applyBorder="1" applyAlignment="1">
      <alignment horizontal="center" vertical="center"/>
    </xf>
    <xf numFmtId="0" fontId="1" fillId="0" borderId="10" xfId="0" applyFont="1" applyBorder="1" applyAlignment="1">
      <alignment vertical="center"/>
    </xf>
    <xf numFmtId="3" fontId="27" fillId="33" borderId="10" xfId="0" applyNumberFormat="1" applyFont="1" applyFill="1" applyBorder="1" applyAlignment="1">
      <alignment horizontal="center" vertical="center"/>
    </xf>
    <xf numFmtId="0" fontId="32" fillId="0" borderId="10" xfId="52" applyFont="1" applyBorder="1" applyAlignment="1">
      <alignment wrapText="1"/>
      <protection/>
    </xf>
    <xf numFmtId="0" fontId="33" fillId="0" borderId="28" xfId="0" applyFont="1" applyBorder="1" applyAlignment="1">
      <alignment vertical="top" wrapText="1"/>
    </xf>
    <xf numFmtId="0" fontId="34" fillId="0" borderId="28" xfId="0" applyFont="1" applyBorder="1" applyAlignment="1">
      <alignment vertical="top" wrapText="1"/>
    </xf>
    <xf numFmtId="3" fontId="33" fillId="0" borderId="29" xfId="0" applyNumberFormat="1" applyFont="1" applyBorder="1" applyAlignment="1">
      <alignment vertical="top" wrapText="1"/>
    </xf>
    <xf numFmtId="0" fontId="33" fillId="0" borderId="0" xfId="0" applyFont="1" applyAlignment="1">
      <alignment/>
    </xf>
    <xf numFmtId="0" fontId="37" fillId="0" borderId="0" xfId="0" applyFont="1" applyAlignment="1">
      <alignment/>
    </xf>
    <xf numFmtId="0" fontId="38" fillId="0" borderId="0" xfId="0" applyFont="1" applyFill="1" applyBorder="1" applyAlignment="1">
      <alignment vertical="top" wrapText="1"/>
    </xf>
    <xf numFmtId="0" fontId="34" fillId="0" borderId="0" xfId="0" applyFont="1" applyAlignment="1">
      <alignment wrapText="1"/>
    </xf>
    <xf numFmtId="3" fontId="0" fillId="0" borderId="0" xfId="0" applyNumberFormat="1" applyAlignment="1">
      <alignment wrapText="1"/>
    </xf>
    <xf numFmtId="0" fontId="24" fillId="0" borderId="10" xfId="0" applyFont="1" applyBorder="1" applyAlignment="1">
      <alignment horizontal="justify"/>
    </xf>
    <xf numFmtId="3" fontId="4" fillId="0" borderId="10" xfId="0" applyNumberFormat="1" applyFont="1" applyBorder="1" applyAlignment="1">
      <alignment/>
    </xf>
    <xf numFmtId="3" fontId="17" fillId="0" borderId="10" xfId="0" applyNumberFormat="1" applyFont="1" applyBorder="1" applyAlignment="1">
      <alignment horizontal="right" vertical="center" wrapText="1"/>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9" fillId="0" borderId="10" xfId="0" applyNumberFormat="1" applyFont="1" applyBorder="1" applyAlignment="1">
      <alignment horizontal="center" vertical="center"/>
    </xf>
    <xf numFmtId="3" fontId="40" fillId="0" borderId="10" xfId="0" applyNumberFormat="1" applyFont="1" applyFill="1" applyBorder="1" applyAlignment="1">
      <alignment horizontal="right" vertical="center"/>
    </xf>
    <xf numFmtId="0" fontId="40" fillId="0" borderId="10" xfId="0" applyFont="1" applyBorder="1" applyAlignment="1">
      <alignment horizontal="center" vertical="center" shrinkToFit="1"/>
    </xf>
    <xf numFmtId="1" fontId="40"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3" fontId="33" fillId="0" borderId="30" xfId="0" applyNumberFormat="1" applyFont="1" applyBorder="1" applyAlignment="1">
      <alignment vertical="top" wrapText="1"/>
    </xf>
    <xf numFmtId="1" fontId="40"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33"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33" borderId="10" xfId="0" applyNumberFormat="1" applyFont="1" applyFill="1" applyBorder="1" applyAlignment="1">
      <alignment vertical="center"/>
    </xf>
    <xf numFmtId="0" fontId="0" fillId="0" borderId="10" xfId="0" applyFont="1" applyBorder="1" applyAlignment="1">
      <alignment horizontal="center" vertical="center"/>
    </xf>
    <xf numFmtId="3" fontId="40" fillId="0" borderId="10" xfId="0" applyNumberFormat="1" applyFont="1" applyFill="1" applyBorder="1" applyAlignment="1">
      <alignment/>
    </xf>
    <xf numFmtId="0" fontId="11" fillId="0" borderId="12" xfId="52" applyFont="1" applyBorder="1" applyAlignment="1">
      <alignment horizontal="center" vertical="center"/>
      <protection/>
    </xf>
    <xf numFmtId="3" fontId="40"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0" fontId="8" fillId="0" borderId="10" xfId="0" applyFont="1" applyBorder="1" applyAlignment="1">
      <alignment vertical="center"/>
    </xf>
    <xf numFmtId="0" fontId="11" fillId="0" borderId="15" xfId="52" applyFont="1" applyBorder="1" applyAlignment="1">
      <alignment horizontal="center" vertical="center"/>
      <protection/>
    </xf>
    <xf numFmtId="3" fontId="10" fillId="35" borderId="10" xfId="52" applyNumberFormat="1" applyFont="1" applyFill="1" applyBorder="1">
      <alignment/>
      <protection/>
    </xf>
    <xf numFmtId="3" fontId="25" fillId="3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3" fontId="0" fillId="0" borderId="11" xfId="0" applyNumberFormat="1" applyBorder="1" applyAlignment="1">
      <alignment horizontal="center" vertical="center"/>
    </xf>
    <xf numFmtId="0" fontId="12" fillId="0" borderId="10" xfId="52" applyFont="1" applyBorder="1" applyAlignment="1">
      <alignment horizontal="center" vertical="center" wrapText="1"/>
      <protection/>
    </xf>
    <xf numFmtId="0" fontId="10" fillId="35" borderId="11" xfId="52" applyFont="1" applyFill="1" applyBorder="1" applyAlignment="1">
      <alignment wrapText="1"/>
      <protection/>
    </xf>
    <xf numFmtId="0" fontId="11" fillId="0" borderId="12" xfId="52" applyFont="1" applyBorder="1" applyAlignment="1">
      <alignment wrapText="1"/>
      <protection/>
    </xf>
    <xf numFmtId="0" fontId="11" fillId="0" borderId="23" xfId="52" applyFont="1" applyBorder="1" applyAlignment="1">
      <alignment wrapText="1"/>
      <protection/>
    </xf>
    <xf numFmtId="0" fontId="11" fillId="0" borderId="24" xfId="52" applyFont="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33"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41" fillId="0" borderId="10" xfId="0" applyFont="1" applyBorder="1" applyAlignment="1">
      <alignment/>
    </xf>
    <xf numFmtId="0" fontId="41" fillId="0" borderId="10" xfId="0" applyFont="1" applyBorder="1" applyAlignment="1">
      <alignment wrapText="1"/>
    </xf>
    <xf numFmtId="3" fontId="41" fillId="0" borderId="10" xfId="0" applyNumberFormat="1" applyFont="1" applyBorder="1" applyAlignment="1">
      <alignment vertical="center"/>
    </xf>
    <xf numFmtId="0" fontId="41"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41" fillId="0" borderId="10" xfId="0" applyFont="1" applyBorder="1" applyAlignment="1">
      <alignment horizontal="center" vertical="center" shrinkToFit="1"/>
    </xf>
    <xf numFmtId="1" fontId="41" fillId="0" borderId="10" xfId="0" applyNumberFormat="1" applyFont="1" applyBorder="1" applyAlignment="1">
      <alignment horizontal="center" vertical="center"/>
    </xf>
    <xf numFmtId="1" fontId="41" fillId="0" borderId="10" xfId="0" applyNumberFormat="1" applyFont="1" applyBorder="1" applyAlignment="1">
      <alignment vertical="center" wrapText="1" shrinkToFit="1"/>
    </xf>
    <xf numFmtId="3" fontId="41"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2" fillId="0" borderId="10" xfId="0" applyFont="1" applyBorder="1" applyAlignment="1">
      <alignment wrapText="1"/>
    </xf>
    <xf numFmtId="0" fontId="42" fillId="0" borderId="0" xfId="0" applyFont="1" applyAlignment="1">
      <alignment wrapText="1"/>
    </xf>
    <xf numFmtId="3" fontId="7" fillId="0" borderId="10" xfId="0" applyNumberFormat="1" applyFont="1" applyFill="1" applyBorder="1" applyAlignment="1">
      <alignment vertical="center" shrinkToFit="1"/>
    </xf>
    <xf numFmtId="3" fontId="41" fillId="0" borderId="0" xfId="0" applyNumberFormat="1" applyFont="1" applyFill="1" applyBorder="1" applyAlignment="1">
      <alignment/>
    </xf>
    <xf numFmtId="3" fontId="7" fillId="0" borderId="10" xfId="0" applyNumberFormat="1" applyFont="1" applyBorder="1" applyAlignment="1">
      <alignment/>
    </xf>
    <xf numFmtId="3" fontId="41"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41"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41"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9" fillId="0" borderId="10" xfId="0" applyFont="1" applyBorder="1" applyAlignment="1">
      <alignment horizontal="right" vertical="center" shrinkToFit="1"/>
    </xf>
    <xf numFmtId="1" fontId="39" fillId="0" borderId="10" xfId="0" applyNumberFormat="1" applyFont="1" applyBorder="1" applyAlignment="1">
      <alignment vertical="center" wrapText="1" shrinkToFit="1"/>
    </xf>
    <xf numFmtId="0" fontId="8" fillId="36" borderId="10" xfId="0" applyFont="1" applyFill="1" applyBorder="1" applyAlignment="1">
      <alignment/>
    </xf>
    <xf numFmtId="0" fontId="27" fillId="36" borderId="10" xfId="0" applyFont="1" applyFill="1" applyBorder="1" applyAlignment="1">
      <alignment wrapText="1"/>
    </xf>
    <xf numFmtId="0" fontId="42" fillId="0" borderId="0" xfId="0" applyFont="1" applyBorder="1" applyAlignment="1">
      <alignment wrapText="1"/>
    </xf>
    <xf numFmtId="0" fontId="33" fillId="0" borderId="10" xfId="0" applyFont="1" applyBorder="1" applyAlignment="1">
      <alignment vertical="top" wrapText="1"/>
    </xf>
    <xf numFmtId="0" fontId="35" fillId="0" borderId="10" xfId="0" applyFont="1" applyBorder="1" applyAlignment="1">
      <alignment vertical="top" wrapText="1"/>
    </xf>
    <xf numFmtId="3" fontId="38" fillId="36"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3" fontId="0" fillId="0" borderId="0" xfId="0" applyNumberFormat="1" applyFont="1" applyAlignment="1">
      <alignment vertical="center"/>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0" fillId="0" borderId="10" xfId="0" applyBorder="1" applyAlignment="1">
      <alignment horizontal="center"/>
    </xf>
    <xf numFmtId="0" fontId="4" fillId="0" borderId="31" xfId="0" applyFont="1" applyBorder="1" applyAlignment="1">
      <alignment vertical="center" wrapText="1"/>
    </xf>
    <xf numFmtId="3" fontId="4" fillId="0" borderId="29" xfId="0" applyNumberFormat="1" applyFont="1" applyBorder="1" applyAlignment="1">
      <alignment vertical="center"/>
    </xf>
    <xf numFmtId="3" fontId="4" fillId="0" borderId="25"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1" fillId="0" borderId="10" xfId="0" applyFont="1" applyBorder="1" applyAlignment="1">
      <alignment vertical="center" wrapText="1"/>
    </xf>
    <xf numFmtId="0" fontId="36"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0" fontId="11" fillId="0" borderId="10" xfId="0" applyFont="1" applyBorder="1" applyAlignment="1">
      <alignment horizontal="left" vertical="center" wrapText="1"/>
    </xf>
    <xf numFmtId="0" fontId="8" fillId="0" borderId="18" xfId="0" applyFont="1" applyBorder="1" applyAlignment="1">
      <alignment vertical="center" wrapText="1"/>
    </xf>
    <xf numFmtId="171" fontId="14" fillId="0" borderId="10" xfId="0" applyNumberFormat="1" applyFont="1" applyBorder="1" applyAlignment="1">
      <alignment horizontal="left" vertical="center" wrapText="1"/>
    </xf>
    <xf numFmtId="0" fontId="0" fillId="0" borderId="32" xfId="0" applyFont="1" applyBorder="1" applyAlignment="1">
      <alignment vertical="center"/>
    </xf>
    <xf numFmtId="0" fontId="0" fillId="0" borderId="14" xfId="0" applyFont="1" applyBorder="1" applyAlignment="1">
      <alignment vertical="center"/>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0" fontId="0" fillId="0" borderId="18" xfId="0" applyFont="1" applyBorder="1" applyAlignment="1">
      <alignment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2" xfId="52" applyFont="1" applyFill="1" applyBorder="1" applyAlignment="1">
      <alignment horizontal="center" vertical="center"/>
      <protection/>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14" fillId="0" borderId="33" xfId="0" applyFont="1" applyBorder="1" applyAlignment="1">
      <alignment/>
    </xf>
    <xf numFmtId="0" fontId="36" fillId="0" borderId="28" xfId="0" applyFont="1" applyBorder="1" applyAlignment="1">
      <alignment horizontal="center" wrapText="1"/>
    </xf>
    <xf numFmtId="0" fontId="14" fillId="0" borderId="28" xfId="0" applyFont="1" applyBorder="1" applyAlignment="1">
      <alignment horizontal="center" wrapText="1"/>
    </xf>
    <xf numFmtId="0" fontId="23" fillId="0" borderId="28" xfId="0" applyFont="1" applyBorder="1" applyAlignment="1">
      <alignment wrapText="1"/>
    </xf>
    <xf numFmtId="0" fontId="14" fillId="0" borderId="34" xfId="0" applyFont="1" applyBorder="1" applyAlignment="1">
      <alignment horizontal="right"/>
    </xf>
    <xf numFmtId="0" fontId="51" fillId="0" borderId="29" xfId="0" applyFont="1" applyBorder="1" applyAlignment="1">
      <alignment wrapText="1"/>
    </xf>
    <xf numFmtId="3" fontId="17" fillId="0" borderId="29" xfId="0" applyNumberFormat="1" applyFont="1" applyBorder="1" applyAlignment="1">
      <alignment horizontal="right" wrapText="1"/>
    </xf>
    <xf numFmtId="0" fontId="14" fillId="0" borderId="29" xfId="0" applyFont="1" applyBorder="1" applyAlignment="1">
      <alignment wrapText="1"/>
    </xf>
    <xf numFmtId="0" fontId="14" fillId="0" borderId="34" xfId="0" applyFont="1" applyBorder="1" applyAlignment="1">
      <alignment/>
    </xf>
    <xf numFmtId="0" fontId="52" fillId="0" borderId="29" xfId="0" applyFont="1" applyBorder="1" applyAlignment="1">
      <alignment wrapText="1"/>
    </xf>
    <xf numFmtId="3" fontId="14" fillId="0" borderId="29" xfId="0" applyNumberFormat="1" applyFont="1" applyBorder="1" applyAlignment="1">
      <alignment horizontal="right" wrapText="1"/>
    </xf>
    <xf numFmtId="0" fontId="14" fillId="0" borderId="29" xfId="0" applyFont="1" applyBorder="1" applyAlignment="1">
      <alignment horizontal="right" wrapText="1"/>
    </xf>
    <xf numFmtId="0" fontId="34" fillId="0" borderId="29" xfId="0" applyFont="1" applyBorder="1" applyAlignment="1">
      <alignment wrapText="1"/>
    </xf>
    <xf numFmtId="0" fontId="36" fillId="0" borderId="10" xfId="0" applyFont="1" applyBorder="1" applyAlignment="1">
      <alignment wrapText="1"/>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23" xfId="52" applyFont="1" applyFill="1" applyBorder="1" applyAlignment="1">
      <alignment horizontal="center" vertical="center"/>
      <protection/>
    </xf>
    <xf numFmtId="0" fontId="11" fillId="0" borderId="0" xfId="52" applyFont="1" applyBorder="1" applyAlignment="1">
      <alignment horizontal="center" vertical="center"/>
      <protection/>
    </xf>
    <xf numFmtId="0" fontId="11" fillId="0" borderId="0" xfId="52" applyFont="1" applyBorder="1" applyAlignment="1">
      <alignment wrapText="1"/>
      <protection/>
    </xf>
    <xf numFmtId="0" fontId="11" fillId="0" borderId="0" xfId="52" applyFont="1" applyBorder="1" applyAlignment="1">
      <alignment/>
      <protection/>
    </xf>
    <xf numFmtId="0" fontId="8" fillId="0" borderId="10" xfId="0" applyFont="1" applyBorder="1" applyAlignment="1">
      <alignment horizontal="right"/>
    </xf>
    <xf numFmtId="0" fontId="27" fillId="0" borderId="10" xfId="0" applyFont="1" applyBorder="1" applyAlignment="1">
      <alignment wrapText="1"/>
    </xf>
    <xf numFmtId="0" fontId="20" fillId="0" borderId="10" xfId="0" applyFont="1" applyBorder="1" applyAlignment="1">
      <alignment vertical="center"/>
    </xf>
    <xf numFmtId="0" fontId="29" fillId="0" borderId="0" xfId="0" applyFont="1" applyAlignment="1">
      <alignment horizontal="center"/>
    </xf>
    <xf numFmtId="0" fontId="6" fillId="0" borderId="0" xfId="0" applyFont="1" applyAlignment="1">
      <alignment/>
    </xf>
    <xf numFmtId="0" fontId="29" fillId="33"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3" fillId="0" borderId="10" xfId="0" applyFont="1" applyBorder="1" applyAlignment="1">
      <alignment horizontal="center" vertical="center" shrinkToFit="1"/>
    </xf>
    <xf numFmtId="0" fontId="44" fillId="0" borderId="10" xfId="0" applyFont="1" applyBorder="1" applyAlignment="1">
      <alignment horizontal="right" vertical="center" shrinkToFit="1"/>
    </xf>
    <xf numFmtId="1" fontId="8" fillId="0" borderId="10" xfId="0" applyNumberFormat="1" applyFont="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xf>
    <xf numFmtId="3" fontId="0" fillId="0" borderId="0" xfId="0" applyNumberFormat="1" applyAlignment="1">
      <alignment horizontal="left"/>
    </xf>
    <xf numFmtId="1" fontId="0" fillId="0" borderId="10" xfId="0" applyNumberFormat="1" applyBorder="1" applyAlignment="1">
      <alignment vertical="center" wrapText="1" shrinkToFit="1"/>
    </xf>
    <xf numFmtId="0" fontId="0" fillId="0" borderId="10" xfId="0" applyFont="1" applyBorder="1" applyAlignment="1">
      <alignment horizontal="right"/>
    </xf>
    <xf numFmtId="0" fontId="36" fillId="0" borderId="10" xfId="0" applyFont="1" applyBorder="1" applyAlignment="1">
      <alignment horizontal="right"/>
    </xf>
    <xf numFmtId="0" fontId="24" fillId="0" borderId="10" xfId="0" applyFont="1" applyBorder="1" applyAlignment="1">
      <alignment wrapText="1"/>
    </xf>
    <xf numFmtId="0" fontId="45" fillId="0" borderId="10" xfId="0" applyFont="1" applyBorder="1" applyAlignment="1">
      <alignment horizontal="center" vertical="center" shrinkToFit="1"/>
    </xf>
    <xf numFmtId="1" fontId="45" fillId="0" borderId="10" xfId="0" applyNumberFormat="1" applyFont="1" applyBorder="1" applyAlignment="1">
      <alignment horizontal="center" vertical="center"/>
    </xf>
    <xf numFmtId="0" fontId="46" fillId="0" borderId="10" xfId="0" applyFont="1" applyBorder="1" applyAlignment="1">
      <alignment horizontal="center" vertical="center" shrinkToFit="1"/>
    </xf>
    <xf numFmtId="1" fontId="46" fillId="0" borderId="10" xfId="0" applyNumberFormat="1" applyFont="1" applyBorder="1" applyAlignment="1">
      <alignment horizontal="center" vertical="center"/>
    </xf>
    <xf numFmtId="0" fontId="0" fillId="0" borderId="17" xfId="0" applyFont="1" applyBorder="1" applyAlignment="1">
      <alignment vertical="center"/>
    </xf>
    <xf numFmtId="0" fontId="29" fillId="0" borderId="0" xfId="0" applyFont="1" applyAlignment="1">
      <alignment horizontal="center" vertical="center" wrapText="1"/>
    </xf>
    <xf numFmtId="3"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14" fillId="0" borderId="0" xfId="0" applyFont="1" applyAlignment="1">
      <alignment wrapText="1"/>
    </xf>
    <xf numFmtId="0" fontId="47" fillId="0" borderId="10" xfId="0" applyFont="1" applyBorder="1" applyAlignment="1">
      <alignment horizontal="left" vertical="center" wrapText="1"/>
    </xf>
    <xf numFmtId="3" fontId="7" fillId="0" borderId="0" xfId="0" applyNumberFormat="1" applyFont="1" applyAlignment="1">
      <alignment vertical="center"/>
    </xf>
    <xf numFmtId="3" fontId="48" fillId="33" borderId="10" xfId="0" applyNumberFormat="1" applyFont="1" applyFill="1" applyBorder="1" applyAlignment="1">
      <alignment horizontal="center" vertical="center" wrapText="1"/>
    </xf>
    <xf numFmtId="0" fontId="42" fillId="0" borderId="0" xfId="0" applyFont="1" applyAlignment="1">
      <alignment/>
    </xf>
    <xf numFmtId="0" fontId="42" fillId="0" borderId="16" xfId="0" applyFont="1" applyBorder="1" applyAlignment="1">
      <alignment horizontal="center" vertical="center" wrapText="1"/>
    </xf>
    <xf numFmtId="3" fontId="42" fillId="0" borderId="16" xfId="0" applyNumberFormat="1" applyFont="1" applyBorder="1" applyAlignment="1">
      <alignment horizontal="center" vertical="center" wrapText="1"/>
    </xf>
    <xf numFmtId="1" fontId="41" fillId="0" borderId="10" xfId="0" applyNumberFormat="1" applyFont="1" applyBorder="1" applyAlignment="1">
      <alignment horizontal="left" vertical="center" wrapText="1" shrinkToFit="1"/>
    </xf>
    <xf numFmtId="3" fontId="49" fillId="0" borderId="10" xfId="0" applyNumberFormat="1" applyFont="1" applyBorder="1" applyAlignment="1">
      <alignment vertical="top" wrapText="1"/>
    </xf>
    <xf numFmtId="0" fontId="49" fillId="0" borderId="0" xfId="0" applyFont="1" applyAlignment="1">
      <alignment/>
    </xf>
    <xf numFmtId="1" fontId="5" fillId="0" borderId="10" xfId="0" applyNumberFormat="1" applyFont="1" applyBorder="1" applyAlignment="1">
      <alignment horizontal="left" vertical="center" wrapText="1" shrinkToFit="1"/>
    </xf>
    <xf numFmtId="3" fontId="48" fillId="0" borderId="10" xfId="0" applyNumberFormat="1" applyFont="1" applyBorder="1" applyAlignment="1">
      <alignment vertical="top" wrapText="1"/>
    </xf>
    <xf numFmtId="0" fontId="48" fillId="0" borderId="0" xfId="0" applyFont="1" applyAlignment="1">
      <alignment/>
    </xf>
    <xf numFmtId="1" fontId="7" fillId="0" borderId="10" xfId="0" applyNumberFormat="1" applyFont="1" applyBorder="1" applyAlignment="1">
      <alignment vertical="center" wrapText="1" shrinkToFit="1"/>
    </xf>
    <xf numFmtId="3" fontId="42" fillId="0" borderId="10" xfId="0" applyNumberFormat="1" applyFont="1" applyBorder="1" applyAlignment="1">
      <alignment vertical="top" wrapText="1"/>
    </xf>
    <xf numFmtId="1" fontId="7" fillId="0" borderId="10" xfId="0" applyNumberFormat="1" applyFont="1" applyBorder="1" applyAlignment="1">
      <alignment wrapText="1" shrinkToFit="1"/>
    </xf>
    <xf numFmtId="1" fontId="7" fillId="0" borderId="10" xfId="0" applyNumberFormat="1" applyFont="1" applyBorder="1" applyAlignment="1">
      <alignment horizontal="left" vertical="center" wrapText="1"/>
    </xf>
    <xf numFmtId="1" fontId="24" fillId="0" borderId="10" xfId="0" applyNumberFormat="1" applyFont="1" applyBorder="1" applyAlignment="1">
      <alignment vertical="center" wrapText="1" shrinkToFit="1"/>
    </xf>
    <xf numFmtId="0" fontId="41" fillId="0" borderId="10" xfId="0" applyFont="1" applyBorder="1" applyAlignment="1">
      <alignment vertical="center" wrapText="1"/>
    </xf>
    <xf numFmtId="0" fontId="5" fillId="0" borderId="10" xfId="0" applyFont="1" applyBorder="1" applyAlignment="1">
      <alignment vertical="center" wrapText="1"/>
    </xf>
    <xf numFmtId="3" fontId="7" fillId="0" borderId="10" xfId="0" applyNumberFormat="1" applyFont="1" applyBorder="1" applyAlignment="1">
      <alignment vertical="center" wrapText="1"/>
    </xf>
    <xf numFmtId="1" fontId="42" fillId="0" borderId="10" xfId="0" applyNumberFormat="1" applyFont="1" applyFill="1" applyBorder="1" applyAlignment="1">
      <alignment vertical="center" wrapText="1" shrinkToFit="1"/>
    </xf>
    <xf numFmtId="0" fontId="40" fillId="0" borderId="0" xfId="0" applyFont="1" applyAlignment="1">
      <alignment wrapText="1"/>
    </xf>
    <xf numFmtId="0" fontId="42" fillId="0" borderId="10" xfId="0" applyFont="1" applyBorder="1" applyAlignment="1">
      <alignment/>
    </xf>
    <xf numFmtId="1" fontId="42" fillId="0" borderId="10" xfId="0" applyNumberFormat="1" applyFont="1" applyBorder="1" applyAlignment="1">
      <alignment vertical="center" wrapText="1" shrinkToFit="1"/>
    </xf>
    <xf numFmtId="3" fontId="42" fillId="0" borderId="10" xfId="0" applyNumberFormat="1" applyFont="1" applyFill="1" applyBorder="1" applyAlignment="1">
      <alignment vertical="center" shrinkToFit="1"/>
    </xf>
    <xf numFmtId="1" fontId="7" fillId="0" borderId="10" xfId="0" applyNumberFormat="1" applyFont="1" applyBorder="1" applyAlignment="1">
      <alignment horizontal="center" vertical="center"/>
    </xf>
    <xf numFmtId="3" fontId="7" fillId="0" borderId="10" xfId="0" applyNumberFormat="1" applyFont="1" applyFill="1" applyBorder="1" applyAlignment="1">
      <alignment/>
    </xf>
    <xf numFmtId="3" fontId="7" fillId="0" borderId="10" xfId="0" applyNumberFormat="1" applyFont="1" applyBorder="1" applyAlignment="1">
      <alignment/>
    </xf>
    <xf numFmtId="3" fontId="42" fillId="0" borderId="10" xfId="0" applyNumberFormat="1" applyFont="1" applyFill="1" applyBorder="1" applyAlignment="1">
      <alignment wrapText="1"/>
    </xf>
    <xf numFmtId="1" fontId="5" fillId="0" borderId="10" xfId="0" applyNumberFormat="1" applyFont="1" applyBorder="1" applyAlignment="1">
      <alignment horizontal="left" vertical="center" wrapText="1"/>
    </xf>
    <xf numFmtId="3" fontId="5" fillId="0" borderId="10" xfId="0" applyNumberFormat="1" applyFont="1" applyBorder="1" applyAlignment="1">
      <alignment vertical="top" wrapText="1"/>
    </xf>
    <xf numFmtId="3" fontId="7" fillId="0" borderId="10" xfId="0" applyNumberFormat="1" applyFont="1" applyBorder="1" applyAlignment="1">
      <alignment vertical="top" wrapText="1"/>
    </xf>
    <xf numFmtId="3" fontId="48" fillId="0" borderId="10" xfId="0" applyNumberFormat="1" applyFont="1" applyBorder="1" applyAlignment="1">
      <alignment horizontal="center" vertical="center" wrapText="1"/>
    </xf>
    <xf numFmtId="0" fontId="42" fillId="0" borderId="0" xfId="0" applyFont="1" applyAlignment="1">
      <alignment horizontal="center" vertical="center"/>
    </xf>
    <xf numFmtId="0" fontId="7" fillId="0" borderId="0" xfId="0" applyFont="1" applyAlignment="1">
      <alignment vertical="center"/>
    </xf>
    <xf numFmtId="0" fontId="5" fillId="0" borderId="10" xfId="0" applyFont="1" applyBorder="1" applyAlignment="1">
      <alignment vertical="center"/>
    </xf>
    <xf numFmtId="0" fontId="10" fillId="0" borderId="10" xfId="52" applyFont="1" applyBorder="1" applyAlignment="1">
      <alignment horizontal="center"/>
      <protection/>
    </xf>
    <xf numFmtId="0" fontId="11" fillId="0" borderId="15" xfId="52" applyFont="1" applyBorder="1" applyAlignment="1">
      <alignment wrapText="1"/>
      <protection/>
    </xf>
    <xf numFmtId="0" fontId="11" fillId="0" borderId="35" xfId="52" applyFont="1" applyBorder="1" applyAlignment="1">
      <alignment/>
      <protection/>
    </xf>
    <xf numFmtId="0" fontId="11" fillId="0" borderId="36" xfId="52" applyFont="1" applyBorder="1" applyAlignment="1">
      <alignment/>
      <protection/>
    </xf>
    <xf numFmtId="3" fontId="11" fillId="0" borderId="36" xfId="52" applyNumberFormat="1" applyFont="1" applyBorder="1">
      <alignment/>
      <protection/>
    </xf>
    <xf numFmtId="3" fontId="11" fillId="0" borderId="32" xfId="52" applyNumberFormat="1" applyFont="1" applyBorder="1">
      <alignment/>
      <protection/>
    </xf>
    <xf numFmtId="1" fontId="21" fillId="0" borderId="10" xfId="0" applyNumberFormat="1" applyFont="1" applyBorder="1" applyAlignment="1">
      <alignment vertical="center" wrapText="1" shrinkToFit="1"/>
    </xf>
    <xf numFmtId="0" fontId="10" fillId="35" borderId="10" xfId="52" applyFont="1" applyFill="1" applyBorder="1" applyAlignment="1">
      <alignment wrapText="1"/>
      <protection/>
    </xf>
    <xf numFmtId="3" fontId="11" fillId="0" borderId="0" xfId="52" applyNumberFormat="1" applyFont="1">
      <alignment/>
      <protection/>
    </xf>
    <xf numFmtId="3" fontId="53" fillId="0" borderId="10" xfId="0" applyNumberFormat="1" applyFont="1" applyBorder="1" applyAlignment="1">
      <alignment horizontal="center" vertical="center"/>
    </xf>
    <xf numFmtId="3" fontId="11" fillId="0" borderId="10" xfId="0" applyNumberFormat="1" applyFont="1" applyBorder="1" applyAlignment="1">
      <alignment horizontal="right" vertical="top" wrapText="1"/>
    </xf>
    <xf numFmtId="3" fontId="54" fillId="0" borderId="10" xfId="0" applyNumberFormat="1" applyFont="1" applyFill="1" applyBorder="1" applyAlignment="1">
      <alignment vertical="center" shrinkToFit="1"/>
    </xf>
    <xf numFmtId="0" fontId="12" fillId="0" borderId="10" xfId="0" applyFont="1" applyBorder="1" applyAlignment="1">
      <alignment horizontal="center" vertical="center" wrapText="1"/>
    </xf>
    <xf numFmtId="3" fontId="41"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7"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41" fillId="35" borderId="10" xfId="0" applyNumberFormat="1" applyFont="1" applyFill="1" applyBorder="1" applyAlignment="1">
      <alignment vertical="center"/>
    </xf>
    <xf numFmtId="3" fontId="41"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vertical="center"/>
    </xf>
    <xf numFmtId="3" fontId="40" fillId="35" borderId="10" xfId="0" applyNumberFormat="1" applyFont="1" applyFill="1" applyBorder="1" applyAlignment="1">
      <alignment/>
    </xf>
    <xf numFmtId="3" fontId="40" fillId="35" borderId="10" xfId="0" applyNumberFormat="1" applyFont="1" applyFill="1" applyBorder="1" applyAlignment="1">
      <alignment/>
    </xf>
    <xf numFmtId="3" fontId="40" fillId="35" borderId="10" xfId="0" applyNumberFormat="1" applyFont="1" applyFill="1" applyBorder="1" applyAlignment="1">
      <alignment horizontal="right" vertical="center"/>
    </xf>
    <xf numFmtId="3" fontId="24" fillId="35" borderId="10" xfId="0" applyNumberFormat="1" applyFont="1" applyFill="1" applyBorder="1" applyAlignment="1">
      <alignment horizontal="right" vertical="center"/>
    </xf>
    <xf numFmtId="0" fontId="55" fillId="0" borderId="10" xfId="0" applyFont="1" applyBorder="1" applyAlignment="1">
      <alignment horizontal="center" vertical="center" shrinkToFit="1"/>
    </xf>
    <xf numFmtId="3" fontId="49" fillId="35" borderId="10" xfId="0" applyNumberFormat="1" applyFont="1" applyFill="1" applyBorder="1" applyAlignment="1">
      <alignment vertical="top" wrapText="1"/>
    </xf>
    <xf numFmtId="3" fontId="7" fillId="35" borderId="0" xfId="0" applyNumberFormat="1" applyFont="1" applyFill="1" applyAlignment="1">
      <alignment vertical="center"/>
    </xf>
    <xf numFmtId="1" fontId="7" fillId="36" borderId="10" xfId="0" applyNumberFormat="1" applyFont="1" applyFill="1" applyBorder="1" applyAlignment="1">
      <alignment vertical="center" wrapText="1" shrinkToFit="1"/>
    </xf>
    <xf numFmtId="0" fontId="17" fillId="35" borderId="10" xfId="0" applyFont="1" applyFill="1" applyBorder="1" applyAlignment="1">
      <alignment horizontal="center" wrapText="1"/>
    </xf>
    <xf numFmtId="0" fontId="17" fillId="35" borderId="10" xfId="0" applyFont="1" applyFill="1" applyBorder="1" applyAlignment="1">
      <alignment wrapText="1"/>
    </xf>
    <xf numFmtId="3" fontId="17" fillId="35" borderId="10" xfId="0" applyNumberFormat="1" applyFont="1" applyFill="1" applyBorder="1" applyAlignment="1">
      <alignment horizontal="right" vertical="top" wrapText="1"/>
    </xf>
    <xf numFmtId="0" fontId="17" fillId="35" borderId="10" xfId="0" applyFont="1" applyFill="1" applyBorder="1" applyAlignment="1">
      <alignment/>
    </xf>
    <xf numFmtId="0" fontId="0" fillId="35" borderId="10" xfId="0" applyFill="1" applyBorder="1" applyAlignment="1">
      <alignment/>
    </xf>
    <xf numFmtId="0" fontId="14" fillId="35" borderId="10" xfId="0" applyFont="1" applyFill="1" applyBorder="1" applyAlignment="1">
      <alignment horizontal="center" wrapText="1"/>
    </xf>
    <xf numFmtId="0" fontId="14" fillId="35" borderId="10" xfId="0" applyFont="1" applyFill="1" applyBorder="1" applyAlignment="1">
      <alignment horizontal="left" wrapText="1" indent="1"/>
    </xf>
    <xf numFmtId="3" fontId="14" fillId="35" borderId="10" xfId="0" applyNumberFormat="1" applyFont="1" applyFill="1" applyBorder="1" applyAlignment="1">
      <alignment horizontal="right" vertical="top" wrapText="1"/>
    </xf>
    <xf numFmtId="3" fontId="17" fillId="0" borderId="10" xfId="0" applyNumberFormat="1" applyFont="1" applyFill="1" applyBorder="1" applyAlignment="1">
      <alignment horizontal="right" vertical="center" wrapText="1"/>
    </xf>
    <xf numFmtId="3" fontId="58" fillId="0" borderId="10" xfId="0" applyNumberFormat="1" applyFont="1" applyBorder="1" applyAlignment="1">
      <alignment horizontal="right" vertical="center" wrapText="1"/>
    </xf>
    <xf numFmtId="0" fontId="58" fillId="0" borderId="10" xfId="0" applyFont="1" applyBorder="1" applyAlignment="1">
      <alignment horizontal="center" vertical="center" wrapText="1"/>
    </xf>
    <xf numFmtId="0" fontId="58" fillId="0" borderId="10" xfId="0" applyFont="1" applyBorder="1" applyAlignment="1">
      <alignment horizontal="left" vertical="center" wrapText="1"/>
    </xf>
    <xf numFmtId="173" fontId="0" fillId="0" borderId="0" xfId="0" applyNumberFormat="1" applyAlignment="1">
      <alignment/>
    </xf>
    <xf numFmtId="0" fontId="53" fillId="0" borderId="37" xfId="0" applyFont="1" applyBorder="1" applyAlignment="1">
      <alignment/>
    </xf>
    <xf numFmtId="0" fontId="59" fillId="0" borderId="28" xfId="0" applyFont="1" applyBorder="1" applyAlignment="1">
      <alignment/>
    </xf>
    <xf numFmtId="0" fontId="17" fillId="33" borderId="38" xfId="0" applyFont="1" applyFill="1" applyBorder="1" applyAlignment="1">
      <alignment vertical="center"/>
    </xf>
    <xf numFmtId="0" fontId="17" fillId="33" borderId="18" xfId="0" applyFont="1" applyFill="1" applyBorder="1" applyAlignment="1">
      <alignment vertical="center"/>
    </xf>
    <xf numFmtId="0" fontId="17" fillId="33" borderId="18" xfId="0" applyFont="1" applyFill="1" applyBorder="1" applyAlignment="1">
      <alignment horizontal="center" vertical="center" wrapText="1"/>
    </xf>
    <xf numFmtId="0" fontId="0" fillId="0" borderId="0" xfId="0" applyFont="1" applyAlignment="1">
      <alignment wrapText="1"/>
    </xf>
    <xf numFmtId="0" fontId="0" fillId="0" borderId="10" xfId="0" applyFont="1" applyBorder="1" applyAlignment="1">
      <alignment wrapText="1"/>
    </xf>
    <xf numFmtId="0" fontId="8" fillId="0" borderId="10" xfId="0" applyFont="1" applyBorder="1" applyAlignment="1">
      <alignment vertical="center" wrapText="1"/>
    </xf>
    <xf numFmtId="0" fontId="21" fillId="0" borderId="10" xfId="0" applyFont="1" applyBorder="1" applyAlignment="1">
      <alignment horizontal="center" vertical="center"/>
    </xf>
    <xf numFmtId="0" fontId="8" fillId="0" borderId="17" xfId="0" applyFont="1" applyBorder="1" applyAlignment="1">
      <alignment vertical="center" wrapText="1"/>
    </xf>
    <xf numFmtId="0" fontId="57" fillId="0" borderId="17" xfId="0" applyFont="1" applyBorder="1" applyAlignment="1">
      <alignment vertical="center" wrapText="1"/>
    </xf>
    <xf numFmtId="0" fontId="8" fillId="0" borderId="18" xfId="0" applyFont="1" applyBorder="1" applyAlignment="1">
      <alignment horizontal="center" vertical="center" wrapText="1"/>
    </xf>
    <xf numFmtId="1" fontId="8" fillId="0" borderId="10" xfId="0" applyNumberFormat="1" applyFont="1" applyBorder="1" applyAlignment="1">
      <alignment vertical="center"/>
    </xf>
    <xf numFmtId="1" fontId="8" fillId="0" borderId="10" xfId="0" applyNumberFormat="1" applyFont="1" applyBorder="1" applyAlignment="1">
      <alignment horizontal="right" vertical="center"/>
    </xf>
    <xf numFmtId="0" fontId="14" fillId="0" borderId="39" xfId="0" applyFont="1" applyFill="1" applyBorder="1" applyAlignment="1">
      <alignment horizontal="left" vertical="center" wrapText="1"/>
    </xf>
    <xf numFmtId="0" fontId="14" fillId="0" borderId="10" xfId="0" applyFont="1" applyBorder="1" applyAlignment="1">
      <alignment wrapText="1"/>
    </xf>
    <xf numFmtId="0" fontId="0" fillId="0" borderId="16" xfId="0" applyBorder="1" applyAlignment="1">
      <alignment vertical="center" wrapText="1"/>
    </xf>
    <xf numFmtId="0" fontId="14" fillId="0" borderId="10" xfId="0" applyFont="1" applyFill="1" applyBorder="1" applyAlignment="1">
      <alignment wrapText="1"/>
    </xf>
    <xf numFmtId="3" fontId="41" fillId="36" borderId="10" xfId="0" applyNumberFormat="1" applyFont="1" applyFill="1" applyBorder="1" applyAlignment="1">
      <alignment/>
    </xf>
    <xf numFmtId="3" fontId="5" fillId="36" borderId="10" xfId="0" applyNumberFormat="1" applyFont="1" applyFill="1" applyBorder="1" applyAlignment="1">
      <alignment/>
    </xf>
    <xf numFmtId="0" fontId="7" fillId="0" borderId="10" xfId="0" applyFont="1" applyBorder="1" applyAlignment="1">
      <alignment horizontal="right"/>
    </xf>
    <xf numFmtId="3" fontId="33" fillId="0" borderId="40" xfId="0" applyNumberFormat="1" applyFont="1" applyBorder="1" applyAlignment="1">
      <alignment vertical="top" wrapText="1"/>
    </xf>
    <xf numFmtId="3" fontId="33" fillId="0" borderId="18" xfId="0" applyNumberFormat="1" applyFont="1" applyBorder="1" applyAlignment="1">
      <alignment vertical="top" wrapText="1"/>
    </xf>
    <xf numFmtId="0" fontId="34" fillId="0" borderId="10" xfId="0" applyFont="1" applyBorder="1" applyAlignment="1">
      <alignment vertical="top" wrapText="1"/>
    </xf>
    <xf numFmtId="0" fontId="33" fillId="0" borderId="10" xfId="0" applyFont="1" applyBorder="1" applyAlignment="1">
      <alignment/>
    </xf>
    <xf numFmtId="3" fontId="33" fillId="0" borderId="41" xfId="0" applyNumberFormat="1" applyFont="1" applyBorder="1" applyAlignment="1">
      <alignment vertical="top" wrapText="1"/>
    </xf>
    <xf numFmtId="0" fontId="46" fillId="0" borderId="10" xfId="0" applyFont="1" applyFill="1" applyBorder="1" applyAlignment="1">
      <alignment vertical="top" wrapText="1"/>
    </xf>
    <xf numFmtId="3" fontId="42" fillId="35" borderId="10" xfId="0" applyNumberFormat="1" applyFont="1" applyFill="1" applyBorder="1" applyAlignment="1">
      <alignment vertical="top" wrapText="1"/>
    </xf>
    <xf numFmtId="0" fontId="0" fillId="0" borderId="14" xfId="0" applyBorder="1" applyAlignment="1">
      <alignment/>
    </xf>
    <xf numFmtId="0" fontId="0" fillId="0" borderId="0" xfId="0" applyBorder="1" applyAlignment="1">
      <alignment/>
    </xf>
    <xf numFmtId="3" fontId="2" fillId="0" borderId="10" xfId="0" applyNumberFormat="1" applyFont="1" applyBorder="1" applyAlignment="1">
      <alignment/>
    </xf>
    <xf numFmtId="3" fontId="33" fillId="0" borderId="42" xfId="0" applyNumberFormat="1" applyFont="1" applyBorder="1" applyAlignment="1">
      <alignment vertical="top" wrapText="1"/>
    </xf>
    <xf numFmtId="3" fontId="33" fillId="0" borderId="10" xfId="0" applyNumberFormat="1" applyFont="1" applyBorder="1" applyAlignment="1">
      <alignment vertical="top" wrapText="1"/>
    </xf>
    <xf numFmtId="3" fontId="6" fillId="0" borderId="10" xfId="0" applyNumberFormat="1" applyFont="1" applyFill="1" applyBorder="1" applyAlignment="1">
      <alignment vertical="center" shrinkToFit="1"/>
    </xf>
    <xf numFmtId="0" fontId="2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4" fontId="21" fillId="33" borderId="10" xfId="0" applyNumberFormat="1" applyFont="1" applyFill="1" applyBorder="1" applyAlignment="1">
      <alignment horizontal="center" vertical="center" wrapText="1"/>
    </xf>
    <xf numFmtId="0" fontId="60" fillId="0" borderId="10" xfId="0" applyFont="1" applyBorder="1" applyAlignment="1">
      <alignment/>
    </xf>
    <xf numFmtId="3" fontId="1" fillId="0" borderId="10" xfId="0" applyNumberFormat="1" applyFont="1" applyBorder="1" applyAlignment="1">
      <alignment wrapText="1"/>
    </xf>
    <xf numFmtId="3" fontId="0" fillId="0" borderId="10" xfId="0" applyNumberFormat="1" applyFont="1" applyBorder="1" applyAlignment="1">
      <alignment/>
    </xf>
    <xf numFmtId="3" fontId="0" fillId="0" borderId="10" xfId="0" applyNumberFormat="1" applyBorder="1" applyAlignment="1">
      <alignment wrapText="1"/>
    </xf>
    <xf numFmtId="0" fontId="21" fillId="0" borderId="0" xfId="0" applyFont="1" applyAlignment="1">
      <alignment horizontal="center" vertical="center"/>
    </xf>
    <xf numFmtId="0" fontId="61" fillId="0" borderId="10" xfId="0" applyFont="1" applyBorder="1" applyAlignment="1">
      <alignment vertical="center"/>
    </xf>
    <xf numFmtId="0" fontId="8" fillId="0" borderId="0" xfId="0" applyFont="1" applyAlignment="1">
      <alignment/>
    </xf>
    <xf numFmtId="3" fontId="11" fillId="0" borderId="10" xfId="0" applyNumberFormat="1" applyFont="1" applyFill="1" applyBorder="1" applyAlignment="1">
      <alignment horizontal="right" vertical="top" wrapText="1"/>
    </xf>
    <xf numFmtId="3" fontId="11" fillId="0" borderId="0" xfId="0" applyNumberFormat="1" applyFont="1" applyBorder="1" applyAlignment="1">
      <alignment horizontal="right" vertical="top" wrapText="1"/>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10" fillId="0" borderId="15" xfId="52" applyFont="1" applyBorder="1" applyAlignment="1">
      <alignment horizontal="center" vertical="center"/>
      <protection/>
    </xf>
    <xf numFmtId="0" fontId="10" fillId="0" borderId="10" xfId="52" applyFont="1" applyBorder="1" applyAlignment="1">
      <alignment/>
      <protection/>
    </xf>
    <xf numFmtId="3" fontId="10" fillId="0" borderId="0" xfId="52" applyNumberFormat="1" applyFont="1" applyBorder="1">
      <alignment/>
      <protection/>
    </xf>
    <xf numFmtId="0" fontId="11" fillId="0" borderId="10" xfId="52" applyFont="1" applyBorder="1" applyAlignment="1">
      <alignment horizontal="right" wrapText="1"/>
      <protection/>
    </xf>
    <xf numFmtId="3" fontId="0" fillId="0" borderId="43" xfId="0" applyNumberFormat="1" applyBorder="1" applyAlignment="1">
      <alignment/>
    </xf>
    <xf numFmtId="3" fontId="0" fillId="0" borderId="44" xfId="0" applyNumberFormat="1" applyBorder="1" applyAlignment="1">
      <alignment/>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1" fontId="8" fillId="0" borderId="14" xfId="0" applyNumberFormat="1" applyFont="1" applyFill="1" applyBorder="1" applyAlignment="1">
      <alignment horizontal="left" vertical="center" wrapText="1" shrinkToFit="1"/>
    </xf>
    <xf numFmtId="3" fontId="10" fillId="0" borderId="10" xfId="52" applyNumberFormat="1" applyFont="1" applyBorder="1" applyAlignment="1">
      <alignment/>
      <protection/>
    </xf>
    <xf numFmtId="0" fontId="11" fillId="0" borderId="10" xfId="52" applyFont="1" applyBorder="1" applyAlignment="1">
      <alignment horizontal="center" vertical="center" wrapText="1"/>
      <protection/>
    </xf>
    <xf numFmtId="0" fontId="0" fillId="0" borderId="10" xfId="0" applyBorder="1" applyAlignment="1">
      <alignment vertical="center" wrapText="1"/>
    </xf>
    <xf numFmtId="0" fontId="0" fillId="0" borderId="18" xfId="0" applyBorder="1" applyAlignment="1">
      <alignment vertical="center"/>
    </xf>
    <xf numFmtId="0" fontId="12" fillId="0" borderId="0" xfId="0" applyFont="1" applyAlignment="1">
      <alignment wrapText="1"/>
    </xf>
    <xf numFmtId="0" fontId="12" fillId="0" borderId="10" xfId="0" applyFont="1" applyBorder="1" applyAlignment="1">
      <alignment wrapText="1"/>
    </xf>
    <xf numFmtId="0" fontId="11" fillId="0" borderId="16" xfId="0" applyFont="1" applyBorder="1" applyAlignment="1">
      <alignment horizontal="center" vertical="center" wrapText="1"/>
    </xf>
    <xf numFmtId="0" fontId="62" fillId="0" borderId="10" xfId="0" applyFont="1" applyBorder="1" applyAlignment="1">
      <alignment horizontal="center" vertical="center" shrinkToFit="1"/>
    </xf>
    <xf numFmtId="0" fontId="21"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62" fillId="0" borderId="10" xfId="0" applyFont="1" applyBorder="1" applyAlignment="1">
      <alignment shrinkToFit="1"/>
    </xf>
    <xf numFmtId="0" fontId="62" fillId="0" borderId="10" xfId="0" applyFont="1" applyFill="1" applyBorder="1" applyAlignment="1">
      <alignment horizontal="center" vertical="center" shrinkToFit="1"/>
    </xf>
    <xf numFmtId="0" fontId="62" fillId="0" borderId="10" xfId="0" applyFont="1" applyBorder="1" applyAlignment="1">
      <alignment horizontal="center" vertical="center"/>
    </xf>
    <xf numFmtId="0" fontId="21" fillId="0" borderId="10" xfId="0" applyFont="1" applyBorder="1" applyAlignment="1">
      <alignment horizontal="center" vertical="center"/>
    </xf>
    <xf numFmtId="0" fontId="8" fillId="36" borderId="10" xfId="0" applyFont="1" applyFill="1" applyBorder="1" applyAlignment="1">
      <alignment horizontal="center" vertical="center" shrinkToFit="1"/>
    </xf>
    <xf numFmtId="0" fontId="63" fillId="0" borderId="10" xfId="0" applyFont="1" applyFill="1" applyBorder="1" applyAlignment="1">
      <alignment horizontal="center" vertical="center" shrinkToFit="1"/>
    </xf>
    <xf numFmtId="0" fontId="21" fillId="0" borderId="10" xfId="0" applyFont="1" applyBorder="1" applyAlignment="1">
      <alignment/>
    </xf>
    <xf numFmtId="0" fontId="8" fillId="0" borderId="10" xfId="0" applyFont="1" applyBorder="1" applyAlignment="1">
      <alignment/>
    </xf>
    <xf numFmtId="0" fontId="21" fillId="36" borderId="10" xfId="0" applyFont="1" applyFill="1" applyBorder="1" applyAlignment="1">
      <alignment/>
    </xf>
    <xf numFmtId="0" fontId="62" fillId="37" borderId="10" xfId="0" applyFont="1" applyFill="1" applyBorder="1" applyAlignment="1">
      <alignment horizontal="center" vertical="center" shrinkToFit="1"/>
    </xf>
    <xf numFmtId="0" fontId="62" fillId="36" borderId="10" xfId="0" applyFont="1" applyFill="1" applyBorder="1" applyAlignment="1">
      <alignment horizontal="center" vertical="center" shrinkToFit="1"/>
    </xf>
    <xf numFmtId="0" fontId="21" fillId="0" borderId="10" xfId="0" applyFont="1" applyBorder="1" applyAlignment="1">
      <alignment horizontal="center" vertical="center" shrinkToFit="1"/>
    </xf>
    <xf numFmtId="0" fontId="62" fillId="0" borderId="10" xfId="0" applyFont="1" applyBorder="1" applyAlignment="1">
      <alignment horizontal="center" vertical="center" shrinkToFit="1"/>
    </xf>
    <xf numFmtId="0" fontId="23" fillId="0" borderId="16" xfId="0" applyFont="1" applyBorder="1" applyAlignment="1">
      <alignment horizontal="center" vertical="center" wrapText="1"/>
    </xf>
    <xf numFmtId="1" fontId="26" fillId="0" borderId="10" xfId="0" applyNumberFormat="1" applyFont="1" applyBorder="1" applyAlignment="1">
      <alignment horizontal="center" vertical="center"/>
    </xf>
    <xf numFmtId="1" fontId="29" fillId="0" borderId="1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6" fillId="0" borderId="10" xfId="0" applyNumberFormat="1" applyFont="1" applyBorder="1" applyAlignment="1">
      <alignment/>
    </xf>
    <xf numFmtId="0" fontId="26" fillId="0" borderId="10" xfId="0" applyFont="1" applyBorder="1" applyAlignment="1">
      <alignment horizontal="center" vertical="center"/>
    </xf>
    <xf numFmtId="0" fontId="29" fillId="0" borderId="10" xfId="0" applyFont="1" applyBorder="1" applyAlignment="1">
      <alignment horizontal="center" vertical="center"/>
    </xf>
    <xf numFmtId="1" fontId="6" fillId="36"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Border="1" applyAlignment="1">
      <alignment horizontal="center" vertical="center"/>
    </xf>
    <xf numFmtId="1" fontId="64" fillId="0" borderId="10" xfId="0" applyNumberFormat="1"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3" fontId="66" fillId="0" borderId="10" xfId="0" applyNumberFormat="1" applyFont="1" applyBorder="1" applyAlignment="1">
      <alignment vertical="top" wrapText="1"/>
    </xf>
    <xf numFmtId="0" fontId="7" fillId="0" borderId="10" xfId="0" applyFont="1" applyBorder="1" applyAlignment="1">
      <alignment vertical="center"/>
    </xf>
    <xf numFmtId="3" fontId="48" fillId="33" borderId="15" xfId="0" applyNumberFormat="1" applyFont="1" applyFill="1" applyBorder="1" applyAlignment="1">
      <alignment vertical="center" wrapText="1"/>
    </xf>
    <xf numFmtId="3" fontId="49" fillId="0" borderId="16" xfId="0" applyNumberFormat="1" applyFont="1" applyBorder="1" applyAlignment="1">
      <alignment horizontal="center" vertical="center" wrapText="1"/>
    </xf>
    <xf numFmtId="3" fontId="41" fillId="0" borderId="0" xfId="0" applyNumberFormat="1" applyFont="1" applyAlignment="1">
      <alignment vertical="center"/>
    </xf>
    <xf numFmtId="0" fontId="35" fillId="0" borderId="29" xfId="0" applyFont="1" applyBorder="1" applyAlignment="1">
      <alignment wrapText="1"/>
    </xf>
    <xf numFmtId="3" fontId="14" fillId="0" borderId="29" xfId="0" applyNumberFormat="1" applyFont="1" applyBorder="1" applyAlignment="1">
      <alignment wrapText="1"/>
    </xf>
    <xf numFmtId="0" fontId="21" fillId="0" borderId="0" xfId="0" applyFont="1" applyAlignment="1">
      <alignment vertical="center"/>
    </xf>
    <xf numFmtId="0" fontId="29" fillId="0" borderId="0" xfId="0" applyFont="1" applyAlignment="1">
      <alignment vertical="center"/>
    </xf>
    <xf numFmtId="3" fontId="5" fillId="0" borderId="0" xfId="0" applyNumberFormat="1" applyFont="1" applyAlignment="1">
      <alignment vertical="center"/>
    </xf>
    <xf numFmtId="1" fontId="23" fillId="0" borderId="10" xfId="0" applyNumberFormat="1" applyFont="1" applyFill="1" applyBorder="1" applyAlignment="1">
      <alignment vertical="center" wrapText="1" shrinkToFit="1"/>
    </xf>
    <xf numFmtId="0" fontId="65" fillId="0" borderId="10" xfId="0" applyFont="1" applyFill="1" applyBorder="1" applyAlignment="1">
      <alignment horizontal="center" vertical="center" shrinkToFit="1"/>
    </xf>
    <xf numFmtId="1" fontId="65" fillId="0" borderId="10" xfId="0" applyNumberFormat="1" applyFont="1" applyFill="1" applyBorder="1" applyAlignment="1">
      <alignment horizontal="center" vertical="center"/>
    </xf>
    <xf numFmtId="1" fontId="65" fillId="0" borderId="10" xfId="0" applyNumberFormat="1" applyFont="1" applyFill="1" applyBorder="1" applyAlignment="1">
      <alignment vertical="center" wrapText="1" shrinkToFit="1"/>
    </xf>
    <xf numFmtId="0" fontId="54" fillId="0" borderId="10" xfId="0" applyFont="1" applyFill="1" applyBorder="1" applyAlignment="1">
      <alignment horizontal="center" vertical="center" shrinkToFit="1"/>
    </xf>
    <xf numFmtId="1" fontId="54" fillId="0" borderId="10" xfId="0" applyNumberFormat="1" applyFont="1" applyFill="1" applyBorder="1" applyAlignment="1">
      <alignment horizontal="center" vertical="center"/>
    </xf>
    <xf numFmtId="1" fontId="54" fillId="0" borderId="10" xfId="0" applyNumberFormat="1" applyFont="1" applyFill="1" applyBorder="1" applyAlignment="1">
      <alignment vertical="center" wrapText="1" shrinkToFit="1"/>
    </xf>
    <xf numFmtId="0" fontId="23" fillId="0" borderId="10" xfId="0" applyFont="1" applyFill="1" applyBorder="1" applyAlignment="1">
      <alignment horizontal="center" vertical="center" shrinkToFit="1"/>
    </xf>
    <xf numFmtId="0" fontId="6" fillId="0" borderId="10" xfId="0" applyFont="1" applyBorder="1" applyAlignment="1">
      <alignment/>
    </xf>
    <xf numFmtId="0" fontId="23" fillId="0" borderId="0" xfId="0" applyFont="1" applyAlignment="1">
      <alignment wrapText="1"/>
    </xf>
    <xf numFmtId="3" fontId="6" fillId="0" borderId="10" xfId="0" applyNumberFormat="1" applyFont="1" applyFill="1" applyBorder="1" applyAlignment="1">
      <alignment horizontal="right" vertical="center"/>
    </xf>
    <xf numFmtId="0" fontId="23" fillId="0" borderId="10" xfId="0" applyFont="1" applyBorder="1" applyAlignment="1">
      <alignment horizontal="left" vertical="center" wrapText="1"/>
    </xf>
    <xf numFmtId="0" fontId="33" fillId="0" borderId="0" xfId="0" applyFont="1" applyAlignment="1">
      <alignment wrapText="1"/>
    </xf>
    <xf numFmtId="0" fontId="67" fillId="0" borderId="0" xfId="0" applyFont="1" applyAlignment="1">
      <alignment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11" fillId="38" borderId="10" xfId="52" applyFont="1" applyFill="1" applyBorder="1" applyAlignment="1">
      <alignment wrapText="1"/>
      <protection/>
    </xf>
    <xf numFmtId="0" fontId="11" fillId="38" borderId="10" xfId="52" applyFont="1" applyFill="1" applyBorder="1" applyAlignment="1">
      <alignment/>
      <protection/>
    </xf>
    <xf numFmtId="3" fontId="14" fillId="38" borderId="10" xfId="0" applyNumberFormat="1" applyFont="1" applyFill="1" applyBorder="1" applyAlignment="1">
      <alignment horizontal="right" vertical="top" wrapText="1"/>
    </xf>
    <xf numFmtId="3" fontId="11" fillId="38" borderId="10" xfId="52" applyNumberFormat="1" applyFont="1" applyFill="1" applyBorder="1">
      <alignment/>
      <protection/>
    </xf>
    <xf numFmtId="0" fontId="11" fillId="38" borderId="10" xfId="52" applyFont="1" applyFill="1" applyBorder="1">
      <alignment/>
      <protection/>
    </xf>
    <xf numFmtId="0" fontId="11" fillId="38" borderId="0" xfId="52" applyFont="1" applyFill="1">
      <alignment/>
      <protection/>
    </xf>
    <xf numFmtId="0" fontId="105" fillId="0" borderId="10" xfId="52" applyFont="1" applyFill="1" applyBorder="1" applyAlignment="1">
      <alignment wrapText="1"/>
      <protection/>
    </xf>
    <xf numFmtId="3" fontId="0" fillId="39" borderId="10" xfId="0" applyNumberFormat="1" applyFont="1" applyFill="1" applyBorder="1" applyAlignment="1">
      <alignment vertical="center"/>
    </xf>
    <xf numFmtId="0" fontId="0" fillId="39" borderId="0" xfId="0" applyFont="1" applyFill="1" applyAlignme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9" fillId="0" borderId="0" xfId="0" applyFont="1" applyAlignment="1">
      <alignment/>
    </xf>
    <xf numFmtId="0" fontId="68" fillId="0" borderId="0" xfId="0" applyFont="1" applyAlignment="1">
      <alignment/>
    </xf>
    <xf numFmtId="0" fontId="11" fillId="0" borderId="45" xfId="52" applyFont="1" applyBorder="1" applyAlignment="1">
      <alignment wrapText="1"/>
      <protection/>
    </xf>
    <xf numFmtId="0" fontId="11" fillId="0" borderId="46" xfId="52" applyFont="1" applyBorder="1" applyAlignment="1">
      <alignment wrapText="1"/>
      <protection/>
    </xf>
    <xf numFmtId="0" fontId="11" fillId="0" borderId="14" xfId="52" applyFont="1" applyBorder="1" applyAlignment="1">
      <alignment/>
      <protection/>
    </xf>
    <xf numFmtId="3" fontId="11" fillId="0" borderId="14" xfId="52" applyNumberFormat="1" applyFont="1" applyBorder="1">
      <alignment/>
      <protection/>
    </xf>
    <xf numFmtId="0" fontId="10" fillId="0" borderId="16" xfId="52" applyFont="1" applyBorder="1">
      <alignment/>
      <protection/>
    </xf>
    <xf numFmtId="3" fontId="23" fillId="0" borderId="16" xfId="0" applyNumberFormat="1" applyFont="1" applyBorder="1" applyAlignment="1">
      <alignment horizontal="right" vertical="top" wrapText="1"/>
    </xf>
    <xf numFmtId="0" fontId="10" fillId="0" borderId="17" xfId="52" applyFont="1" applyBorder="1" applyAlignment="1">
      <alignment wrapText="1"/>
      <protection/>
    </xf>
    <xf numFmtId="0" fontId="6" fillId="0" borderId="16" xfId="0" applyFont="1" applyBorder="1" applyAlignment="1">
      <alignment horizontal="center"/>
    </xf>
    <xf numFmtId="3" fontId="23" fillId="0" borderId="16" xfId="0" applyNumberFormat="1" applyFont="1" applyFill="1" applyBorder="1" applyAlignment="1">
      <alignment vertical="center" shrinkToFit="1"/>
    </xf>
    <xf numFmtId="3" fontId="14" fillId="0" borderId="0" xfId="0" applyNumberFormat="1" applyFont="1" applyBorder="1" applyAlignment="1">
      <alignment horizontal="right" vertical="top" wrapText="1"/>
    </xf>
    <xf numFmtId="3" fontId="11" fillId="0" borderId="47" xfId="52" applyNumberFormat="1" applyFont="1" applyBorder="1">
      <alignment/>
      <protection/>
    </xf>
    <xf numFmtId="0" fontId="10" fillId="0" borderId="19" xfId="52" applyFont="1" applyBorder="1">
      <alignment/>
      <protection/>
    </xf>
    <xf numFmtId="0" fontId="11" fillId="0" borderId="48" xfId="52" applyFont="1" applyBorder="1" applyAlignment="1">
      <alignment/>
      <protection/>
    </xf>
    <xf numFmtId="3" fontId="11" fillId="0" borderId="48" xfId="52" applyNumberFormat="1" applyFont="1" applyBorder="1">
      <alignment/>
      <protection/>
    </xf>
    <xf numFmtId="3" fontId="11" fillId="0" borderId="49" xfId="52" applyNumberFormat="1" applyFont="1" applyBorder="1">
      <alignment/>
      <protection/>
    </xf>
    <xf numFmtId="0" fontId="69" fillId="0" borderId="50" xfId="52" applyFont="1" applyBorder="1" applyAlignment="1">
      <alignment/>
      <protection/>
    </xf>
    <xf numFmtId="0" fontId="69" fillId="0" borderId="0" xfId="52" applyFont="1" applyBorder="1" applyAlignment="1">
      <alignment/>
      <protection/>
    </xf>
    <xf numFmtId="0" fontId="69" fillId="0" borderId="48" xfId="52" applyFont="1" applyBorder="1" applyAlignment="1">
      <alignment/>
      <protection/>
    </xf>
    <xf numFmtId="0" fontId="48" fillId="0" borderId="19" xfId="52" applyFont="1" applyBorder="1" applyAlignment="1">
      <alignment/>
      <protection/>
    </xf>
    <xf numFmtId="0" fontId="11" fillId="0" borderId="50" xfId="52" applyFont="1" applyBorder="1" applyAlignment="1">
      <alignment wrapText="1"/>
      <protection/>
    </xf>
    <xf numFmtId="0" fontId="11" fillId="0" borderId="16" xfId="52" applyFont="1" applyBorder="1" applyAlignment="1">
      <alignment wrapText="1"/>
      <protection/>
    </xf>
    <xf numFmtId="0" fontId="11" fillId="0" borderId="35" xfId="52" applyFont="1" applyBorder="1" applyAlignment="1">
      <alignment wrapText="1"/>
      <protection/>
    </xf>
    <xf numFmtId="0" fontId="11" fillId="0" borderId="19" xfId="52" applyFont="1" applyBorder="1" applyAlignment="1">
      <alignment wrapText="1"/>
      <protection/>
    </xf>
    <xf numFmtId="0" fontId="24" fillId="0" borderId="35" xfId="0" applyFont="1" applyBorder="1" applyAlignment="1">
      <alignment/>
    </xf>
    <xf numFmtId="0" fontId="33" fillId="0" borderId="50" xfId="0" applyFont="1" applyBorder="1" applyAlignment="1">
      <alignment/>
    </xf>
    <xf numFmtId="0" fontId="33" fillId="0" borderId="19" xfId="0" applyFont="1" applyBorder="1" applyAlignment="1">
      <alignment/>
    </xf>
    <xf numFmtId="0" fontId="11" fillId="0" borderId="50" xfId="52" applyFont="1" applyBorder="1" applyAlignment="1">
      <alignment horizontal="center" vertical="center"/>
      <protection/>
    </xf>
    <xf numFmtId="0" fontId="10" fillId="0" borderId="14" xfId="52" applyFont="1" applyBorder="1" applyAlignment="1">
      <alignment wrapText="1"/>
      <protection/>
    </xf>
    <xf numFmtId="0" fontId="10" fillId="0" borderId="19" xfId="52" applyFont="1" applyBorder="1" applyAlignment="1">
      <alignment wrapText="1"/>
      <protection/>
    </xf>
    <xf numFmtId="0" fontId="10" fillId="0" borderId="14" xfId="52" applyFont="1" applyBorder="1" applyAlignment="1">
      <alignment/>
      <protection/>
    </xf>
    <xf numFmtId="3" fontId="10" fillId="0" borderId="14" xfId="52" applyNumberFormat="1" applyFont="1" applyBorder="1">
      <alignment/>
      <protection/>
    </xf>
    <xf numFmtId="0" fontId="11" fillId="0" borderId="15" xfId="0" applyFont="1" applyBorder="1" applyAlignment="1">
      <alignment/>
    </xf>
    <xf numFmtId="0" fontId="11" fillId="0" borderId="15" xfId="0" applyFont="1" applyBorder="1" applyAlignment="1">
      <alignment wrapText="1"/>
    </xf>
    <xf numFmtId="0" fontId="70" fillId="0" borderId="0" xfId="0" applyFont="1" applyBorder="1" applyAlignment="1">
      <alignment horizontal="center"/>
    </xf>
    <xf numFmtId="0" fontId="70" fillId="0" borderId="48" xfId="52" applyFont="1" applyBorder="1" applyAlignment="1">
      <alignment/>
      <protection/>
    </xf>
    <xf numFmtId="3" fontId="70" fillId="0" borderId="48" xfId="52" applyNumberFormat="1" applyFont="1" applyBorder="1">
      <alignment/>
      <protection/>
    </xf>
    <xf numFmtId="3" fontId="70" fillId="0" borderId="49" xfId="52" applyNumberFormat="1" applyFont="1" applyBorder="1">
      <alignment/>
      <protection/>
    </xf>
    <xf numFmtId="3" fontId="10" fillId="0" borderId="10" xfId="0" applyNumberFormat="1" applyFont="1" applyBorder="1" applyAlignment="1">
      <alignment horizontal="right" vertical="top" wrapText="1"/>
    </xf>
    <xf numFmtId="3" fontId="54" fillId="0" borderId="10" xfId="0" applyNumberFormat="1" applyFont="1" applyBorder="1" applyAlignment="1">
      <alignment horizontal="right" vertical="top" wrapText="1"/>
    </xf>
    <xf numFmtId="0" fontId="11" fillId="33" borderId="10" xfId="52" applyFont="1" applyFill="1" applyBorder="1" applyAlignment="1">
      <alignment/>
      <protection/>
    </xf>
    <xf numFmtId="3" fontId="5" fillId="33" borderId="35" xfId="0" applyNumberFormat="1" applyFont="1" applyFill="1" applyBorder="1" applyAlignment="1">
      <alignment horizontal="center" vertical="center" wrapText="1"/>
    </xf>
    <xf numFmtId="3" fontId="5" fillId="33" borderId="36" xfId="0" applyNumberFormat="1" applyFont="1" applyFill="1" applyBorder="1" applyAlignment="1">
      <alignment horizontal="center" vertical="center" wrapText="1"/>
    </xf>
    <xf numFmtId="3" fontId="5" fillId="33" borderId="32" xfId="0" applyNumberFormat="1" applyFont="1" applyFill="1" applyBorder="1" applyAlignment="1">
      <alignment horizontal="center" vertical="center" wrapText="1"/>
    </xf>
    <xf numFmtId="3" fontId="5" fillId="33" borderId="19" xfId="0" applyNumberFormat="1" applyFont="1" applyFill="1" applyBorder="1" applyAlignment="1">
      <alignment horizontal="center" vertical="center" wrapText="1"/>
    </xf>
    <xf numFmtId="3" fontId="5" fillId="33" borderId="48" xfId="0" applyNumberFormat="1" applyFont="1" applyFill="1" applyBorder="1" applyAlignment="1">
      <alignment horizontal="center" vertical="center" wrapText="1"/>
    </xf>
    <xf numFmtId="3" fontId="5" fillId="33" borderId="49"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38"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29" fillId="33" borderId="14" xfId="0" applyFont="1" applyFill="1" applyBorder="1" applyAlignment="1">
      <alignment horizontal="center" vertical="center"/>
    </xf>
    <xf numFmtId="0" fontId="29"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0" xfId="0" applyFont="1" applyAlignment="1">
      <alignment horizontal="center" vertical="center"/>
    </xf>
    <xf numFmtId="3" fontId="48"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3" fontId="48" fillId="33" borderId="35" xfId="0" applyNumberFormat="1" applyFont="1" applyFill="1" applyBorder="1" applyAlignment="1">
      <alignment horizontal="center" vertical="center" wrapText="1"/>
    </xf>
    <xf numFmtId="3" fontId="48" fillId="33" borderId="36" xfId="0" applyNumberFormat="1" applyFont="1" applyFill="1" applyBorder="1" applyAlignment="1">
      <alignment horizontal="center" vertical="center" wrapText="1"/>
    </xf>
    <xf numFmtId="3" fontId="48" fillId="33" borderId="32" xfId="0" applyNumberFormat="1" applyFont="1" applyFill="1" applyBorder="1" applyAlignment="1">
      <alignment horizontal="center" vertical="center" wrapText="1"/>
    </xf>
    <xf numFmtId="3" fontId="48" fillId="33" borderId="19" xfId="0" applyNumberFormat="1" applyFont="1" applyFill="1" applyBorder="1" applyAlignment="1">
      <alignment horizontal="center" vertical="center" wrapText="1"/>
    </xf>
    <xf numFmtId="3" fontId="48" fillId="33" borderId="48" xfId="0" applyNumberFormat="1" applyFont="1" applyFill="1" applyBorder="1" applyAlignment="1">
      <alignment horizontal="center" vertical="center" wrapText="1"/>
    </xf>
    <xf numFmtId="3" fontId="48" fillId="33" borderId="49" xfId="0" applyNumberFormat="1" applyFont="1" applyFill="1" applyBorder="1" applyAlignment="1">
      <alignment horizontal="center" vertical="center" wrapText="1"/>
    </xf>
    <xf numFmtId="0" fontId="54" fillId="33" borderId="10" xfId="0" applyFont="1" applyFill="1" applyBorder="1" applyAlignment="1">
      <alignment horizontal="center" vertical="center" wrapText="1"/>
    </xf>
    <xf numFmtId="3" fontId="48" fillId="40" borderId="17" xfId="0" applyNumberFormat="1" applyFont="1" applyFill="1" applyBorder="1" applyAlignment="1">
      <alignment horizontal="center" vertical="center" wrapText="1"/>
    </xf>
    <xf numFmtId="3" fontId="48" fillId="40" borderId="38" xfId="0" applyNumberFormat="1" applyFont="1" applyFill="1" applyBorder="1" applyAlignment="1">
      <alignment horizontal="center" vertical="center" wrapText="1"/>
    </xf>
    <xf numFmtId="3" fontId="48" fillId="40" borderId="18" xfId="0" applyNumberFormat="1" applyFont="1" applyFill="1" applyBorder="1" applyAlignment="1">
      <alignment horizontal="center" vertical="center" wrapText="1"/>
    </xf>
    <xf numFmtId="3" fontId="48" fillId="33" borderId="14" xfId="0" applyNumberFormat="1" applyFont="1" applyFill="1" applyBorder="1" applyAlignment="1">
      <alignment horizontal="center" vertical="center" wrapText="1"/>
    </xf>
    <xf numFmtId="3" fontId="48" fillId="33" borderId="15" xfId="0" applyNumberFormat="1" applyFont="1" applyFill="1" applyBorder="1" applyAlignment="1">
      <alignment horizontal="center" vertical="center" wrapText="1"/>
    </xf>
    <xf numFmtId="3" fontId="48" fillId="33" borderId="16" xfId="0" applyNumberFormat="1" applyFont="1" applyFill="1" applyBorder="1" applyAlignment="1">
      <alignment horizontal="center" vertical="center" wrapText="1"/>
    </xf>
    <xf numFmtId="3" fontId="48" fillId="33" borderId="17" xfId="0" applyNumberFormat="1" applyFont="1" applyFill="1" applyBorder="1" applyAlignment="1">
      <alignment horizontal="center" vertical="center" wrapText="1"/>
    </xf>
    <xf numFmtId="3" fontId="48" fillId="33" borderId="38" xfId="0" applyNumberFormat="1" applyFont="1" applyFill="1" applyBorder="1" applyAlignment="1">
      <alignment horizontal="center" vertical="center" wrapText="1"/>
    </xf>
    <xf numFmtId="3" fontId="48" fillId="33" borderId="18" xfId="0" applyNumberFormat="1" applyFont="1" applyFill="1" applyBorder="1" applyAlignment="1">
      <alignment horizontal="center" vertical="center" wrapText="1"/>
    </xf>
    <xf numFmtId="0" fontId="48" fillId="0" borderId="17"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8"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8" xfId="0" applyFont="1" applyBorder="1" applyAlignment="1">
      <alignment horizontal="center" vertical="center" wrapText="1"/>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29" fillId="33"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4" fillId="0" borderId="49" xfId="0" applyFont="1" applyBorder="1" applyAlignment="1">
      <alignment horizontal="left" vertical="center"/>
    </xf>
    <xf numFmtId="0" fontId="4" fillId="0" borderId="16" xfId="0" applyFont="1" applyBorder="1" applyAlignment="1">
      <alignment horizontal="lef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5" fillId="0" borderId="0" xfId="0" applyFont="1" applyAlignment="1">
      <alignment horizontal="center" vertical="center" wrapText="1"/>
    </xf>
    <xf numFmtId="0" fontId="21" fillId="33" borderId="18" xfId="0" applyFont="1" applyFill="1" applyBorder="1" applyAlignment="1">
      <alignment horizontal="center" vertical="center"/>
    </xf>
    <xf numFmtId="0" fontId="21"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4" fillId="33" borderId="18" xfId="0" applyFont="1" applyFill="1" applyBorder="1" applyAlignment="1">
      <alignment horizontal="center" vertical="center"/>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3" fontId="4" fillId="33" borderId="10" xfId="0" applyNumberFormat="1" applyFont="1" applyFill="1" applyBorder="1" applyAlignment="1">
      <alignment horizontal="center" vertical="center" wrapText="1"/>
    </xf>
    <xf numFmtId="0" fontId="3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0" fontId="17" fillId="0" borderId="17" xfId="0" applyFont="1" applyBorder="1" applyAlignment="1">
      <alignment horizontal="center" wrapText="1"/>
    </xf>
    <xf numFmtId="0" fontId="17" fillId="0" borderId="38" xfId="0" applyFont="1" applyBorder="1" applyAlignment="1">
      <alignment horizontal="center" wrapText="1"/>
    </xf>
    <xf numFmtId="0" fontId="17" fillId="0" borderId="18" xfId="0" applyFont="1" applyBorder="1" applyAlignment="1">
      <alignment horizontal="center" wrapText="1"/>
    </xf>
    <xf numFmtId="0" fontId="10" fillId="0" borderId="10" xfId="52" applyFont="1" applyBorder="1" applyAlignment="1">
      <alignment horizontal="center"/>
      <protection/>
    </xf>
    <xf numFmtId="0" fontId="40" fillId="0" borderId="35" xfId="0" applyFont="1" applyBorder="1" applyAlignment="1">
      <alignment horizontal="center" wrapText="1"/>
    </xf>
    <xf numFmtId="0" fontId="40" fillId="0" borderId="36" xfId="0" applyFont="1" applyBorder="1" applyAlignment="1">
      <alignment horizontal="center" wrapText="1"/>
    </xf>
    <xf numFmtId="0" fontId="40" fillId="0" borderId="32" xfId="0" applyFont="1" applyBorder="1" applyAlignment="1">
      <alignment horizontal="center" wrapText="1"/>
    </xf>
    <xf numFmtId="0" fontId="40" fillId="0" borderId="50" xfId="0" applyFont="1" applyBorder="1" applyAlignment="1">
      <alignment horizontal="center" wrapText="1"/>
    </xf>
    <xf numFmtId="0" fontId="40" fillId="0" borderId="0" xfId="0" applyFont="1" applyBorder="1" applyAlignment="1">
      <alignment horizontal="center" wrapText="1"/>
    </xf>
    <xf numFmtId="0" fontId="40" fillId="0" borderId="47" xfId="0" applyFont="1" applyBorder="1" applyAlignment="1">
      <alignment horizontal="center" wrapText="1"/>
    </xf>
    <xf numFmtId="0" fontId="40" fillId="0" borderId="19" xfId="0" applyFont="1" applyBorder="1" applyAlignment="1">
      <alignment horizontal="center" wrapText="1"/>
    </xf>
    <xf numFmtId="0" fontId="40" fillId="0" borderId="48" xfId="0" applyFont="1" applyBorder="1" applyAlignment="1">
      <alignment horizontal="center" wrapText="1"/>
    </xf>
    <xf numFmtId="0" fontId="40" fillId="0" borderId="49" xfId="0" applyFont="1" applyBorder="1" applyAlignment="1">
      <alignment horizontal="center" wrapText="1"/>
    </xf>
    <xf numFmtId="0" fontId="10" fillId="35" borderId="10" xfId="52" applyFont="1" applyFill="1" applyBorder="1" applyAlignment="1">
      <alignment horizontal="center"/>
      <protection/>
    </xf>
    <xf numFmtId="0" fontId="11" fillId="0" borderId="24" xfId="52" applyFont="1" applyBorder="1" applyAlignment="1">
      <alignment horizontal="center" vertical="center"/>
      <protection/>
    </xf>
    <xf numFmtId="0" fontId="11" fillId="0" borderId="12" xfId="52" applyFont="1" applyBorder="1" applyAlignment="1">
      <alignment horizontal="center" vertical="center"/>
      <protection/>
    </xf>
    <xf numFmtId="0" fontId="50" fillId="0" borderId="35" xfId="0" applyFont="1" applyBorder="1" applyAlignment="1">
      <alignment horizontal="center"/>
    </xf>
    <xf numFmtId="0" fontId="50" fillId="0" borderId="36" xfId="0" applyFont="1" applyBorder="1" applyAlignment="1">
      <alignment horizontal="center"/>
    </xf>
    <xf numFmtId="0" fontId="50" fillId="0" borderId="32" xfId="0" applyFont="1" applyBorder="1" applyAlignment="1">
      <alignment horizontal="center"/>
    </xf>
    <xf numFmtId="0" fontId="50" fillId="0" borderId="50" xfId="0" applyFont="1" applyBorder="1" applyAlignment="1">
      <alignment horizontal="center"/>
    </xf>
    <xf numFmtId="0" fontId="50" fillId="0" borderId="0" xfId="0" applyFont="1" applyBorder="1" applyAlignment="1">
      <alignment horizontal="center"/>
    </xf>
    <xf numFmtId="0" fontId="50" fillId="0" borderId="47" xfId="0" applyFont="1" applyBorder="1" applyAlignment="1">
      <alignment horizontal="center"/>
    </xf>
    <xf numFmtId="0" fontId="50" fillId="0" borderId="19" xfId="0" applyFont="1" applyBorder="1" applyAlignment="1">
      <alignment horizontal="center"/>
    </xf>
    <xf numFmtId="0" fontId="50" fillId="0" borderId="48" xfId="0" applyFont="1" applyBorder="1" applyAlignment="1">
      <alignment horizontal="center"/>
    </xf>
    <xf numFmtId="0" fontId="50" fillId="0" borderId="49" xfId="0" applyFont="1" applyBorder="1" applyAlignment="1">
      <alignment horizontal="center"/>
    </xf>
    <xf numFmtId="0" fontId="10" fillId="35" borderId="35" xfId="52" applyFont="1" applyFill="1" applyBorder="1" applyAlignment="1">
      <alignment horizontal="center"/>
      <protection/>
    </xf>
    <xf numFmtId="0" fontId="10" fillId="35" borderId="32" xfId="52" applyFont="1" applyFill="1" applyBorder="1" applyAlignment="1">
      <alignment horizontal="center"/>
      <protection/>
    </xf>
    <xf numFmtId="0" fontId="17" fillId="0" borderId="10" xfId="0" applyFont="1" applyBorder="1" applyAlignment="1">
      <alignment horizontal="center" wrapText="1"/>
    </xf>
    <xf numFmtId="0" fontId="10" fillId="33" borderId="10" xfId="52" applyFont="1" applyFill="1" applyBorder="1" applyAlignment="1">
      <alignment horizontal="center" vertical="center"/>
      <protection/>
    </xf>
    <xf numFmtId="0" fontId="10" fillId="33" borderId="10" xfId="52" applyFont="1" applyFill="1" applyBorder="1" applyAlignment="1">
      <alignment horizontal="center" vertical="center" wrapText="1"/>
      <protection/>
    </xf>
    <xf numFmtId="0" fontId="17" fillId="0" borderId="0" xfId="52" applyFont="1" applyAlignment="1">
      <alignment horizontal="center"/>
      <protection/>
    </xf>
    <xf numFmtId="0" fontId="30" fillId="33" borderId="10" xfId="52" applyFont="1" applyFill="1" applyBorder="1" applyAlignment="1">
      <alignment horizontal="center" vertical="center" wrapText="1"/>
      <protection/>
    </xf>
    <xf numFmtId="0" fontId="70" fillId="0" borderId="0" xfId="0" applyFont="1" applyBorder="1" applyAlignment="1">
      <alignment horizontal="center"/>
    </xf>
    <xf numFmtId="0" fontId="70" fillId="0" borderId="47" xfId="0" applyFont="1" applyBorder="1" applyAlignment="1">
      <alignment horizontal="center"/>
    </xf>
    <xf numFmtId="0" fontId="70" fillId="0" borderId="0" xfId="0" applyFont="1" applyBorder="1" applyAlignment="1">
      <alignment horizontal="center" wrapText="1"/>
    </xf>
    <xf numFmtId="0" fontId="70" fillId="0" borderId="47" xfId="0" applyFont="1" applyBorder="1" applyAlignment="1">
      <alignment horizont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3" fontId="2" fillId="0" borderId="17" xfId="0" applyNumberFormat="1" applyFont="1" applyBorder="1" applyAlignment="1">
      <alignment horizontal="center" vertical="center"/>
    </xf>
    <xf numFmtId="3" fontId="2" fillId="0" borderId="38"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35" borderId="10" xfId="0" applyFont="1" applyFill="1" applyBorder="1" applyAlignment="1">
      <alignment horizontal="center" vertical="center"/>
    </xf>
    <xf numFmtId="0" fontId="13" fillId="0" borderId="0" xfId="0" applyFont="1" applyAlignment="1">
      <alignment horizontal="center" vertical="center"/>
    </xf>
    <xf numFmtId="0" fontId="4" fillId="33" borderId="1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18" xfId="0" applyFont="1" applyFill="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7" xfId="0" applyNumberFormat="1" applyBorder="1" applyAlignment="1">
      <alignment horizontal="center"/>
    </xf>
    <xf numFmtId="4" fontId="60" fillId="0" borderId="38" xfId="0" applyNumberFormat="1" applyFont="1" applyBorder="1" applyAlignment="1">
      <alignment horizontal="center"/>
    </xf>
    <xf numFmtId="4" fontId="60" fillId="0" borderId="18" xfId="0" applyNumberFormat="1" applyFont="1" applyBorder="1" applyAlignment="1">
      <alignment horizontal="center"/>
    </xf>
    <xf numFmtId="3" fontId="0" fillId="0" borderId="35" xfId="0" applyNumberFormat="1" applyBorder="1" applyAlignment="1">
      <alignment horizontal="center" wrapText="1"/>
    </xf>
    <xf numFmtId="3" fontId="0" fillId="0" borderId="32" xfId="0" applyNumberFormat="1" applyBorder="1" applyAlignment="1">
      <alignment horizontal="center" wrapText="1"/>
    </xf>
    <xf numFmtId="3" fontId="0" fillId="0" borderId="19" xfId="0" applyNumberFormat="1" applyBorder="1" applyAlignment="1">
      <alignment horizontal="center" wrapText="1"/>
    </xf>
    <xf numFmtId="3" fontId="0" fillId="0" borderId="49" xfId="0" applyNumberFormat="1" applyBorder="1" applyAlignment="1">
      <alignment horizontal="center" wrapText="1"/>
    </xf>
    <xf numFmtId="0" fontId="0" fillId="0" borderId="10" xfId="0"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3" fontId="4" fillId="0" borderId="10" xfId="0" applyNumberFormat="1"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3" fillId="35" borderId="0" xfId="0" applyFont="1" applyFill="1" applyAlignment="1">
      <alignment horizontal="center" vertical="center"/>
    </xf>
    <xf numFmtId="0" fontId="17" fillId="33" borderId="1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6" xfId="0"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Pulpit\Bud&#380;et%202010\BUD&#379;ET%201-17-2010%20-%20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DO UCHWAŁY "/>
      <sheetName val="2"/>
      <sheetName val="2-do uchwały "/>
      <sheetName val="3"/>
      <sheetName val="3a"/>
      <sheetName val="4"/>
      <sheetName val="5"/>
      <sheetName val="6"/>
      <sheetName val="7"/>
      <sheetName val="8"/>
      <sheetName val="9"/>
      <sheetName val="10"/>
      <sheetName val="11"/>
      <sheetName val="12"/>
      <sheetName val="13  do  uchwały"/>
      <sheetName val="13"/>
      <sheetName val="14"/>
      <sheetName val="14-do uchwały"/>
      <sheetName val="15"/>
      <sheetName val="17"/>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6"/>
  <sheetViews>
    <sheetView zoomScale="75" zoomScaleNormal="75" zoomScalePageLayoutView="0" workbookViewId="0" topLeftCell="A14">
      <selection activeCell="G28" sqref="G28"/>
    </sheetView>
  </sheetViews>
  <sheetFormatPr defaultColWidth="9.00390625" defaultRowHeight="12.75"/>
  <cols>
    <col min="1" max="1" width="7.125" style="291" customWidth="1"/>
    <col min="2" max="2" width="7.25390625" style="432" customWidth="1"/>
    <col min="3" max="3" width="7.125" style="291" bestFit="1" customWidth="1"/>
    <col min="4" max="4" width="34.375" style="291" customWidth="1"/>
    <col min="5" max="5" width="14.125" style="291" customWidth="1"/>
    <col min="6" max="6" width="14.625" style="291" customWidth="1"/>
    <col min="7" max="7" width="12.875" style="291" customWidth="1"/>
    <col min="8" max="16384" width="9.125" style="291" customWidth="1"/>
  </cols>
  <sheetData>
    <row r="1" spans="2:5" ht="15.75">
      <c r="B1" s="729" t="s">
        <v>463</v>
      </c>
      <c r="C1" s="729"/>
      <c r="D1" s="729"/>
      <c r="E1" s="729"/>
    </row>
    <row r="2" spans="2:7" ht="15.75">
      <c r="B2" s="431"/>
      <c r="C2" s="292"/>
      <c r="D2" s="292"/>
      <c r="E2" s="293"/>
      <c r="F2" s="293"/>
      <c r="G2" s="293"/>
    </row>
    <row r="3" spans="5:7" ht="15">
      <c r="E3" s="294" t="s">
        <v>193</v>
      </c>
      <c r="F3" s="294"/>
      <c r="G3" s="294"/>
    </row>
    <row r="4" spans="1:7" ht="15" customHeight="1">
      <c r="A4" s="730" t="s">
        <v>139</v>
      </c>
      <c r="B4" s="732" t="s">
        <v>140</v>
      </c>
      <c r="C4" s="730" t="s">
        <v>141</v>
      </c>
      <c r="D4" s="730" t="s">
        <v>261</v>
      </c>
      <c r="E4" s="720" t="s">
        <v>462</v>
      </c>
      <c r="F4" s="721"/>
      <c r="G4" s="722"/>
    </row>
    <row r="5" spans="1:7" ht="15" customHeight="1">
      <c r="A5" s="731"/>
      <c r="B5" s="733"/>
      <c r="C5" s="734"/>
      <c r="D5" s="734"/>
      <c r="E5" s="723"/>
      <c r="F5" s="724"/>
      <c r="G5" s="725"/>
    </row>
    <row r="6" spans="1:7" ht="15" customHeight="1">
      <c r="A6" s="295"/>
      <c r="B6" s="433"/>
      <c r="C6" s="297"/>
      <c r="D6" s="297"/>
      <c r="E6" s="726" t="s">
        <v>355</v>
      </c>
      <c r="F6" s="727"/>
      <c r="G6" s="728"/>
    </row>
    <row r="7" spans="1:7" ht="63">
      <c r="A7" s="295"/>
      <c r="B7" s="433"/>
      <c r="C7" s="296"/>
      <c r="D7" s="303" t="s">
        <v>629</v>
      </c>
      <c r="E7" s="298" t="s">
        <v>446</v>
      </c>
      <c r="F7" s="298" t="s">
        <v>353</v>
      </c>
      <c r="G7" s="298" t="s">
        <v>354</v>
      </c>
    </row>
    <row r="8" spans="1:7" s="301" customFormat="1" ht="15">
      <c r="A8" s="299">
        <v>1</v>
      </c>
      <c r="B8" s="434">
        <v>2</v>
      </c>
      <c r="C8" s="299">
        <v>3</v>
      </c>
      <c r="D8" s="299">
        <v>4</v>
      </c>
      <c r="E8" s="300">
        <v>5</v>
      </c>
      <c r="F8" s="300">
        <v>6</v>
      </c>
      <c r="G8" s="300">
        <v>7</v>
      </c>
    </row>
    <row r="9" spans="1:7" ht="15.75">
      <c r="A9" s="302" t="s">
        <v>626</v>
      </c>
      <c r="B9" s="435" t="s">
        <v>627</v>
      </c>
      <c r="C9" s="302" t="s">
        <v>628</v>
      </c>
      <c r="E9" s="304"/>
      <c r="F9" s="304"/>
      <c r="G9" s="304"/>
    </row>
    <row r="10" spans="1:7" s="308" customFormat="1" ht="19.5" customHeight="1">
      <c r="A10" s="305" t="s">
        <v>401</v>
      </c>
      <c r="B10" s="436"/>
      <c r="C10" s="305"/>
      <c r="D10" s="306" t="s">
        <v>402</v>
      </c>
      <c r="E10" s="514">
        <f>E11+E13</f>
        <v>25850</v>
      </c>
      <c r="F10" s="307">
        <f>F11+F13</f>
        <v>25850</v>
      </c>
      <c r="G10" s="307">
        <f>G11+G13</f>
        <v>0</v>
      </c>
    </row>
    <row r="11" spans="1:7" s="312" customFormat="1" ht="31.5">
      <c r="A11" s="309"/>
      <c r="B11" s="437" t="s">
        <v>403</v>
      </c>
      <c r="C11" s="309"/>
      <c r="D11" s="310" t="s">
        <v>630</v>
      </c>
      <c r="E11" s="515">
        <f>E12</f>
        <v>25000</v>
      </c>
      <c r="F11" s="311">
        <f>F12</f>
        <v>25000</v>
      </c>
      <c r="G11" s="311">
        <f>G12</f>
        <v>0</v>
      </c>
    </row>
    <row r="12" spans="1:7" s="316" customFormat="1" ht="90.75">
      <c r="A12" s="313"/>
      <c r="B12" s="438"/>
      <c r="C12" s="313">
        <v>2110</v>
      </c>
      <c r="D12" s="314" t="s">
        <v>631</v>
      </c>
      <c r="E12" s="516">
        <f>F12+G12</f>
        <v>25000</v>
      </c>
      <c r="F12" s="315">
        <v>25000</v>
      </c>
      <c r="G12" s="315"/>
    </row>
    <row r="13" spans="1:7" s="316" customFormat="1" ht="15.75">
      <c r="A13" s="345"/>
      <c r="B13" s="439" t="s">
        <v>632</v>
      </c>
      <c r="C13" s="345"/>
      <c r="D13" s="346" t="s">
        <v>762</v>
      </c>
      <c r="E13" s="517">
        <f>SUM(E14)</f>
        <v>850</v>
      </c>
      <c r="F13" s="324">
        <f>SUM(F14)</f>
        <v>850</v>
      </c>
      <c r="G13" s="324">
        <f>SUM(G14)</f>
        <v>0</v>
      </c>
    </row>
    <row r="14" spans="1:7" ht="90">
      <c r="A14" s="313"/>
      <c r="B14" s="438"/>
      <c r="C14" s="313">
        <v>2360</v>
      </c>
      <c r="D14" s="314" t="s">
        <v>633</v>
      </c>
      <c r="E14" s="516">
        <f>F14+G14</f>
        <v>850</v>
      </c>
      <c r="F14" s="331">
        <v>850</v>
      </c>
      <c r="G14" s="331"/>
    </row>
    <row r="15" spans="1:7" s="308" customFormat="1" ht="15.75">
      <c r="A15" s="305" t="s">
        <v>406</v>
      </c>
      <c r="B15" s="436"/>
      <c r="C15" s="305"/>
      <c r="D15" s="306" t="s">
        <v>407</v>
      </c>
      <c r="E15" s="514">
        <f aca="true" t="shared" si="0" ref="E15:G16">E16</f>
        <v>285000</v>
      </c>
      <c r="F15" s="307">
        <f t="shared" si="0"/>
        <v>285000</v>
      </c>
      <c r="G15" s="307">
        <f t="shared" si="0"/>
        <v>0</v>
      </c>
    </row>
    <row r="16" spans="1:7" s="312" customFormat="1" ht="15.75">
      <c r="A16" s="305"/>
      <c r="B16" s="437" t="s">
        <v>408</v>
      </c>
      <c r="C16" s="309"/>
      <c r="D16" s="310" t="s">
        <v>409</v>
      </c>
      <c r="E16" s="515">
        <f t="shared" si="0"/>
        <v>285000</v>
      </c>
      <c r="F16" s="311">
        <f t="shared" si="0"/>
        <v>285000</v>
      </c>
      <c r="G16" s="311">
        <f t="shared" si="0"/>
        <v>0</v>
      </c>
    </row>
    <row r="17" spans="1:7" ht="90">
      <c r="A17" s="313"/>
      <c r="B17" s="438"/>
      <c r="C17" s="317">
        <v>2700</v>
      </c>
      <c r="D17" s="314" t="s">
        <v>356</v>
      </c>
      <c r="E17" s="516">
        <f>F17+G17</f>
        <v>285000</v>
      </c>
      <c r="F17" s="304">
        <v>285000</v>
      </c>
      <c r="G17" s="304"/>
    </row>
    <row r="18" spans="1:7" ht="15.75">
      <c r="A18" s="318">
        <v>600</v>
      </c>
      <c r="B18" s="440"/>
      <c r="C18" s="319"/>
      <c r="D18" s="320" t="s">
        <v>414</v>
      </c>
      <c r="E18" s="518">
        <f>SUM(E19)</f>
        <v>7625271</v>
      </c>
      <c r="F18" s="321">
        <f>SUM(F19)</f>
        <v>0</v>
      </c>
      <c r="G18" s="304">
        <f>SUM(G19)</f>
        <v>7625271</v>
      </c>
    </row>
    <row r="19" spans="1:7" ht="15.75">
      <c r="A19" s="322"/>
      <c r="B19" s="441">
        <v>60014</v>
      </c>
      <c r="C19" s="323"/>
      <c r="D19" s="271" t="s">
        <v>415</v>
      </c>
      <c r="E19" s="517">
        <f>SUM(E21:E28)</f>
        <v>7625271</v>
      </c>
      <c r="F19" s="324">
        <f>SUM(F20:F28)</f>
        <v>0</v>
      </c>
      <c r="G19" s="324">
        <f>SUM(G20:G28)</f>
        <v>7625271</v>
      </c>
    </row>
    <row r="20" spans="1:7" ht="90" hidden="1">
      <c r="A20" s="325"/>
      <c r="B20" s="442"/>
      <c r="C20" s="326">
        <v>2310</v>
      </c>
      <c r="D20" s="327" t="s">
        <v>107</v>
      </c>
      <c r="E20" s="516">
        <f>F20+G20</f>
        <v>0</v>
      </c>
      <c r="F20" s="304"/>
      <c r="G20" s="304"/>
    </row>
    <row r="21" spans="1:7" ht="15.75" hidden="1">
      <c r="A21" s="313"/>
      <c r="B21" s="438"/>
      <c r="C21" s="351">
        <v>6208</v>
      </c>
      <c r="D21" s="352" t="s">
        <v>87</v>
      </c>
      <c r="E21" s="516">
        <f>F21+G21</f>
        <v>0</v>
      </c>
      <c r="F21" s="252"/>
      <c r="G21" s="331"/>
    </row>
    <row r="22" spans="1:7" ht="15.75" hidden="1">
      <c r="A22" s="313"/>
      <c r="B22" s="438"/>
      <c r="C22" s="353">
        <v>6209</v>
      </c>
      <c r="D22" s="352" t="s">
        <v>86</v>
      </c>
      <c r="E22" s="516">
        <f>F22+G22</f>
        <v>0</v>
      </c>
      <c r="F22" s="252"/>
      <c r="G22" s="331"/>
    </row>
    <row r="23" spans="1:7" ht="15" hidden="1">
      <c r="A23" s="325"/>
      <c r="B23" s="442"/>
      <c r="C23" s="326"/>
      <c r="D23" s="359"/>
      <c r="E23" s="516"/>
      <c r="F23" s="304"/>
      <c r="G23" s="304"/>
    </row>
    <row r="24" spans="1:7" ht="56.25">
      <c r="A24" s="325"/>
      <c r="B24" s="442"/>
      <c r="C24" s="447">
        <v>6290</v>
      </c>
      <c r="D24" s="65" t="s">
        <v>486</v>
      </c>
      <c r="E24" s="516">
        <f>F24+G24</f>
        <v>2071343</v>
      </c>
      <c r="F24" s="304"/>
      <c r="G24" s="65">
        <v>2071343</v>
      </c>
    </row>
    <row r="25" spans="1:7" ht="76.5">
      <c r="A25" s="325"/>
      <c r="B25" s="442"/>
      <c r="C25" s="490">
        <v>6300</v>
      </c>
      <c r="D25" s="64" t="s">
        <v>504</v>
      </c>
      <c r="E25" s="516">
        <f>F25+G25</f>
        <v>693867</v>
      </c>
      <c r="F25" s="304"/>
      <c r="G25" s="578">
        <f>66000+463100+497200+55000-387433</f>
        <v>693867</v>
      </c>
    </row>
    <row r="26" spans="1:8" ht="90.75">
      <c r="A26" s="325"/>
      <c r="B26" s="442"/>
      <c r="C26" s="326">
        <v>6610</v>
      </c>
      <c r="D26" s="328" t="s">
        <v>51</v>
      </c>
      <c r="E26" s="516">
        <f>F26+G26</f>
        <v>495561</v>
      </c>
      <c r="F26" s="329"/>
      <c r="G26" s="578">
        <v>495561</v>
      </c>
      <c r="H26" s="330"/>
    </row>
    <row r="27" spans="1:8" ht="90.75" hidden="1">
      <c r="A27" s="325"/>
      <c r="B27" s="442"/>
      <c r="C27" s="326">
        <v>6610</v>
      </c>
      <c r="D27" s="327" t="s">
        <v>51</v>
      </c>
      <c r="E27" s="516">
        <f>F27+G27</f>
        <v>0</v>
      </c>
      <c r="F27" s="329"/>
      <c r="G27" s="329"/>
      <c r="H27" s="330"/>
    </row>
    <row r="28" spans="1:8" ht="34.5">
      <c r="A28" s="325"/>
      <c r="B28" s="442"/>
      <c r="C28" s="447">
        <v>6430</v>
      </c>
      <c r="D28" s="448" t="s">
        <v>274</v>
      </c>
      <c r="E28" s="516">
        <f>F28+G28</f>
        <v>4364500</v>
      </c>
      <c r="F28" s="329"/>
      <c r="G28" s="329">
        <v>4364500</v>
      </c>
      <c r="H28" s="330"/>
    </row>
    <row r="29" spans="1:7" s="308" customFormat="1" ht="31.5">
      <c r="A29" s="305">
        <v>700</v>
      </c>
      <c r="B29" s="436"/>
      <c r="C29" s="305"/>
      <c r="D29" s="306" t="s">
        <v>437</v>
      </c>
      <c r="E29" s="514">
        <f>SUM(E30)</f>
        <v>1938435</v>
      </c>
      <c r="F29" s="307">
        <f>F30</f>
        <v>1938435</v>
      </c>
      <c r="G29" s="307">
        <f>G30</f>
        <v>0</v>
      </c>
    </row>
    <row r="30" spans="1:7" s="312" customFormat="1" ht="31.5">
      <c r="A30" s="309"/>
      <c r="B30" s="437">
        <v>70005</v>
      </c>
      <c r="C30" s="309"/>
      <c r="D30" s="310" t="s">
        <v>438</v>
      </c>
      <c r="E30" s="515">
        <f>SUM(E31:E35)</f>
        <v>1938435</v>
      </c>
      <c r="F30" s="311">
        <f>SUM(F31:F35)</f>
        <v>1938435</v>
      </c>
      <c r="G30" s="311">
        <f>SUM(G31:G35)</f>
        <v>0</v>
      </c>
    </row>
    <row r="31" spans="1:7" ht="120">
      <c r="A31" s="313"/>
      <c r="B31" s="438"/>
      <c r="C31" s="313" t="s">
        <v>635</v>
      </c>
      <c r="D31" s="314" t="s">
        <v>636</v>
      </c>
      <c r="E31" s="516">
        <f>F31+G31</f>
        <v>1521500</v>
      </c>
      <c r="F31" s="331">
        <f>1331500+190000</f>
        <v>1521500</v>
      </c>
      <c r="G31" s="331"/>
    </row>
    <row r="32" spans="1:7" ht="90">
      <c r="A32" s="313"/>
      <c r="B32" s="438"/>
      <c r="C32" s="313">
        <v>2110</v>
      </c>
      <c r="D32" s="314" t="s">
        <v>631</v>
      </c>
      <c r="E32" s="516">
        <f>F32+G32</f>
        <v>166200</v>
      </c>
      <c r="F32" s="331">
        <v>166200</v>
      </c>
      <c r="G32" s="331"/>
    </row>
    <row r="33" spans="1:7" ht="90">
      <c r="A33" s="313"/>
      <c r="B33" s="438"/>
      <c r="C33" s="313">
        <v>2360</v>
      </c>
      <c r="D33" s="314" t="s">
        <v>633</v>
      </c>
      <c r="E33" s="516">
        <f>F33+G33</f>
        <v>160000</v>
      </c>
      <c r="F33" s="331">
        <v>160000</v>
      </c>
      <c r="G33" s="331"/>
    </row>
    <row r="34" spans="1:7" ht="30">
      <c r="A34" s="313"/>
      <c r="B34" s="438"/>
      <c r="C34" s="313" t="s">
        <v>724</v>
      </c>
      <c r="D34" s="314" t="s">
        <v>763</v>
      </c>
      <c r="E34" s="516">
        <f>F34+G34</f>
        <v>59735</v>
      </c>
      <c r="F34" s="331">
        <v>59735</v>
      </c>
      <c r="G34" s="331"/>
    </row>
    <row r="35" spans="1:7" ht="15">
      <c r="A35" s="313"/>
      <c r="B35" s="438"/>
      <c r="C35" s="453" t="s">
        <v>98</v>
      </c>
      <c r="D35" s="382" t="s">
        <v>105</v>
      </c>
      <c r="E35" s="516">
        <f>F35+G35</f>
        <v>31000</v>
      </c>
      <c r="F35" s="331">
        <v>31000</v>
      </c>
      <c r="G35" s="331"/>
    </row>
    <row r="36" spans="1:7" s="308" customFormat="1" ht="15.75">
      <c r="A36" s="305">
        <v>710</v>
      </c>
      <c r="B36" s="436"/>
      <c r="C36" s="305"/>
      <c r="D36" s="306" t="s">
        <v>449</v>
      </c>
      <c r="E36" s="519">
        <f>SUM(E37+E39+E41)</f>
        <v>529400</v>
      </c>
      <c r="F36" s="332">
        <f>SUM(F37+F39+F41)</f>
        <v>529400</v>
      </c>
      <c r="G36" s="332">
        <f>SUM(G37+G39+G41)</f>
        <v>0</v>
      </c>
    </row>
    <row r="37" spans="1:7" s="312" customFormat="1" ht="31.5">
      <c r="A37" s="309"/>
      <c r="B37" s="437">
        <v>71013</v>
      </c>
      <c r="C37" s="309"/>
      <c r="D37" s="310" t="s">
        <v>637</v>
      </c>
      <c r="E37" s="520">
        <f>E38</f>
        <v>70000</v>
      </c>
      <c r="F37" s="333">
        <f>F38</f>
        <v>70000</v>
      </c>
      <c r="G37" s="333">
        <f>G38</f>
        <v>0</v>
      </c>
    </row>
    <row r="38" spans="1:7" ht="90">
      <c r="A38" s="313"/>
      <c r="B38" s="438"/>
      <c r="C38" s="313">
        <v>2110</v>
      </c>
      <c r="D38" s="314" t="s">
        <v>631</v>
      </c>
      <c r="E38" s="516">
        <f>F38+G38</f>
        <v>70000</v>
      </c>
      <c r="F38" s="331">
        <v>70000</v>
      </c>
      <c r="G38" s="331"/>
    </row>
    <row r="39" spans="1:7" s="312" customFormat="1" ht="31.5">
      <c r="A39" s="309"/>
      <c r="B39" s="437">
        <v>71014</v>
      </c>
      <c r="C39" s="309"/>
      <c r="D39" s="310" t="s">
        <v>638</v>
      </c>
      <c r="E39" s="520">
        <f>E40</f>
        <v>4900</v>
      </c>
      <c r="F39" s="333">
        <f>F40</f>
        <v>4900</v>
      </c>
      <c r="G39" s="333">
        <f>G40</f>
        <v>0</v>
      </c>
    </row>
    <row r="40" spans="1:7" ht="90">
      <c r="A40" s="313"/>
      <c r="B40" s="438"/>
      <c r="C40" s="313">
        <v>2110</v>
      </c>
      <c r="D40" s="314" t="s">
        <v>631</v>
      </c>
      <c r="E40" s="516">
        <f>F40+G40</f>
        <v>4900</v>
      </c>
      <c r="F40" s="331">
        <v>4900</v>
      </c>
      <c r="G40" s="331"/>
    </row>
    <row r="41" spans="1:7" s="312" customFormat="1" ht="15.75">
      <c r="A41" s="309"/>
      <c r="B41" s="437">
        <v>71015</v>
      </c>
      <c r="C41" s="309"/>
      <c r="D41" s="310" t="s">
        <v>517</v>
      </c>
      <c r="E41" s="520">
        <f>SUM(E42:E43)</f>
        <v>454500</v>
      </c>
      <c r="F41" s="520">
        <f>SUM(F42:F43)</f>
        <v>454500</v>
      </c>
      <c r="G41" s="520">
        <f>SUM(G42:G43)</f>
        <v>0</v>
      </c>
    </row>
    <row r="42" spans="1:7" ht="15">
      <c r="A42" s="340"/>
      <c r="B42" s="444"/>
      <c r="C42" s="340" t="s">
        <v>98</v>
      </c>
      <c r="D42" s="341" t="s">
        <v>797</v>
      </c>
      <c r="E42" s="523">
        <f>F42+G42</f>
        <v>1500</v>
      </c>
      <c r="F42" s="331">
        <v>1500</v>
      </c>
      <c r="G42" s="331"/>
    </row>
    <row r="43" spans="1:7" ht="90.75">
      <c r="A43" s="309"/>
      <c r="B43" s="437"/>
      <c r="C43" s="313">
        <v>2110</v>
      </c>
      <c r="D43" s="314" t="s">
        <v>631</v>
      </c>
      <c r="E43" s="516">
        <f>F43+G43</f>
        <v>453000</v>
      </c>
      <c r="F43" s="331">
        <v>453000</v>
      </c>
      <c r="G43" s="331"/>
    </row>
    <row r="44" spans="1:7" s="308" customFormat="1" ht="31.5">
      <c r="A44" s="305">
        <v>750</v>
      </c>
      <c r="B44" s="436"/>
      <c r="C44" s="305"/>
      <c r="D44" s="306" t="s">
        <v>639</v>
      </c>
      <c r="E44" s="519">
        <f>SUM(E45+E47+E53)</f>
        <v>2339200</v>
      </c>
      <c r="F44" s="332">
        <f>SUM(F45+F47+F53)</f>
        <v>2339200</v>
      </c>
      <c r="G44" s="332">
        <f>SUM(G45+G47+G53)</f>
        <v>0</v>
      </c>
    </row>
    <row r="45" spans="1:7" s="312" customFormat="1" ht="15.75">
      <c r="A45" s="309"/>
      <c r="B45" s="437">
        <v>75011</v>
      </c>
      <c r="C45" s="309"/>
      <c r="D45" s="310" t="s">
        <v>640</v>
      </c>
      <c r="E45" s="520">
        <f>E46</f>
        <v>320100</v>
      </c>
      <c r="F45" s="333">
        <f>F46</f>
        <v>320100</v>
      </c>
      <c r="G45" s="333">
        <f>G46</f>
        <v>0</v>
      </c>
    </row>
    <row r="46" spans="1:7" ht="90">
      <c r="A46" s="313"/>
      <c r="B46" s="438"/>
      <c r="C46" s="313">
        <v>2110</v>
      </c>
      <c r="D46" s="314" t="s">
        <v>631</v>
      </c>
      <c r="E46" s="516">
        <f>F46+G46</f>
        <v>320100</v>
      </c>
      <c r="F46" s="331">
        <v>320100</v>
      </c>
      <c r="G46" s="331"/>
    </row>
    <row r="47" spans="1:7" s="312" customFormat="1" ht="15.75">
      <c r="A47" s="309"/>
      <c r="B47" s="437">
        <v>75020</v>
      </c>
      <c r="C47" s="309"/>
      <c r="D47" s="310" t="s">
        <v>613</v>
      </c>
      <c r="E47" s="520">
        <f>SUM(E48:E52)</f>
        <v>1953000</v>
      </c>
      <c r="F47" s="333">
        <f>SUM(F48:F52)</f>
        <v>1953000</v>
      </c>
      <c r="G47" s="333">
        <f>SUM(G48:G52)</f>
        <v>0</v>
      </c>
    </row>
    <row r="48" spans="1:7" ht="15">
      <c r="A48" s="313"/>
      <c r="B48" s="438"/>
      <c r="C48" s="313" t="s">
        <v>641</v>
      </c>
      <c r="D48" s="314" t="s">
        <v>642</v>
      </c>
      <c r="E48" s="516">
        <f>F48+G48</f>
        <v>1928000</v>
      </c>
      <c r="F48" s="331">
        <v>1928000</v>
      </c>
      <c r="G48" s="331"/>
    </row>
    <row r="49" spans="1:7" ht="30">
      <c r="A49" s="313"/>
      <c r="B49" s="438"/>
      <c r="C49" s="313" t="s">
        <v>643</v>
      </c>
      <c r="D49" s="314" t="s">
        <v>644</v>
      </c>
      <c r="E49" s="516">
        <f>F49+G49</f>
        <v>15000</v>
      </c>
      <c r="F49" s="331">
        <v>15000</v>
      </c>
      <c r="G49" s="331"/>
    </row>
    <row r="50" spans="1:7" ht="15">
      <c r="A50" s="313"/>
      <c r="B50" s="438"/>
      <c r="C50" s="313" t="s">
        <v>645</v>
      </c>
      <c r="D50" s="314" t="s">
        <v>487</v>
      </c>
      <c r="E50" s="516">
        <f>F50+G50</f>
        <v>1000</v>
      </c>
      <c r="F50" s="331">
        <v>1000</v>
      </c>
      <c r="G50" s="331"/>
    </row>
    <row r="51" spans="1:7" ht="15">
      <c r="A51" s="313"/>
      <c r="B51" s="438"/>
      <c r="C51" s="313" t="s">
        <v>103</v>
      </c>
      <c r="D51" s="314" t="s">
        <v>104</v>
      </c>
      <c r="E51" s="516">
        <f>F51+G51</f>
        <v>7000</v>
      </c>
      <c r="F51" s="331">
        <v>7000</v>
      </c>
      <c r="G51" s="331"/>
    </row>
    <row r="52" spans="1:7" ht="15">
      <c r="A52" s="313"/>
      <c r="B52" s="438"/>
      <c r="C52" s="313" t="s">
        <v>98</v>
      </c>
      <c r="D52" s="314" t="s">
        <v>99</v>
      </c>
      <c r="E52" s="516">
        <f>F52+G52</f>
        <v>2000</v>
      </c>
      <c r="F52" s="331">
        <v>2000</v>
      </c>
      <c r="G52" s="331"/>
    </row>
    <row r="53" spans="1:7" s="312" customFormat="1" ht="15.75">
      <c r="A53" s="309"/>
      <c r="B53" s="437">
        <v>75045</v>
      </c>
      <c r="C53" s="309"/>
      <c r="D53" s="310" t="s">
        <v>510</v>
      </c>
      <c r="E53" s="520">
        <f>SUM(E54:E55)</f>
        <v>66100</v>
      </c>
      <c r="F53" s="334">
        <f>E53</f>
        <v>66100</v>
      </c>
      <c r="G53" s="333">
        <f>SUM(G54:G55)</f>
        <v>0</v>
      </c>
    </row>
    <row r="54" spans="1:7" ht="90">
      <c r="A54" s="313"/>
      <c r="B54" s="438"/>
      <c r="C54" s="313">
        <v>2110</v>
      </c>
      <c r="D54" s="314" t="s">
        <v>631</v>
      </c>
      <c r="E54" s="516">
        <f>F54+G54</f>
        <v>37500</v>
      </c>
      <c r="F54" s="331">
        <v>37500</v>
      </c>
      <c r="G54" s="331"/>
    </row>
    <row r="55" spans="1:7" ht="90">
      <c r="A55" s="335"/>
      <c r="B55" s="443"/>
      <c r="C55" s="335">
        <v>2120</v>
      </c>
      <c r="D55" s="336" t="s">
        <v>647</v>
      </c>
      <c r="E55" s="516">
        <f>F55+G55</f>
        <v>28600</v>
      </c>
      <c r="F55" s="331">
        <v>28600</v>
      </c>
      <c r="G55" s="337"/>
    </row>
    <row r="56" spans="1:7" s="308" customFormat="1" ht="15.75">
      <c r="A56" s="305">
        <v>752</v>
      </c>
      <c r="B56" s="436"/>
      <c r="C56" s="305"/>
      <c r="D56" s="306" t="s">
        <v>771</v>
      </c>
      <c r="E56" s="519">
        <f>SUM(E57)</f>
        <v>3000</v>
      </c>
      <c r="F56" s="332">
        <f>SUM(F57)</f>
        <v>3000</v>
      </c>
      <c r="G56" s="332">
        <f>SUM(G57+G59+G67)</f>
        <v>0</v>
      </c>
    </row>
    <row r="57" spans="1:7" s="312" customFormat="1" ht="15.75">
      <c r="A57" s="309"/>
      <c r="B57" s="437">
        <v>75212</v>
      </c>
      <c r="C57" s="309"/>
      <c r="D57" s="310" t="s">
        <v>772</v>
      </c>
      <c r="E57" s="520">
        <f>E58</f>
        <v>3000</v>
      </c>
      <c r="F57" s="333">
        <f>F58</f>
        <v>3000</v>
      </c>
      <c r="G57" s="333">
        <f>G58</f>
        <v>0</v>
      </c>
    </row>
    <row r="58" spans="1:7" ht="90">
      <c r="A58" s="313"/>
      <c r="B58" s="438"/>
      <c r="C58" s="313">
        <v>2110</v>
      </c>
      <c r="D58" s="314" t="s">
        <v>631</v>
      </c>
      <c r="E58" s="516">
        <f>F58+G58</f>
        <v>3000</v>
      </c>
      <c r="F58" s="331">
        <v>3000</v>
      </c>
      <c r="G58" s="331"/>
    </row>
    <row r="59" spans="1:7" s="338" customFormat="1" ht="94.5">
      <c r="A59" s="305">
        <v>756</v>
      </c>
      <c r="B59" s="436"/>
      <c r="C59" s="305"/>
      <c r="D59" s="306" t="s">
        <v>648</v>
      </c>
      <c r="E59" s="519">
        <f>E60+E64</f>
        <v>9920000</v>
      </c>
      <c r="F59" s="563">
        <f>F60+F64</f>
        <v>9920000</v>
      </c>
      <c r="G59" s="563">
        <f>G60+G64</f>
        <v>0</v>
      </c>
    </row>
    <row r="60" spans="1:7" s="312" customFormat="1" ht="31.5">
      <c r="A60" s="309"/>
      <c r="B60" s="437">
        <v>75622</v>
      </c>
      <c r="C60" s="309"/>
      <c r="D60" s="310" t="s">
        <v>649</v>
      </c>
      <c r="E60" s="520">
        <f>SUM(E61:E63)</f>
        <v>9840000</v>
      </c>
      <c r="F60" s="333">
        <f>SUM(F61:F63)</f>
        <v>9840000</v>
      </c>
      <c r="G60" s="333">
        <f>SUM(G61:G63)</f>
        <v>0</v>
      </c>
    </row>
    <row r="61" spans="1:7" ht="15.75">
      <c r="A61" s="309"/>
      <c r="B61" s="437"/>
      <c r="C61" s="309"/>
      <c r="D61" s="310" t="s">
        <v>650</v>
      </c>
      <c r="E61" s="521"/>
      <c r="F61" s="331"/>
      <c r="G61" s="331"/>
    </row>
    <row r="62" spans="1:7" ht="30">
      <c r="A62" s="313"/>
      <c r="B62" s="438"/>
      <c r="C62" s="313" t="s">
        <v>651</v>
      </c>
      <c r="D62" s="314" t="s">
        <v>652</v>
      </c>
      <c r="E62" s="516">
        <f>F62+G62</f>
        <v>9700000</v>
      </c>
      <c r="F62" s="331">
        <v>9700000</v>
      </c>
      <c r="G62" s="331"/>
    </row>
    <row r="63" spans="1:7" ht="30">
      <c r="A63" s="313"/>
      <c r="B63" s="438"/>
      <c r="C63" s="313" t="s">
        <v>653</v>
      </c>
      <c r="D63" s="314" t="s">
        <v>654</v>
      </c>
      <c r="E63" s="516">
        <f>F63+G63</f>
        <v>140000</v>
      </c>
      <c r="F63" s="331">
        <v>140000</v>
      </c>
      <c r="G63" s="331"/>
    </row>
    <row r="64" spans="1:7" ht="51.75">
      <c r="A64" s="313"/>
      <c r="B64" s="439">
        <v>75618</v>
      </c>
      <c r="C64" s="313"/>
      <c r="D64" s="44" t="s">
        <v>488</v>
      </c>
      <c r="E64" s="516">
        <f>F64+G64</f>
        <v>80000</v>
      </c>
      <c r="F64" s="334">
        <f>SUM(F65)</f>
        <v>80000</v>
      </c>
      <c r="G64" s="331">
        <f>SUM(G65)</f>
        <v>0</v>
      </c>
    </row>
    <row r="65" spans="1:7" ht="51.75">
      <c r="A65" s="313"/>
      <c r="B65" s="438"/>
      <c r="C65" s="313" t="s">
        <v>742</v>
      </c>
      <c r="D65" s="464" t="s">
        <v>489</v>
      </c>
      <c r="E65" s="519">
        <f>SUM(E66+E68+E70+E72+E74)</f>
        <v>48126560</v>
      </c>
      <c r="F65" s="331">
        <v>80000</v>
      </c>
      <c r="G65" s="331"/>
    </row>
    <row r="66" spans="1:7" s="308" customFormat="1" ht="15.75">
      <c r="A66" s="305">
        <v>758</v>
      </c>
      <c r="B66" s="436"/>
      <c r="C66" s="305"/>
      <c r="D66" s="306" t="s">
        <v>551</v>
      </c>
      <c r="E66" s="519">
        <f>SUM(E67+E69+E71+E73+E75)</f>
        <v>24150780</v>
      </c>
      <c r="F66" s="332">
        <f>SUM(F67+F69+F71+F73+F75)</f>
        <v>24150780</v>
      </c>
      <c r="G66" s="332">
        <f>SUM(G67+G71+G73+G75+G69)</f>
        <v>0</v>
      </c>
    </row>
    <row r="67" spans="1:7" s="312" customFormat="1" ht="47.25">
      <c r="A67" s="309"/>
      <c r="B67" s="437">
        <v>75801</v>
      </c>
      <c r="C67" s="309"/>
      <c r="D67" s="310" t="s">
        <v>655</v>
      </c>
      <c r="E67" s="520">
        <f>E68</f>
        <v>15851942</v>
      </c>
      <c r="F67" s="333">
        <f>F68</f>
        <v>15851942</v>
      </c>
      <c r="G67" s="333">
        <f>G68</f>
        <v>0</v>
      </c>
    </row>
    <row r="68" spans="1:7" ht="30">
      <c r="A68" s="313"/>
      <c r="B68" s="438"/>
      <c r="C68" s="313">
        <v>2920</v>
      </c>
      <c r="D68" s="314" t="s">
        <v>656</v>
      </c>
      <c r="E68" s="516">
        <f>F68+G68</f>
        <v>15851942</v>
      </c>
      <c r="F68" s="331">
        <v>15851942</v>
      </c>
      <c r="G68" s="331"/>
    </row>
    <row r="69" spans="1:7" ht="31.5" hidden="1">
      <c r="A69" s="313"/>
      <c r="B69" s="437">
        <v>75802</v>
      </c>
      <c r="C69" s="313"/>
      <c r="D69" s="310" t="s">
        <v>535</v>
      </c>
      <c r="E69" s="520">
        <f>E70</f>
        <v>0</v>
      </c>
      <c r="F69" s="333">
        <f>F70</f>
        <v>0</v>
      </c>
      <c r="G69" s="333">
        <f>G70</f>
        <v>0</v>
      </c>
    </row>
    <row r="70" spans="1:7" ht="105" hidden="1">
      <c r="A70" s="313"/>
      <c r="B70" s="438"/>
      <c r="C70" s="339">
        <v>6180</v>
      </c>
      <c r="D70" s="314" t="s">
        <v>536</v>
      </c>
      <c r="E70" s="516">
        <f>F70+G70</f>
        <v>0</v>
      </c>
      <c r="F70" s="331"/>
      <c r="G70" s="331"/>
    </row>
    <row r="71" spans="1:7" s="312" customFormat="1" ht="31.5">
      <c r="A71" s="309"/>
      <c r="B71" s="437">
        <v>75803</v>
      </c>
      <c r="C71" s="309"/>
      <c r="D71" s="310" t="s">
        <v>657</v>
      </c>
      <c r="E71" s="520">
        <f>E72</f>
        <v>6613496</v>
      </c>
      <c r="F71" s="333">
        <f>F72</f>
        <v>6613496</v>
      </c>
      <c r="G71" s="333">
        <f>G72</f>
        <v>0</v>
      </c>
    </row>
    <row r="72" spans="1:7" ht="30">
      <c r="A72" s="313"/>
      <c r="B72" s="438"/>
      <c r="C72" s="313">
        <v>2920</v>
      </c>
      <c r="D72" s="314" t="s">
        <v>656</v>
      </c>
      <c r="E72" s="516">
        <f>F72+G72</f>
        <v>6613496</v>
      </c>
      <c r="F72" s="331">
        <v>6613496</v>
      </c>
      <c r="G72" s="331"/>
    </row>
    <row r="73" spans="1:7" s="312" customFormat="1" ht="31.5">
      <c r="A73" s="309"/>
      <c r="B73" s="437">
        <v>75832</v>
      </c>
      <c r="C73" s="309"/>
      <c r="D73" s="310" t="s">
        <v>658</v>
      </c>
      <c r="E73" s="520">
        <f>E74</f>
        <v>1510342</v>
      </c>
      <c r="F73" s="333">
        <f>F74</f>
        <v>1510342</v>
      </c>
      <c r="G73" s="333">
        <f>G74</f>
        <v>0</v>
      </c>
    </row>
    <row r="74" spans="1:7" ht="30">
      <c r="A74" s="313"/>
      <c r="B74" s="438"/>
      <c r="C74" s="313">
        <v>2920</v>
      </c>
      <c r="D74" s="314" t="s">
        <v>656</v>
      </c>
      <c r="E74" s="516">
        <f>F74+G74</f>
        <v>1510342</v>
      </c>
      <c r="F74" s="331">
        <v>1510342</v>
      </c>
      <c r="G74" s="331"/>
    </row>
    <row r="75" spans="1:7" s="312" customFormat="1" ht="15.75">
      <c r="A75" s="309"/>
      <c r="B75" s="437">
        <v>75814</v>
      </c>
      <c r="C75" s="309"/>
      <c r="D75" s="310" t="s">
        <v>659</v>
      </c>
      <c r="E75" s="520">
        <f>SUM(E76:E78)</f>
        <v>175000</v>
      </c>
      <c r="F75" s="333">
        <f>SUM(F76:F78)</f>
        <v>175000</v>
      </c>
      <c r="G75" s="333">
        <f>SUM(G76:G78)</f>
        <v>0</v>
      </c>
    </row>
    <row r="76" spans="1:7" s="312" customFormat="1" ht="45.75" hidden="1">
      <c r="A76" s="340"/>
      <c r="B76" s="444"/>
      <c r="C76" s="340" t="s">
        <v>742</v>
      </c>
      <c r="D76" s="341" t="s">
        <v>102</v>
      </c>
      <c r="E76" s="516">
        <f>F76+G76</f>
        <v>0</v>
      </c>
      <c r="F76" s="331"/>
      <c r="G76" s="331"/>
    </row>
    <row r="77" spans="1:7" s="312" customFormat="1" ht="15.75">
      <c r="A77" s="340"/>
      <c r="B77" s="444"/>
      <c r="C77" s="313" t="s">
        <v>103</v>
      </c>
      <c r="D77" s="314" t="s">
        <v>104</v>
      </c>
      <c r="E77" s="516">
        <f>F77+G77</f>
        <v>175000</v>
      </c>
      <c r="F77" s="331">
        <v>175000</v>
      </c>
      <c r="G77" s="331"/>
    </row>
    <row r="78" spans="1:7" s="312" customFormat="1" ht="15.75" hidden="1">
      <c r="A78" s="340"/>
      <c r="B78" s="444"/>
      <c r="C78" s="313" t="s">
        <v>98</v>
      </c>
      <c r="D78" s="314" t="s">
        <v>105</v>
      </c>
      <c r="E78" s="516">
        <f>F78+G78</f>
        <v>0</v>
      </c>
      <c r="F78" s="331"/>
      <c r="G78" s="331"/>
    </row>
    <row r="79" spans="1:7" s="308" customFormat="1" ht="15.75">
      <c r="A79" s="305">
        <v>801</v>
      </c>
      <c r="B79" s="436"/>
      <c r="C79" s="305"/>
      <c r="D79" s="306" t="s">
        <v>554</v>
      </c>
      <c r="E79" s="519">
        <f>SUM(E82+E86+E91+E94+E80)</f>
        <v>104200</v>
      </c>
      <c r="F79" s="563">
        <f>SUM(F82+F86+F91+F94+F80)</f>
        <v>104200</v>
      </c>
      <c r="G79" s="563">
        <f>SUM(G82+G86+G91+G94+G80)</f>
        <v>0</v>
      </c>
    </row>
    <row r="80" spans="1:7" s="308" customFormat="1" ht="28.5" customHeight="1">
      <c r="A80" s="305"/>
      <c r="B80" s="437">
        <v>80111</v>
      </c>
      <c r="C80" s="309"/>
      <c r="D80" s="310" t="s">
        <v>491</v>
      </c>
      <c r="E80" s="516">
        <f>F80+G80</f>
        <v>1200</v>
      </c>
      <c r="F80" s="563">
        <f>SUM(F81)</f>
        <v>1200</v>
      </c>
      <c r="G80" s="563">
        <f>SUM(G81)</f>
        <v>0</v>
      </c>
    </row>
    <row r="81" spans="1:7" ht="33.75" customHeight="1">
      <c r="A81" s="340"/>
      <c r="B81" s="444"/>
      <c r="C81" s="340" t="s">
        <v>103</v>
      </c>
      <c r="D81" s="341" t="s">
        <v>492</v>
      </c>
      <c r="E81" s="516">
        <f>F81+G81</f>
        <v>1200</v>
      </c>
      <c r="F81" s="331">
        <v>1200</v>
      </c>
      <c r="G81" s="331"/>
    </row>
    <row r="82" spans="1:7" s="312" customFormat="1" ht="15.75">
      <c r="A82" s="309"/>
      <c r="B82" s="437">
        <v>80120</v>
      </c>
      <c r="C82" s="309"/>
      <c r="D82" s="310" t="s">
        <v>562</v>
      </c>
      <c r="E82" s="520">
        <f>SUM(E83:E85)</f>
        <v>5000</v>
      </c>
      <c r="F82" s="333">
        <f>SUM(F83:F85)</f>
        <v>5000</v>
      </c>
      <c r="G82" s="333">
        <f>SUM(G83:G85)</f>
        <v>0</v>
      </c>
    </row>
    <row r="83" spans="1:7" ht="120">
      <c r="A83" s="313"/>
      <c r="B83" s="438"/>
      <c r="C83" s="317" t="s">
        <v>635</v>
      </c>
      <c r="D83" s="314" t="s">
        <v>636</v>
      </c>
      <c r="E83" s="516">
        <f>F83+G83</f>
        <v>3000</v>
      </c>
      <c r="F83" s="331">
        <v>3000</v>
      </c>
      <c r="G83" s="331"/>
    </row>
    <row r="84" spans="1:7" ht="30" hidden="1">
      <c r="A84" s="313"/>
      <c r="B84" s="438"/>
      <c r="C84" s="317" t="s">
        <v>764</v>
      </c>
      <c r="D84" s="314" t="s">
        <v>765</v>
      </c>
      <c r="E84" s="516">
        <f>F84+G84</f>
        <v>0</v>
      </c>
      <c r="F84" s="331"/>
      <c r="G84" s="331"/>
    </row>
    <row r="85" spans="1:7" ht="15">
      <c r="A85" s="313"/>
      <c r="B85" s="438"/>
      <c r="C85" s="317" t="s">
        <v>103</v>
      </c>
      <c r="D85" s="314" t="s">
        <v>104</v>
      </c>
      <c r="E85" s="516">
        <f>F85+G85</f>
        <v>2000</v>
      </c>
      <c r="F85" s="331">
        <v>2000</v>
      </c>
      <c r="G85" s="331"/>
    </row>
    <row r="86" spans="1:7" s="312" customFormat="1" ht="15.75">
      <c r="A86" s="309"/>
      <c r="B86" s="437">
        <v>80130</v>
      </c>
      <c r="C86" s="309"/>
      <c r="D86" s="310" t="s">
        <v>661</v>
      </c>
      <c r="E86" s="520">
        <f>SUM(E87:E90)</f>
        <v>62000</v>
      </c>
      <c r="F86" s="564">
        <f>SUM(F87:F90)</f>
        <v>62000</v>
      </c>
      <c r="G86" s="564">
        <f>SUM(G87:G90)</f>
        <v>0</v>
      </c>
    </row>
    <row r="87" spans="1:7" s="312" customFormat="1" ht="15.75">
      <c r="A87" s="309"/>
      <c r="B87" s="437"/>
      <c r="C87" s="342" t="s">
        <v>537</v>
      </c>
      <c r="D87" s="341" t="s">
        <v>660</v>
      </c>
      <c r="E87" s="516">
        <f>F87+G87</f>
        <v>17000</v>
      </c>
      <c r="F87" s="331">
        <v>17000</v>
      </c>
      <c r="G87" s="333"/>
    </row>
    <row r="88" spans="1:7" ht="120">
      <c r="A88" s="313"/>
      <c r="B88" s="438"/>
      <c r="C88" s="343" t="s">
        <v>635</v>
      </c>
      <c r="D88" s="314" t="s">
        <v>636</v>
      </c>
      <c r="E88" s="516">
        <f>F88+G88</f>
        <v>10000</v>
      </c>
      <c r="F88" s="331">
        <v>10000</v>
      </c>
      <c r="G88" s="331"/>
    </row>
    <row r="89" spans="1:7" ht="15">
      <c r="A89" s="313"/>
      <c r="B89" s="438"/>
      <c r="C89" s="343" t="s">
        <v>538</v>
      </c>
      <c r="D89" s="314" t="s">
        <v>797</v>
      </c>
      <c r="E89" s="516">
        <f>F89+G89</f>
        <v>5000</v>
      </c>
      <c r="F89" s="331">
        <v>5000</v>
      </c>
      <c r="G89" s="331"/>
    </row>
    <row r="90" spans="1:7" ht="25.5">
      <c r="A90" s="313"/>
      <c r="B90" s="438"/>
      <c r="C90" s="317">
        <v>2380</v>
      </c>
      <c r="D90" s="464" t="s">
        <v>490</v>
      </c>
      <c r="E90" s="516">
        <f>F90+G90</f>
        <v>30000</v>
      </c>
      <c r="F90" s="331">
        <v>30000</v>
      </c>
      <c r="G90" s="331"/>
    </row>
    <row r="91" spans="1:7" s="312" customFormat="1" ht="15.75">
      <c r="A91" s="309"/>
      <c r="B91" s="437">
        <v>80132</v>
      </c>
      <c r="C91" s="344"/>
      <c r="D91" s="310" t="s">
        <v>569</v>
      </c>
      <c r="E91" s="520">
        <f>SUM(E92:E93)</f>
        <v>36000</v>
      </c>
      <c r="F91" s="520">
        <f>SUM(F92:F93)</f>
        <v>36000</v>
      </c>
      <c r="G91" s="520">
        <f>SUM(G92:G93)</f>
        <v>0</v>
      </c>
    </row>
    <row r="92" spans="1:7" ht="29.25" customHeight="1">
      <c r="A92" s="340"/>
      <c r="B92" s="444"/>
      <c r="C92" s="565" t="s">
        <v>103</v>
      </c>
      <c r="D92" s="341" t="s">
        <v>492</v>
      </c>
      <c r="E92" s="523">
        <f>F92+G92</f>
        <v>1400</v>
      </c>
      <c r="F92" s="331">
        <v>1400</v>
      </c>
      <c r="G92" s="331"/>
    </row>
    <row r="93" spans="1:7" ht="90">
      <c r="A93" s="313"/>
      <c r="B93" s="438"/>
      <c r="C93" s="313">
        <v>2710</v>
      </c>
      <c r="D93" s="314" t="s">
        <v>662</v>
      </c>
      <c r="E93" s="516">
        <f>F93+G93</f>
        <v>34600</v>
      </c>
      <c r="F93" s="331">
        <v>34600</v>
      </c>
      <c r="G93" s="331"/>
    </row>
    <row r="94" spans="1:7" s="316" customFormat="1" ht="15.75" hidden="1">
      <c r="A94" s="345"/>
      <c r="B94" s="439">
        <v>80195</v>
      </c>
      <c r="C94" s="345"/>
      <c r="D94" s="346" t="s">
        <v>546</v>
      </c>
      <c r="E94" s="522">
        <f>SUM(E95:E98)</f>
        <v>0</v>
      </c>
      <c r="F94" s="334">
        <f>SUM(F95:F98)</f>
        <v>0</v>
      </c>
      <c r="G94" s="334">
        <f>SUM(G97:G97)</f>
        <v>0</v>
      </c>
    </row>
    <row r="95" spans="1:7" s="347" customFormat="1" ht="46.5" hidden="1">
      <c r="A95" s="313"/>
      <c r="B95" s="438"/>
      <c r="C95" s="313">
        <v>2008</v>
      </c>
      <c r="D95" s="314" t="s">
        <v>441</v>
      </c>
      <c r="E95" s="516">
        <f>F95+G95</f>
        <v>0</v>
      </c>
      <c r="F95" s="362"/>
      <c r="G95" s="252"/>
    </row>
    <row r="96" spans="1:7" s="347" customFormat="1" ht="46.5" hidden="1">
      <c r="A96" s="313"/>
      <c r="B96" s="438"/>
      <c r="C96" s="317">
        <v>2009</v>
      </c>
      <c r="D96" s="314" t="s">
        <v>441</v>
      </c>
      <c r="E96" s="516">
        <f>F96+G96</f>
        <v>0</v>
      </c>
      <c r="F96" s="362"/>
      <c r="G96" s="252"/>
    </row>
    <row r="97" spans="1:7" ht="90" hidden="1">
      <c r="A97" s="313"/>
      <c r="B97" s="438"/>
      <c r="C97" s="317">
        <v>2700</v>
      </c>
      <c r="D97" s="314" t="s">
        <v>356</v>
      </c>
      <c r="E97" s="516">
        <f>F97+G97</f>
        <v>0</v>
      </c>
      <c r="F97" s="304"/>
      <c r="G97" s="304"/>
    </row>
    <row r="98" spans="1:7" ht="45" hidden="1">
      <c r="A98" s="313"/>
      <c r="B98" s="438"/>
      <c r="C98" s="313">
        <v>2130</v>
      </c>
      <c r="D98" s="314" t="s">
        <v>668</v>
      </c>
      <c r="E98" s="516">
        <f>F98+G98</f>
        <v>0</v>
      </c>
      <c r="F98" s="331"/>
      <c r="G98" s="331"/>
    </row>
    <row r="99" spans="1:7" ht="15" hidden="1">
      <c r="A99" s="313"/>
      <c r="B99" s="438"/>
      <c r="C99" s="317"/>
      <c r="D99" s="314"/>
      <c r="E99" s="523"/>
      <c r="F99" s="304"/>
      <c r="G99" s="304"/>
    </row>
    <row r="100" spans="1:7" s="308" customFormat="1" ht="15.75">
      <c r="A100" s="305">
        <v>851</v>
      </c>
      <c r="B100" s="436"/>
      <c r="C100" s="305"/>
      <c r="D100" s="306" t="s">
        <v>579</v>
      </c>
      <c r="E100" s="519">
        <f>SUM(E101)</f>
        <v>2639300</v>
      </c>
      <c r="F100" s="332">
        <f>SUM(F101)</f>
        <v>2639300</v>
      </c>
      <c r="G100" s="332">
        <f>SUM(G101)</f>
        <v>0</v>
      </c>
    </row>
    <row r="101" spans="1:7" s="312" customFormat="1" ht="78.75">
      <c r="A101" s="309"/>
      <c r="B101" s="437">
        <v>85156</v>
      </c>
      <c r="C101" s="309"/>
      <c r="D101" s="310" t="s">
        <v>664</v>
      </c>
      <c r="E101" s="520">
        <f>E102</f>
        <v>2639300</v>
      </c>
      <c r="F101" s="333">
        <f>F102</f>
        <v>2639300</v>
      </c>
      <c r="G101" s="333">
        <f>G102</f>
        <v>0</v>
      </c>
    </row>
    <row r="102" spans="1:7" ht="90">
      <c r="A102" s="313"/>
      <c r="B102" s="438"/>
      <c r="C102" s="313">
        <v>2110</v>
      </c>
      <c r="D102" s="314" t="s">
        <v>631</v>
      </c>
      <c r="E102" s="516">
        <f>F102+G102</f>
        <v>2639300</v>
      </c>
      <c r="F102" s="331">
        <f>2848400-209100</f>
        <v>2639300</v>
      </c>
      <c r="G102" s="331"/>
    </row>
    <row r="103" spans="1:7" s="308" customFormat="1" ht="15.75">
      <c r="A103" s="305">
        <v>852</v>
      </c>
      <c r="B103" s="436"/>
      <c r="C103" s="305"/>
      <c r="D103" s="306" t="s">
        <v>665</v>
      </c>
      <c r="E103" s="520">
        <f>SUM(E104+E110+E118+E120+E123)</f>
        <v>12600004</v>
      </c>
      <c r="F103" s="332">
        <f>SUM(F104+F110+F118+F120+F123)</f>
        <v>10603390</v>
      </c>
      <c r="G103" s="332">
        <f>SUM(G104+G110+G118+G120)</f>
        <v>1996614</v>
      </c>
    </row>
    <row r="104" spans="1:7" s="312" customFormat="1" ht="31.5">
      <c r="A104" s="309"/>
      <c r="B104" s="437">
        <v>85201</v>
      </c>
      <c r="C104" s="309"/>
      <c r="D104" s="310" t="s">
        <v>666</v>
      </c>
      <c r="E104" s="520">
        <f>SUM(E105:E109)</f>
        <v>68500</v>
      </c>
      <c r="F104" s="333">
        <f>SUM(F105:F109)</f>
        <v>68500</v>
      </c>
      <c r="G104" s="333">
        <f>SUM(G105:G109)</f>
        <v>0</v>
      </c>
    </row>
    <row r="105" spans="1:7" ht="90">
      <c r="A105" s="313"/>
      <c r="B105" s="438"/>
      <c r="C105" s="317">
        <v>2320</v>
      </c>
      <c r="D105" s="272" t="s">
        <v>663</v>
      </c>
      <c r="E105" s="516">
        <f>F105+G105</f>
        <v>67200</v>
      </c>
      <c r="F105" s="331">
        <v>67200</v>
      </c>
      <c r="G105" s="331"/>
    </row>
    <row r="106" spans="1:7" ht="45">
      <c r="A106" s="313"/>
      <c r="B106" s="438"/>
      <c r="C106" s="317" t="s">
        <v>766</v>
      </c>
      <c r="D106" s="272" t="s">
        <v>767</v>
      </c>
      <c r="E106" s="516">
        <f>F106+G106</f>
        <v>1000</v>
      </c>
      <c r="F106" s="331">
        <v>1000</v>
      </c>
      <c r="G106" s="331"/>
    </row>
    <row r="107" spans="1:7" ht="15" hidden="1">
      <c r="A107" s="313"/>
      <c r="B107" s="438"/>
      <c r="C107" s="317" t="s">
        <v>645</v>
      </c>
      <c r="D107" s="272" t="s">
        <v>660</v>
      </c>
      <c r="E107" s="516">
        <f>F107+G107</f>
        <v>0</v>
      </c>
      <c r="F107" s="331"/>
      <c r="G107" s="331"/>
    </row>
    <row r="108" spans="1:7" ht="15">
      <c r="A108" s="313"/>
      <c r="B108" s="438"/>
      <c r="C108" s="317" t="s">
        <v>103</v>
      </c>
      <c r="D108" s="272" t="s">
        <v>104</v>
      </c>
      <c r="E108" s="516">
        <f>F108+G108</f>
        <v>300</v>
      </c>
      <c r="F108" s="331">
        <v>300</v>
      </c>
      <c r="G108" s="331"/>
    </row>
    <row r="109" spans="1:7" ht="75" hidden="1">
      <c r="A109" s="313"/>
      <c r="B109" s="438"/>
      <c r="C109" s="317">
        <v>6430</v>
      </c>
      <c r="D109" s="348" t="s">
        <v>445</v>
      </c>
      <c r="E109" s="516">
        <f>F109+G109</f>
        <v>0</v>
      </c>
      <c r="F109" s="331"/>
      <c r="G109" s="331"/>
    </row>
    <row r="110" spans="1:7" s="312" customFormat="1" ht="15.75">
      <c r="A110" s="309"/>
      <c r="B110" s="437">
        <v>85202</v>
      </c>
      <c r="C110" s="309"/>
      <c r="D110" s="310" t="s">
        <v>667</v>
      </c>
      <c r="E110" s="520">
        <f>SUM(E111:E117)</f>
        <v>11442154</v>
      </c>
      <c r="F110" s="520">
        <f>SUM(F111:F117)</f>
        <v>9445540</v>
      </c>
      <c r="G110" s="520">
        <f>SUM(G111:G117)</f>
        <v>1996614</v>
      </c>
    </row>
    <row r="111" spans="1:7" ht="120">
      <c r="A111" s="313"/>
      <c r="B111" s="438"/>
      <c r="C111" s="313" t="s">
        <v>635</v>
      </c>
      <c r="D111" s="314" t="s">
        <v>636</v>
      </c>
      <c r="E111" s="516">
        <f aca="true" t="shared" si="1" ref="E111:E117">F111+G111</f>
        <v>48600</v>
      </c>
      <c r="F111" s="331">
        <v>48600</v>
      </c>
      <c r="G111" s="331"/>
    </row>
    <row r="112" spans="1:7" ht="15">
      <c r="A112" s="313"/>
      <c r="B112" s="438"/>
      <c r="C112" s="317" t="s">
        <v>645</v>
      </c>
      <c r="D112" s="314" t="s">
        <v>660</v>
      </c>
      <c r="E112" s="516">
        <f t="shared" si="1"/>
        <v>4634040</v>
      </c>
      <c r="F112" s="331">
        <v>4634040</v>
      </c>
      <c r="G112" s="331"/>
    </row>
    <row r="113" spans="1:7" ht="42.75">
      <c r="A113" s="313"/>
      <c r="B113" s="438"/>
      <c r="C113" s="357">
        <v>2130</v>
      </c>
      <c r="D113" s="358" t="s">
        <v>668</v>
      </c>
      <c r="E113" s="516">
        <f t="shared" si="1"/>
        <v>4751000</v>
      </c>
      <c r="F113" s="331">
        <v>4751000</v>
      </c>
      <c r="G113" s="331"/>
    </row>
    <row r="114" spans="1:7" ht="30">
      <c r="A114" s="313"/>
      <c r="B114" s="438"/>
      <c r="C114" s="317" t="s">
        <v>764</v>
      </c>
      <c r="D114" s="314" t="s">
        <v>765</v>
      </c>
      <c r="E114" s="516">
        <f t="shared" si="1"/>
        <v>100</v>
      </c>
      <c r="F114" s="331">
        <v>100</v>
      </c>
      <c r="G114" s="331"/>
    </row>
    <row r="115" spans="1:7" ht="15">
      <c r="A115" s="313"/>
      <c r="B115" s="438"/>
      <c r="C115" s="317" t="s">
        <v>103</v>
      </c>
      <c r="D115" s="314" t="s">
        <v>104</v>
      </c>
      <c r="E115" s="516">
        <f t="shared" si="1"/>
        <v>5500</v>
      </c>
      <c r="F115" s="331">
        <v>5500</v>
      </c>
      <c r="G115" s="331"/>
    </row>
    <row r="116" spans="1:7" ht="15">
      <c r="A116" s="313"/>
      <c r="B116" s="438"/>
      <c r="C116" s="317" t="s">
        <v>98</v>
      </c>
      <c r="D116" s="314" t="s">
        <v>768</v>
      </c>
      <c r="E116" s="516">
        <f t="shared" si="1"/>
        <v>6300</v>
      </c>
      <c r="F116" s="331">
        <v>6300</v>
      </c>
      <c r="G116" s="331"/>
    </row>
    <row r="117" spans="1:7" ht="76.5">
      <c r="A117" s="313"/>
      <c r="B117" s="438"/>
      <c r="C117" s="317">
        <v>6207</v>
      </c>
      <c r="D117" s="464" t="s">
        <v>842</v>
      </c>
      <c r="E117" s="516">
        <f t="shared" si="1"/>
        <v>1996614</v>
      </c>
      <c r="F117" s="331"/>
      <c r="G117" s="331">
        <v>1996614</v>
      </c>
    </row>
    <row r="118" spans="1:7" s="312" customFormat="1" ht="13.5" customHeight="1">
      <c r="A118" s="309"/>
      <c r="B118" s="437">
        <v>85203</v>
      </c>
      <c r="C118" s="309"/>
      <c r="D118" s="349" t="s">
        <v>594</v>
      </c>
      <c r="E118" s="520">
        <f>SUM(E119:E119)</f>
        <v>754000</v>
      </c>
      <c r="F118" s="333">
        <f>SUM(F119:F119)</f>
        <v>754000</v>
      </c>
      <c r="G118" s="333">
        <f>SUM(G119:G119)</f>
        <v>0</v>
      </c>
    </row>
    <row r="119" spans="1:7" ht="90">
      <c r="A119" s="313"/>
      <c r="B119" s="438"/>
      <c r="C119" s="313">
        <v>2110</v>
      </c>
      <c r="D119" s="314" t="s">
        <v>631</v>
      </c>
      <c r="E119" s="516">
        <f>F119+G119</f>
        <v>754000</v>
      </c>
      <c r="F119" s="331">
        <v>754000</v>
      </c>
      <c r="G119" s="331"/>
    </row>
    <row r="120" spans="1:7" s="312" customFormat="1" ht="15.75">
      <c r="A120" s="309"/>
      <c r="B120" s="437">
        <v>85204</v>
      </c>
      <c r="C120" s="309"/>
      <c r="D120" s="310" t="s">
        <v>595</v>
      </c>
      <c r="E120" s="520">
        <f>SUM(E121:E122)</f>
        <v>331300</v>
      </c>
      <c r="F120" s="333">
        <f>SUM(F121:F122)</f>
        <v>331300</v>
      </c>
      <c r="G120" s="333">
        <f>SUM(G121:G122)</f>
        <v>0</v>
      </c>
    </row>
    <row r="121" spans="1:7" ht="15">
      <c r="A121" s="340"/>
      <c r="B121" s="444"/>
      <c r="C121" s="340" t="s">
        <v>634</v>
      </c>
      <c r="D121" s="341" t="s">
        <v>769</v>
      </c>
      <c r="E121" s="516">
        <f>F121+G121</f>
        <v>5300</v>
      </c>
      <c r="F121" s="331">
        <v>5300</v>
      </c>
      <c r="G121" s="331"/>
    </row>
    <row r="122" spans="1:7" ht="90">
      <c r="A122" s="313"/>
      <c r="B122" s="438"/>
      <c r="C122" s="317">
        <v>2320</v>
      </c>
      <c r="D122" s="272" t="s">
        <v>663</v>
      </c>
      <c r="E122" s="516">
        <f>F122+G122</f>
        <v>326000</v>
      </c>
      <c r="F122" s="331">
        <v>326000</v>
      </c>
      <c r="G122" s="331"/>
    </row>
    <row r="123" spans="1:7" s="312" customFormat="1" ht="13.5" customHeight="1">
      <c r="A123" s="309"/>
      <c r="B123" s="437">
        <v>85218</v>
      </c>
      <c r="C123" s="309"/>
      <c r="D123" s="349" t="s">
        <v>115</v>
      </c>
      <c r="E123" s="520">
        <f>SUM(E124:E126)</f>
        <v>4050</v>
      </c>
      <c r="F123" s="333">
        <f>SUM(F124:F126)</f>
        <v>4050</v>
      </c>
      <c r="G123" s="333">
        <f>SUM(G124:G125)</f>
        <v>0</v>
      </c>
    </row>
    <row r="124" spans="1:7" ht="15">
      <c r="A124" s="313"/>
      <c r="B124" s="438"/>
      <c r="C124" s="313" t="s">
        <v>645</v>
      </c>
      <c r="D124" s="314" t="s">
        <v>770</v>
      </c>
      <c r="E124" s="516">
        <f>F124+G124</f>
        <v>50</v>
      </c>
      <c r="F124" s="331">
        <v>50</v>
      </c>
      <c r="G124" s="331"/>
    </row>
    <row r="125" spans="1:7" ht="15">
      <c r="A125" s="313"/>
      <c r="B125" s="438"/>
      <c r="C125" s="313" t="s">
        <v>103</v>
      </c>
      <c r="D125" s="314" t="s">
        <v>104</v>
      </c>
      <c r="E125" s="516">
        <f>F125+G125</f>
        <v>1000</v>
      </c>
      <c r="F125" s="331">
        <v>1000</v>
      </c>
      <c r="G125" s="331"/>
    </row>
    <row r="126" spans="1:7" ht="45">
      <c r="A126" s="313"/>
      <c r="B126" s="438"/>
      <c r="C126" s="449">
        <v>2130</v>
      </c>
      <c r="D126" s="314" t="s">
        <v>668</v>
      </c>
      <c r="E126" s="516">
        <f>F126+G126</f>
        <v>3000</v>
      </c>
      <c r="F126" s="331">
        <v>3000</v>
      </c>
      <c r="G126" s="331"/>
    </row>
    <row r="127" spans="1:7" s="308" customFormat="1" ht="47.25">
      <c r="A127" s="305">
        <v>853</v>
      </c>
      <c r="B127" s="436"/>
      <c r="C127" s="350"/>
      <c r="D127" s="306" t="s">
        <v>669</v>
      </c>
      <c r="E127" s="519">
        <f>SUM(E128+E130+E136+E138)</f>
        <v>3784570</v>
      </c>
      <c r="F127" s="332">
        <f>SUM(F128+F130+F136+F138)</f>
        <v>3780537</v>
      </c>
      <c r="G127" s="332">
        <f>SUM(G128+G130+G136+G138)</f>
        <v>4033</v>
      </c>
    </row>
    <row r="128" spans="1:7" s="312" customFormat="1" ht="31.5">
      <c r="A128" s="309"/>
      <c r="B128" s="437">
        <v>85321</v>
      </c>
      <c r="C128" s="309"/>
      <c r="D128" s="310" t="s">
        <v>427</v>
      </c>
      <c r="E128" s="520">
        <f>E129</f>
        <v>112000</v>
      </c>
      <c r="F128" s="333">
        <f>F129</f>
        <v>112000</v>
      </c>
      <c r="G128" s="333">
        <f>G129</f>
        <v>0</v>
      </c>
    </row>
    <row r="129" spans="1:7" ht="90">
      <c r="A129" s="313"/>
      <c r="B129" s="438"/>
      <c r="C129" s="313">
        <v>2110</v>
      </c>
      <c r="D129" s="314" t="s">
        <v>631</v>
      </c>
      <c r="E129" s="516">
        <f>F129+G129</f>
        <v>112000</v>
      </c>
      <c r="F129" s="331">
        <f>111200+800</f>
        <v>112000</v>
      </c>
      <c r="G129" s="331"/>
    </row>
    <row r="130" spans="1:7" s="312" customFormat="1" ht="16.5" customHeight="1">
      <c r="A130" s="309"/>
      <c r="B130" s="437">
        <v>85333</v>
      </c>
      <c r="C130" s="309"/>
      <c r="D130" s="310" t="s">
        <v>670</v>
      </c>
      <c r="E130" s="520">
        <f>SUM(E131:E135)</f>
        <v>857322</v>
      </c>
      <c r="F130" s="333">
        <f>SUM(F131:F135)</f>
        <v>857322</v>
      </c>
      <c r="G130" s="333">
        <f>SUM(G131:G135)</f>
        <v>0</v>
      </c>
    </row>
    <row r="131" spans="1:7" s="312" customFormat="1" ht="120.75">
      <c r="A131" s="309"/>
      <c r="B131" s="437"/>
      <c r="C131" s="313" t="s">
        <v>635</v>
      </c>
      <c r="D131" s="314" t="s">
        <v>636</v>
      </c>
      <c r="E131" s="516">
        <f>F131+G131</f>
        <v>7000</v>
      </c>
      <c r="F131" s="331">
        <v>7000</v>
      </c>
      <c r="G131" s="333"/>
    </row>
    <row r="132" spans="1:7" ht="15">
      <c r="A132" s="313"/>
      <c r="B132" s="438"/>
      <c r="C132" s="313" t="s">
        <v>645</v>
      </c>
      <c r="D132" s="314" t="s">
        <v>770</v>
      </c>
      <c r="E132" s="516">
        <f>F132+G132</f>
        <v>500</v>
      </c>
      <c r="F132" s="331">
        <v>500</v>
      </c>
      <c r="G132" s="331"/>
    </row>
    <row r="133" spans="1:7" ht="15">
      <c r="A133" s="313"/>
      <c r="B133" s="438"/>
      <c r="C133" s="313" t="s">
        <v>103</v>
      </c>
      <c r="D133" s="314" t="s">
        <v>104</v>
      </c>
      <c r="E133" s="516">
        <f>F133+G133</f>
        <v>1500</v>
      </c>
      <c r="F133" s="331">
        <v>1500</v>
      </c>
      <c r="G133" s="331"/>
    </row>
    <row r="134" spans="1:7" s="312" customFormat="1" ht="90" customHeight="1">
      <c r="A134" s="309"/>
      <c r="B134" s="437"/>
      <c r="C134" s="313">
        <v>2007</v>
      </c>
      <c r="D134" s="64" t="s">
        <v>127</v>
      </c>
      <c r="E134" s="516">
        <f>F134+G134</f>
        <v>156822</v>
      </c>
      <c r="F134" s="331">
        <v>156822</v>
      </c>
      <c r="G134" s="333"/>
    </row>
    <row r="135" spans="1:7" ht="155.25" customHeight="1">
      <c r="A135" s="313"/>
      <c r="B135" s="438"/>
      <c r="C135" s="317">
        <v>2690</v>
      </c>
      <c r="D135" s="314" t="s">
        <v>15</v>
      </c>
      <c r="E135" s="516">
        <f>F135+G135</f>
        <v>691500</v>
      </c>
      <c r="F135" s="331">
        <v>691500</v>
      </c>
      <c r="G135" s="331"/>
    </row>
    <row r="136" spans="1:7" s="312" customFormat="1" ht="15.75" hidden="1">
      <c r="A136" s="309"/>
      <c r="B136" s="437">
        <v>85334</v>
      </c>
      <c r="C136" s="309"/>
      <c r="D136" s="310" t="s">
        <v>43</v>
      </c>
      <c r="E136" s="520">
        <f>E137</f>
        <v>0</v>
      </c>
      <c r="F136" s="333">
        <f>F137</f>
        <v>0</v>
      </c>
      <c r="G136" s="333">
        <f>G137</f>
        <v>0</v>
      </c>
    </row>
    <row r="137" spans="1:7" ht="90" hidden="1">
      <c r="A137" s="313"/>
      <c r="B137" s="438"/>
      <c r="C137" s="313">
        <v>2110</v>
      </c>
      <c r="D137" s="314" t="s">
        <v>631</v>
      </c>
      <c r="E137" s="516">
        <f>F137+G137</f>
        <v>0</v>
      </c>
      <c r="F137" s="331"/>
      <c r="G137" s="331"/>
    </row>
    <row r="138" spans="1:7" ht="15.75">
      <c r="A138" s="309"/>
      <c r="B138" s="437">
        <v>83395</v>
      </c>
      <c r="C138" s="309"/>
      <c r="D138" s="310" t="s">
        <v>546</v>
      </c>
      <c r="E138" s="524">
        <f>SUM(E139:E147)</f>
        <v>2815248</v>
      </c>
      <c r="F138" s="269">
        <f>SUM(F139:F147)</f>
        <v>2811215</v>
      </c>
      <c r="G138" s="269">
        <f>SUM(G139:G147)</f>
        <v>4033</v>
      </c>
    </row>
    <row r="139" spans="1:7" ht="45.75">
      <c r="A139" s="313"/>
      <c r="B139" s="438"/>
      <c r="C139" s="351">
        <v>2008</v>
      </c>
      <c r="D139" s="352" t="s">
        <v>441</v>
      </c>
      <c r="E139" s="516">
        <f aca="true" t="shared" si="2" ref="E139:E147">F139+G139</f>
        <v>1767182</v>
      </c>
      <c r="F139" s="252">
        <f>1713310+53872</f>
        <v>1767182</v>
      </c>
      <c r="G139" s="331"/>
    </row>
    <row r="140" spans="1:7" ht="45.75">
      <c r="A140" s="313"/>
      <c r="B140" s="438"/>
      <c r="C140" s="353">
        <v>2009</v>
      </c>
      <c r="D140" s="352" t="s">
        <v>441</v>
      </c>
      <c r="E140" s="516">
        <f t="shared" si="2"/>
        <v>262358</v>
      </c>
      <c r="F140" s="252">
        <f>249724+12634</f>
        <v>262358</v>
      </c>
      <c r="G140" s="331"/>
    </row>
    <row r="141" spans="1:7" ht="15.75" hidden="1">
      <c r="A141" s="313"/>
      <c r="B141" s="438"/>
      <c r="C141" s="351">
        <v>6208</v>
      </c>
      <c r="D141" s="352" t="s">
        <v>87</v>
      </c>
      <c r="E141" s="516">
        <f t="shared" si="2"/>
        <v>0</v>
      </c>
      <c r="F141" s="252"/>
      <c r="G141" s="331"/>
    </row>
    <row r="142" spans="1:7" ht="15.75" hidden="1">
      <c r="A142" s="313"/>
      <c r="B142" s="438"/>
      <c r="C142" s="353">
        <v>6209</v>
      </c>
      <c r="D142" s="352" t="s">
        <v>86</v>
      </c>
      <c r="E142" s="516">
        <f t="shared" si="2"/>
        <v>0</v>
      </c>
      <c r="F142" s="252"/>
      <c r="G142" s="331"/>
    </row>
    <row r="143" spans="1:7" ht="77.25">
      <c r="A143" s="313"/>
      <c r="B143" s="438"/>
      <c r="C143" s="351">
        <v>2007</v>
      </c>
      <c r="D143" s="64" t="s">
        <v>127</v>
      </c>
      <c r="E143" s="516">
        <f>F143+G143</f>
        <v>680111</v>
      </c>
      <c r="F143" s="252">
        <v>680111</v>
      </c>
      <c r="G143" s="331"/>
    </row>
    <row r="144" spans="1:7" ht="77.25">
      <c r="A144" s="313"/>
      <c r="B144" s="438"/>
      <c r="C144" s="353">
        <v>2009</v>
      </c>
      <c r="D144" s="64" t="s">
        <v>127</v>
      </c>
      <c r="E144" s="516">
        <f>F144+G144</f>
        <v>101564</v>
      </c>
      <c r="F144" s="252">
        <v>101564</v>
      </c>
      <c r="G144" s="331"/>
    </row>
    <row r="145" spans="1:7" ht="15.75">
      <c r="A145" s="313"/>
      <c r="B145" s="438"/>
      <c r="C145" s="428">
        <v>6208</v>
      </c>
      <c r="D145" s="429" t="s">
        <v>809</v>
      </c>
      <c r="E145" s="516">
        <f>G145</f>
        <v>3428</v>
      </c>
      <c r="F145" s="252"/>
      <c r="G145" s="331">
        <f>3400+28</f>
        <v>3428</v>
      </c>
    </row>
    <row r="146" spans="1:7" ht="15.75">
      <c r="A146" s="313"/>
      <c r="B146" s="438"/>
      <c r="C146" s="428">
        <v>6209</v>
      </c>
      <c r="D146" s="429" t="s">
        <v>809</v>
      </c>
      <c r="E146" s="516">
        <f t="shared" si="2"/>
        <v>605</v>
      </c>
      <c r="F146" s="252"/>
      <c r="G146" s="331">
        <f>600+5</f>
        <v>605</v>
      </c>
    </row>
    <row r="147" spans="1:7" ht="60.75" hidden="1">
      <c r="A147" s="313"/>
      <c r="B147" s="438"/>
      <c r="C147" s="354">
        <v>2320</v>
      </c>
      <c r="D147" s="352" t="s">
        <v>442</v>
      </c>
      <c r="E147" s="516">
        <f t="shared" si="2"/>
        <v>0</v>
      </c>
      <c r="F147" s="252"/>
      <c r="G147" s="331"/>
    </row>
    <row r="148" spans="1:7" s="308" customFormat="1" ht="31.5">
      <c r="A148" s="305">
        <v>854</v>
      </c>
      <c r="B148" s="436"/>
      <c r="C148" s="305"/>
      <c r="D148" s="306" t="s">
        <v>606</v>
      </c>
      <c r="E148" s="519">
        <f>SUM(E151+E154+E156+E149+E162)</f>
        <v>26200</v>
      </c>
      <c r="F148" s="332">
        <f>SUM(F151+F154+F156+F149+F162)</f>
        <v>26200</v>
      </c>
      <c r="G148" s="332">
        <f>SUM(G151+G154+G156+G149+G162)</f>
        <v>0</v>
      </c>
    </row>
    <row r="149" spans="1:7" s="312" customFormat="1" ht="31.5">
      <c r="A149" s="309"/>
      <c r="B149" s="437">
        <v>85406</v>
      </c>
      <c r="C149" s="309"/>
      <c r="D149" s="310" t="s">
        <v>759</v>
      </c>
      <c r="E149" s="520">
        <f>SUM(E150)</f>
        <v>1200</v>
      </c>
      <c r="F149" s="333">
        <f>SUM(F150)</f>
        <v>1200</v>
      </c>
      <c r="G149" s="333">
        <f>SUM(G150:G151)</f>
        <v>0</v>
      </c>
    </row>
    <row r="150" spans="1:7" ht="15">
      <c r="A150" s="313"/>
      <c r="B150" s="438"/>
      <c r="C150" s="313" t="s">
        <v>103</v>
      </c>
      <c r="D150" s="314" t="s">
        <v>104</v>
      </c>
      <c r="E150" s="516">
        <f>F150+G150</f>
        <v>1200</v>
      </c>
      <c r="F150" s="331">
        <v>1200</v>
      </c>
      <c r="G150" s="331"/>
    </row>
    <row r="151" spans="1:7" s="312" customFormat="1" ht="15.75">
      <c r="A151" s="309"/>
      <c r="B151" s="437">
        <v>85410</v>
      </c>
      <c r="C151" s="309"/>
      <c r="D151" s="310" t="s">
        <v>671</v>
      </c>
      <c r="E151" s="520">
        <f>SUM(E152:E153)</f>
        <v>10000</v>
      </c>
      <c r="F151" s="333">
        <f>SUM(F152:F153)</f>
        <v>10000</v>
      </c>
      <c r="G151" s="333">
        <f>SUM(G152:G153)</f>
        <v>0</v>
      </c>
    </row>
    <row r="152" spans="1:7" ht="120">
      <c r="A152" s="313"/>
      <c r="B152" s="438"/>
      <c r="C152" s="313" t="s">
        <v>635</v>
      </c>
      <c r="D152" s="314" t="s">
        <v>636</v>
      </c>
      <c r="E152" s="516">
        <f>F152+G152</f>
        <v>3000</v>
      </c>
      <c r="F152" s="331">
        <v>3000</v>
      </c>
      <c r="G152" s="331"/>
    </row>
    <row r="153" spans="1:7" ht="15">
      <c r="A153" s="313"/>
      <c r="B153" s="438"/>
      <c r="C153" s="313" t="s">
        <v>645</v>
      </c>
      <c r="D153" s="314" t="s">
        <v>770</v>
      </c>
      <c r="E153" s="516">
        <f>F153+G153</f>
        <v>7000</v>
      </c>
      <c r="F153" s="331">
        <v>7000</v>
      </c>
      <c r="G153" s="331"/>
    </row>
    <row r="154" spans="1:7" ht="31.5" hidden="1">
      <c r="A154" s="313"/>
      <c r="B154" s="437">
        <v>85413</v>
      </c>
      <c r="C154" s="317"/>
      <c r="D154" s="310" t="s">
        <v>534</v>
      </c>
      <c r="E154" s="525">
        <f>E155</f>
        <v>0</v>
      </c>
      <c r="F154" s="267">
        <f>F155</f>
        <v>0</v>
      </c>
      <c r="G154" s="333">
        <f>G155</f>
        <v>0</v>
      </c>
    </row>
    <row r="155" spans="1:7" ht="90" hidden="1">
      <c r="A155" s="313"/>
      <c r="B155" s="438"/>
      <c r="C155" s="317">
        <v>2700</v>
      </c>
      <c r="D155" s="314" t="s">
        <v>356</v>
      </c>
      <c r="E155" s="516">
        <f>F155+G155</f>
        <v>0</v>
      </c>
      <c r="F155" s="331"/>
      <c r="G155" s="331"/>
    </row>
    <row r="156" spans="1:7" s="312" customFormat="1" ht="31.5" hidden="1">
      <c r="A156" s="309"/>
      <c r="B156" s="437">
        <v>85415</v>
      </c>
      <c r="C156" s="309"/>
      <c r="D156" s="310" t="s">
        <v>100</v>
      </c>
      <c r="E156" s="520">
        <f>SUM(E157:E158)</f>
        <v>0</v>
      </c>
      <c r="F156" s="333">
        <f>SUM(F157:F158)</f>
        <v>0</v>
      </c>
      <c r="G156" s="333">
        <f>SUM(G157:G158)</f>
        <v>0</v>
      </c>
    </row>
    <row r="157" spans="1:7" s="312" customFormat="1" ht="45.75" hidden="1">
      <c r="A157" s="309"/>
      <c r="B157" s="437"/>
      <c r="C157" s="340">
        <v>2130</v>
      </c>
      <c r="D157" s="314" t="s">
        <v>668</v>
      </c>
      <c r="E157" s="516">
        <f>F157+G157</f>
        <v>0</v>
      </c>
      <c r="F157" s="331"/>
      <c r="G157" s="333"/>
    </row>
    <row r="158" spans="1:7" ht="75" hidden="1">
      <c r="A158" s="313"/>
      <c r="B158" s="438"/>
      <c r="C158" s="317">
        <v>2330</v>
      </c>
      <c r="D158" s="314" t="s">
        <v>101</v>
      </c>
      <c r="E158" s="516">
        <f>F158+G158</f>
        <v>0</v>
      </c>
      <c r="F158" s="331"/>
      <c r="G158" s="331"/>
    </row>
    <row r="159" spans="1:7" ht="47.25" hidden="1">
      <c r="A159" s="355">
        <v>921</v>
      </c>
      <c r="B159" s="445"/>
      <c r="C159" s="253"/>
      <c r="D159" s="356" t="s">
        <v>614</v>
      </c>
      <c r="E159" s="526">
        <f>E160</f>
        <v>0</v>
      </c>
      <c r="F159" s="254">
        <f>F160</f>
        <v>0</v>
      </c>
      <c r="G159" s="254">
        <f>G160</f>
        <v>0</v>
      </c>
    </row>
    <row r="160" spans="1:7" ht="15.75" hidden="1">
      <c r="A160" s="255"/>
      <c r="B160" s="446">
        <v>92116</v>
      </c>
      <c r="C160" s="256"/>
      <c r="D160" s="259" t="s">
        <v>615</v>
      </c>
      <c r="E160" s="527">
        <f>SUM(E161)</f>
        <v>0</v>
      </c>
      <c r="F160" s="257"/>
      <c r="G160" s="331">
        <f>SUM(G161)</f>
        <v>0</v>
      </c>
    </row>
    <row r="161" spans="1:7" ht="60" hidden="1">
      <c r="A161" s="313"/>
      <c r="B161" s="438"/>
      <c r="C161" s="313">
        <v>2440</v>
      </c>
      <c r="D161" s="328" t="s">
        <v>45</v>
      </c>
      <c r="E161" s="516">
        <f aca="true" t="shared" si="3" ref="E161:E170">F161+G161</f>
        <v>0</v>
      </c>
      <c r="F161" s="331"/>
      <c r="G161" s="331"/>
    </row>
    <row r="162" spans="1:7" s="312" customFormat="1" ht="31.5">
      <c r="A162" s="309"/>
      <c r="B162" s="437">
        <v>85415</v>
      </c>
      <c r="C162" s="309"/>
      <c r="D162" s="310" t="s">
        <v>272</v>
      </c>
      <c r="E162" s="517">
        <f t="shared" si="3"/>
        <v>15000</v>
      </c>
      <c r="F162" s="333">
        <f>SUM(F163)</f>
        <v>15000</v>
      </c>
      <c r="G162" s="333">
        <f>SUM(G163)</f>
        <v>0</v>
      </c>
    </row>
    <row r="163" spans="1:7" ht="75.75">
      <c r="A163" s="313"/>
      <c r="B163" s="438"/>
      <c r="C163" s="449">
        <v>2330</v>
      </c>
      <c r="D163" s="314" t="s">
        <v>101</v>
      </c>
      <c r="E163" s="516">
        <f t="shared" si="3"/>
        <v>15000</v>
      </c>
      <c r="F163" s="331">
        <v>15000</v>
      </c>
      <c r="G163" s="333"/>
    </row>
    <row r="164" spans="1:7" ht="47.25" hidden="1">
      <c r="A164" s="528">
        <v>921</v>
      </c>
      <c r="B164" s="455"/>
      <c r="C164" s="456"/>
      <c r="D164" s="356" t="s">
        <v>614</v>
      </c>
      <c r="E164" s="516">
        <f t="shared" si="3"/>
        <v>0</v>
      </c>
      <c r="F164" s="315">
        <f>F165</f>
        <v>0</v>
      </c>
      <c r="G164" s="315">
        <f>G165</f>
        <v>0</v>
      </c>
    </row>
    <row r="165" spans="1:7" ht="15.75" hidden="1">
      <c r="A165" s="313"/>
      <c r="B165" s="457">
        <v>92195</v>
      </c>
      <c r="C165" s="458"/>
      <c r="D165" s="259" t="s">
        <v>273</v>
      </c>
      <c r="E165" s="516">
        <f t="shared" si="3"/>
        <v>0</v>
      </c>
      <c r="F165" s="315">
        <f>F166</f>
        <v>0</v>
      </c>
      <c r="G165" s="315">
        <f>G166</f>
        <v>0</v>
      </c>
    </row>
    <row r="166" spans="1:7" ht="90.75" hidden="1">
      <c r="A166" s="313"/>
      <c r="B166" s="448"/>
      <c r="C166" s="449">
        <v>6300</v>
      </c>
      <c r="D166" s="328" t="s">
        <v>124</v>
      </c>
      <c r="E166" s="516">
        <f t="shared" si="3"/>
        <v>0</v>
      </c>
      <c r="F166" s="331"/>
      <c r="G166" s="333"/>
    </row>
    <row r="167" spans="1:7" ht="24">
      <c r="A167" s="652">
        <v>900</v>
      </c>
      <c r="B167" s="652"/>
      <c r="C167" s="653"/>
      <c r="D167" s="654" t="s">
        <v>339</v>
      </c>
      <c r="E167" s="516">
        <f>SUM(E168)</f>
        <v>1674172</v>
      </c>
      <c r="F167" s="516">
        <f>SUM(F168)</f>
        <v>1674172</v>
      </c>
      <c r="G167" s="516">
        <f>SUM(G168)</f>
        <v>0</v>
      </c>
    </row>
    <row r="168" spans="1:7" ht="36">
      <c r="A168" s="655"/>
      <c r="B168" s="655">
        <v>90019</v>
      </c>
      <c r="C168" s="656"/>
      <c r="D168" s="657" t="s">
        <v>340</v>
      </c>
      <c r="E168" s="516">
        <f t="shared" si="3"/>
        <v>1674172</v>
      </c>
      <c r="F168" s="331">
        <f>SUM(F169:F170)</f>
        <v>1674172</v>
      </c>
      <c r="G168" s="331">
        <f>SUM(G169:G170)</f>
        <v>0</v>
      </c>
    </row>
    <row r="169" spans="1:7" ht="15.75">
      <c r="A169" s="655"/>
      <c r="B169" s="655"/>
      <c r="C169" s="635" t="s">
        <v>634</v>
      </c>
      <c r="D169" s="113" t="s">
        <v>344</v>
      </c>
      <c r="E169" s="516">
        <f t="shared" si="3"/>
        <v>1000000</v>
      </c>
      <c r="F169" s="512">
        <v>1000000</v>
      </c>
      <c r="G169" s="333"/>
    </row>
    <row r="170" spans="1:7" ht="15.75">
      <c r="A170" s="659"/>
      <c r="B170" s="438"/>
      <c r="C170" s="313" t="s">
        <v>98</v>
      </c>
      <c r="D170" s="660" t="s">
        <v>345</v>
      </c>
      <c r="E170" s="516">
        <f t="shared" si="3"/>
        <v>674172</v>
      </c>
      <c r="F170" s="661">
        <v>674172</v>
      </c>
      <c r="G170" s="333"/>
    </row>
    <row r="171" spans="1:7" ht="31.5">
      <c r="A171" s="305"/>
      <c r="B171" s="436"/>
      <c r="C171" s="305"/>
      <c r="D171" s="306" t="s">
        <v>672</v>
      </c>
      <c r="E171" s="333">
        <f>SUM(E10+E15+E29+E36+E44+E59+E66+E79+E100+E103+E127+E148+E18+E159+E56+E164+E167)</f>
        <v>67645382</v>
      </c>
      <c r="F171" s="333">
        <f>SUM(F10+F15+F29+F36+F44+F59+F66+F79+F100+F103+F127+F148+F18+F159+F56+F164+F167)</f>
        <v>58019464</v>
      </c>
      <c r="G171" s="333">
        <f>SUM(G10+G15+G29+G36+G44+G59+G66+G79+G100+G103+G127+G148+G18+G159+G56+G164+G167)</f>
        <v>9625918</v>
      </c>
    </row>
    <row r="176" ht="15">
      <c r="E176" s="293"/>
    </row>
  </sheetData>
  <sheetProtection/>
  <mergeCells count="7">
    <mergeCell ref="E4:G5"/>
    <mergeCell ref="E6:G6"/>
    <mergeCell ref="B1:E1"/>
    <mergeCell ref="A4:A5"/>
    <mergeCell ref="B4:B5"/>
    <mergeCell ref="C4:C5"/>
    <mergeCell ref="D4:D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J11"/>
  <sheetViews>
    <sheetView zoomScalePageLayoutView="0" workbookViewId="0" topLeftCell="A1">
      <selection activeCell="A11" sqref="A11"/>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772" t="s">
        <v>495</v>
      </c>
      <c r="B1" s="772"/>
      <c r="C1" s="772"/>
      <c r="D1" s="772"/>
      <c r="E1" s="772"/>
      <c r="F1" s="772"/>
      <c r="G1" s="772"/>
      <c r="H1" s="772"/>
      <c r="I1" s="772"/>
      <c r="J1" s="772"/>
    </row>
    <row r="2" spans="1:6" ht="15.75">
      <c r="A2" s="9"/>
      <c r="B2" s="9"/>
      <c r="C2" s="9"/>
      <c r="D2" s="9"/>
      <c r="E2" s="9"/>
      <c r="F2" s="9"/>
    </row>
    <row r="3" spans="1:10" ht="13.5" customHeight="1">
      <c r="A3" s="4"/>
      <c r="B3" s="4"/>
      <c r="C3" s="4"/>
      <c r="D3" s="4"/>
      <c r="E3" s="4"/>
      <c r="F3" s="4"/>
      <c r="J3" s="50" t="s">
        <v>178</v>
      </c>
    </row>
    <row r="4" spans="1:10" ht="20.25" customHeight="1">
      <c r="A4" s="769" t="s">
        <v>139</v>
      </c>
      <c r="B4" s="825" t="s">
        <v>140</v>
      </c>
      <c r="C4" s="825" t="s">
        <v>262</v>
      </c>
      <c r="D4" s="768" t="s">
        <v>248</v>
      </c>
      <c r="E4" s="768" t="s">
        <v>358</v>
      </c>
      <c r="F4" s="768" t="s">
        <v>212</v>
      </c>
      <c r="G4" s="768"/>
      <c r="H4" s="768"/>
      <c r="I4" s="768"/>
      <c r="J4" s="768"/>
    </row>
    <row r="5" spans="1:10" ht="18" customHeight="1">
      <c r="A5" s="769"/>
      <c r="B5" s="826"/>
      <c r="C5" s="826"/>
      <c r="D5" s="769"/>
      <c r="E5" s="768"/>
      <c r="F5" s="768" t="s">
        <v>246</v>
      </c>
      <c r="G5" s="768" t="s">
        <v>143</v>
      </c>
      <c r="H5" s="768"/>
      <c r="I5" s="768"/>
      <c r="J5" s="768" t="s">
        <v>247</v>
      </c>
    </row>
    <row r="6" spans="1:10" ht="69" customHeight="1">
      <c r="A6" s="769"/>
      <c r="B6" s="827"/>
      <c r="C6" s="827"/>
      <c r="D6" s="769"/>
      <c r="E6" s="768"/>
      <c r="F6" s="768"/>
      <c r="G6" s="14" t="s">
        <v>244</v>
      </c>
      <c r="H6" s="14" t="s">
        <v>245</v>
      </c>
      <c r="I6" s="14" t="s">
        <v>359</v>
      </c>
      <c r="J6" s="768"/>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5">
        <f>1!E55</f>
        <v>28600</v>
      </c>
      <c r="E8" s="105">
        <f>F8+J8</f>
        <v>28600</v>
      </c>
      <c r="F8" s="105">
        <f>D8</f>
        <v>28600</v>
      </c>
      <c r="G8" s="105"/>
      <c r="H8" s="105"/>
      <c r="I8" s="105"/>
      <c r="J8" s="105"/>
    </row>
    <row r="9" spans="1:10" ht="24.75" customHeight="1">
      <c r="A9" s="823" t="s">
        <v>258</v>
      </c>
      <c r="B9" s="824"/>
      <c r="C9" s="824"/>
      <c r="D9" s="106">
        <f aca="true" t="shared" si="0" ref="D9:J9">SUM(D8:D8)</f>
        <v>28600</v>
      </c>
      <c r="E9" s="106">
        <f t="shared" si="0"/>
        <v>28600</v>
      </c>
      <c r="F9" s="106">
        <f t="shared" si="0"/>
        <v>28600</v>
      </c>
      <c r="G9" s="106">
        <f t="shared" si="0"/>
        <v>0</v>
      </c>
      <c r="H9" s="106">
        <f t="shared" si="0"/>
        <v>0</v>
      </c>
      <c r="I9" s="106">
        <f t="shared" si="0"/>
        <v>0</v>
      </c>
      <c r="J9" s="106">
        <f t="shared" si="0"/>
        <v>0</v>
      </c>
    </row>
    <row r="11" spans="1:7" ht="12.75">
      <c r="A11" s="60"/>
      <c r="G11"/>
    </row>
  </sheetData>
  <sheetProtection/>
  <mergeCells count="11">
    <mergeCell ref="C4:C6"/>
    <mergeCell ref="A9:C9"/>
    <mergeCell ref="D4:D6"/>
    <mergeCell ref="A1:J1"/>
    <mergeCell ref="E4:E6"/>
    <mergeCell ref="F4:J4"/>
    <mergeCell ref="F5:F6"/>
    <mergeCell ref="G5:I5"/>
    <mergeCell ref="J5:J6"/>
    <mergeCell ref="A4:A6"/>
    <mergeCell ref="B4:B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26"/>
  <sheetViews>
    <sheetView zoomScalePageLayoutView="0" workbookViewId="0" topLeftCell="A1">
      <selection activeCell="K14" sqref="K14"/>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72" t="s">
        <v>493</v>
      </c>
      <c r="B1" s="772"/>
      <c r="C1" s="772"/>
      <c r="D1" s="772"/>
      <c r="E1" s="772"/>
      <c r="F1" s="772"/>
      <c r="G1" s="772"/>
      <c r="H1" s="772"/>
      <c r="I1" s="772"/>
      <c r="J1" s="772"/>
      <c r="K1" s="772"/>
    </row>
    <row r="3" ht="12.75">
      <c r="K3" s="50" t="s">
        <v>178</v>
      </c>
    </row>
    <row r="4" spans="1:80" ht="20.25" customHeight="1">
      <c r="A4" s="769" t="s">
        <v>139</v>
      </c>
      <c r="B4" s="825" t="s">
        <v>140</v>
      </c>
      <c r="C4" s="825" t="s">
        <v>141</v>
      </c>
      <c r="D4" s="768" t="s">
        <v>248</v>
      </c>
      <c r="E4" s="768" t="s">
        <v>694</v>
      </c>
      <c r="F4" s="768" t="s">
        <v>212</v>
      </c>
      <c r="G4" s="768"/>
      <c r="H4" s="768"/>
      <c r="I4" s="768"/>
      <c r="J4" s="768"/>
      <c r="K4" s="768"/>
      <c r="BY4" s="1"/>
      <c r="BZ4" s="1"/>
      <c r="CA4" s="1"/>
      <c r="CB4" s="1"/>
    </row>
    <row r="5" spans="1:80" ht="18" customHeight="1">
      <c r="A5" s="769"/>
      <c r="B5" s="826"/>
      <c r="C5" s="826"/>
      <c r="D5" s="769"/>
      <c r="E5" s="768"/>
      <c r="F5" s="768" t="s">
        <v>246</v>
      </c>
      <c r="G5" s="768" t="s">
        <v>143</v>
      </c>
      <c r="H5" s="768"/>
      <c r="I5" s="768"/>
      <c r="J5" s="14"/>
      <c r="K5" s="768" t="s">
        <v>247</v>
      </c>
      <c r="BY5" s="1"/>
      <c r="BZ5" s="1"/>
      <c r="CA5" s="1"/>
      <c r="CB5" s="1"/>
    </row>
    <row r="6" spans="1:80" ht="69" customHeight="1">
      <c r="A6" s="769"/>
      <c r="B6" s="827"/>
      <c r="C6" s="827"/>
      <c r="D6" s="769"/>
      <c r="E6" s="768"/>
      <c r="F6" s="768"/>
      <c r="G6" s="14" t="s">
        <v>244</v>
      </c>
      <c r="H6" s="14" t="s">
        <v>245</v>
      </c>
      <c r="I6" s="104" t="s">
        <v>693</v>
      </c>
      <c r="J6" s="104" t="s">
        <v>714</v>
      </c>
      <c r="K6" s="768"/>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hidden="1">
      <c r="A8" s="74">
        <v>600</v>
      </c>
      <c r="B8" s="107">
        <v>60014</v>
      </c>
      <c r="C8" s="107">
        <v>2310</v>
      </c>
      <c r="D8" s="74">
        <f>1!F20</f>
        <v>0</v>
      </c>
      <c r="E8" s="74">
        <f>F8+K8</f>
        <v>0</v>
      </c>
      <c r="F8" s="74">
        <f aca="true" t="shared" si="0" ref="F8:F16">D8</f>
        <v>0</v>
      </c>
      <c r="G8" s="74"/>
      <c r="H8" s="74"/>
      <c r="I8" s="74"/>
      <c r="J8" s="74"/>
      <c r="K8" s="74"/>
      <c r="BY8" s="1"/>
      <c r="BZ8" s="1"/>
      <c r="CA8" s="1"/>
      <c r="CB8" s="1"/>
    </row>
    <row r="9" spans="1:80" ht="19.5" customHeight="1">
      <c r="A9" s="74">
        <v>600</v>
      </c>
      <c r="B9" s="107">
        <v>60014</v>
      </c>
      <c r="C9" s="251">
        <v>6610</v>
      </c>
      <c r="D9" s="74">
        <f>1!G26</f>
        <v>495561</v>
      </c>
      <c r="E9" s="74">
        <f>F9+K9</f>
        <v>495561</v>
      </c>
      <c r="F9" s="74"/>
      <c r="G9" s="74"/>
      <c r="H9" s="74"/>
      <c r="I9" s="74"/>
      <c r="J9" s="74"/>
      <c r="K9" s="74">
        <f>D9</f>
        <v>495561</v>
      </c>
      <c r="BY9" s="1"/>
      <c r="BZ9" s="1"/>
      <c r="CA9" s="1"/>
      <c r="CB9" s="1"/>
    </row>
    <row r="10" spans="1:80" ht="19.5" customHeight="1" hidden="1">
      <c r="A10" s="74"/>
      <c r="B10" s="107">
        <v>60014</v>
      </c>
      <c r="C10" s="251">
        <v>6610</v>
      </c>
      <c r="D10" s="74">
        <f>1!G27</f>
        <v>0</v>
      </c>
      <c r="E10" s="74">
        <f>D10</f>
        <v>0</v>
      </c>
      <c r="F10" s="74">
        <f t="shared" si="0"/>
        <v>0</v>
      </c>
      <c r="G10" s="74"/>
      <c r="H10" s="74"/>
      <c r="I10" s="74"/>
      <c r="J10" s="74"/>
      <c r="K10" s="74"/>
      <c r="BY10" s="1"/>
      <c r="BZ10" s="1"/>
      <c r="CA10" s="1"/>
      <c r="CB10" s="1"/>
    </row>
    <row r="11" spans="1:80" ht="19.5" customHeight="1" hidden="1">
      <c r="A11" s="74">
        <v>801</v>
      </c>
      <c r="B11" s="107">
        <v>80195</v>
      </c>
      <c r="C11" s="251">
        <v>2008</v>
      </c>
      <c r="D11" s="74"/>
      <c r="E11" s="74">
        <f>D11</f>
        <v>0</v>
      </c>
      <c r="F11" s="74">
        <f t="shared" si="0"/>
        <v>0</v>
      </c>
      <c r="G11" s="74"/>
      <c r="H11" s="74"/>
      <c r="I11" s="74"/>
      <c r="J11" s="74"/>
      <c r="K11" s="74"/>
      <c r="BY11" s="1"/>
      <c r="BZ11" s="1"/>
      <c r="CA11" s="1"/>
      <c r="CB11" s="1"/>
    </row>
    <row r="12" spans="1:80" ht="19.5" customHeight="1" hidden="1">
      <c r="A12" s="74"/>
      <c r="B12" s="107">
        <v>80195</v>
      </c>
      <c r="C12" s="251">
        <v>2009</v>
      </c>
      <c r="D12" s="74"/>
      <c r="E12" s="74">
        <f>D12</f>
        <v>0</v>
      </c>
      <c r="F12" s="74">
        <f t="shared" si="0"/>
        <v>0</v>
      </c>
      <c r="G12" s="74"/>
      <c r="H12" s="74"/>
      <c r="I12" s="74"/>
      <c r="J12" s="74"/>
      <c r="K12" s="74"/>
      <c r="BY12" s="1"/>
      <c r="BZ12" s="1"/>
      <c r="CA12" s="1"/>
      <c r="CB12" s="1"/>
    </row>
    <row r="13" spans="1:80" ht="19.5" customHeight="1" hidden="1">
      <c r="A13" s="74">
        <v>921</v>
      </c>
      <c r="B13" s="107">
        <v>92195</v>
      </c>
      <c r="C13" s="251">
        <v>6300</v>
      </c>
      <c r="D13" s="74">
        <f>1!E166</f>
        <v>0</v>
      </c>
      <c r="E13" s="74">
        <f>F13+K13</f>
        <v>0</v>
      </c>
      <c r="F13" s="74"/>
      <c r="G13" s="74"/>
      <c r="H13" s="74"/>
      <c r="I13" s="74"/>
      <c r="J13" s="74"/>
      <c r="K13" s="74"/>
      <c r="BY13" s="1"/>
      <c r="BZ13" s="1"/>
      <c r="CA13" s="1"/>
      <c r="CB13" s="1"/>
    </row>
    <row r="14" spans="1:80" ht="19.5" customHeight="1">
      <c r="A14" s="74">
        <v>600</v>
      </c>
      <c r="B14" s="107">
        <v>60014</v>
      </c>
      <c r="C14" s="251">
        <v>6300</v>
      </c>
      <c r="D14" s="74">
        <f>1!G25</f>
        <v>693867</v>
      </c>
      <c r="E14" s="74">
        <f>D14</f>
        <v>693867</v>
      </c>
      <c r="F14" s="74"/>
      <c r="G14" s="74"/>
      <c r="H14" s="74"/>
      <c r="I14" s="74"/>
      <c r="J14" s="74"/>
      <c r="K14" s="74">
        <f>D14</f>
        <v>693867</v>
      </c>
      <c r="BY14" s="1"/>
      <c r="BZ14" s="1"/>
      <c r="CA14" s="1"/>
      <c r="CB14" s="1"/>
    </row>
    <row r="15" spans="1:80" ht="19.5" customHeight="1">
      <c r="A15" s="74">
        <v>852</v>
      </c>
      <c r="B15" s="107">
        <v>85201</v>
      </c>
      <c r="C15" s="107">
        <v>2320</v>
      </c>
      <c r="D15" s="74">
        <f>1!E105</f>
        <v>67200</v>
      </c>
      <c r="E15" s="74">
        <f>F15+K15</f>
        <v>67200</v>
      </c>
      <c r="F15" s="74">
        <f t="shared" si="0"/>
        <v>67200</v>
      </c>
      <c r="G15" s="74"/>
      <c r="H15" s="74"/>
      <c r="I15" s="74"/>
      <c r="J15" s="74"/>
      <c r="K15" s="74"/>
      <c r="BY15" s="1"/>
      <c r="BZ15" s="1"/>
      <c r="CA15" s="1"/>
      <c r="CB15" s="1"/>
    </row>
    <row r="16" spans="1:80" ht="19.5" customHeight="1">
      <c r="A16" s="74"/>
      <c r="B16" s="107">
        <v>85204</v>
      </c>
      <c r="C16" s="107">
        <v>2320</v>
      </c>
      <c r="D16" s="74">
        <f>1!E122</f>
        <v>326000</v>
      </c>
      <c r="E16" s="74">
        <f>F16+K16</f>
        <v>326000</v>
      </c>
      <c r="F16" s="74">
        <f t="shared" si="0"/>
        <v>326000</v>
      </c>
      <c r="G16" s="74"/>
      <c r="H16" s="74"/>
      <c r="I16" s="74"/>
      <c r="J16" s="74"/>
      <c r="K16" s="74"/>
      <c r="BY16" s="1"/>
      <c r="BZ16" s="1"/>
      <c r="CA16" s="1"/>
      <c r="CB16" s="1"/>
    </row>
    <row r="17" spans="1:80" ht="19.5" customHeight="1" hidden="1">
      <c r="A17" s="74">
        <v>853</v>
      </c>
      <c r="B17" s="107">
        <v>85395</v>
      </c>
      <c r="C17" s="107">
        <v>2310</v>
      </c>
      <c r="D17" s="74"/>
      <c r="E17" s="74"/>
      <c r="F17" s="74">
        <f aca="true" t="shared" si="1" ref="E17:F21">E17</f>
        <v>0</v>
      </c>
      <c r="G17" s="74"/>
      <c r="H17" s="74"/>
      <c r="I17" s="74"/>
      <c r="J17" s="375"/>
      <c r="K17" s="74"/>
      <c r="BY17" s="1"/>
      <c r="BZ17" s="1"/>
      <c r="CA17" s="1"/>
      <c r="CB17" s="1"/>
    </row>
    <row r="18" spans="1:80" ht="19.5" customHeight="1" hidden="1">
      <c r="A18" s="74">
        <v>853</v>
      </c>
      <c r="B18" s="107">
        <v>85395</v>
      </c>
      <c r="C18" s="107">
        <v>2320</v>
      </c>
      <c r="D18" s="74">
        <f>1!E147</f>
        <v>0</v>
      </c>
      <c r="E18" s="74">
        <f>D18</f>
        <v>0</v>
      </c>
      <c r="F18" s="74">
        <f>E18</f>
        <v>0</v>
      </c>
      <c r="G18" s="74"/>
      <c r="H18" s="74"/>
      <c r="I18" s="74"/>
      <c r="J18" s="374"/>
      <c r="K18" s="74"/>
      <c r="BY18" s="1"/>
      <c r="BZ18" s="1"/>
      <c r="CA18" s="1"/>
      <c r="CB18" s="1"/>
    </row>
    <row r="19" spans="1:80" ht="19.5" customHeight="1">
      <c r="A19" s="74">
        <v>854</v>
      </c>
      <c r="B19" s="107">
        <v>85415</v>
      </c>
      <c r="C19" s="107">
        <v>2330</v>
      </c>
      <c r="D19" s="74">
        <f>1!E163</f>
        <v>15000</v>
      </c>
      <c r="E19" s="74">
        <f t="shared" si="1"/>
        <v>15000</v>
      </c>
      <c r="F19" s="74">
        <f t="shared" si="1"/>
        <v>15000</v>
      </c>
      <c r="G19" s="74"/>
      <c r="H19" s="74"/>
      <c r="I19" s="74"/>
      <c r="J19" s="374"/>
      <c r="K19" s="74"/>
      <c r="BY19" s="1"/>
      <c r="BZ19" s="1"/>
      <c r="CA19" s="1"/>
      <c r="CB19" s="1"/>
    </row>
    <row r="20" spans="1:80" ht="19.5" customHeight="1" hidden="1">
      <c r="A20" s="74"/>
      <c r="B20" s="107">
        <v>85395</v>
      </c>
      <c r="C20" s="107">
        <v>2008</v>
      </c>
      <c r="D20" s="74"/>
      <c r="E20" s="74">
        <f t="shared" si="1"/>
        <v>0</v>
      </c>
      <c r="F20" s="74">
        <f t="shared" si="1"/>
        <v>0</v>
      </c>
      <c r="G20" s="74"/>
      <c r="H20" s="74">
        <f>(2!L591+2!L592+2!L594+2!L595)*85%</f>
        <v>0</v>
      </c>
      <c r="I20" s="74"/>
      <c r="J20" s="74">
        <f>2!O580</f>
        <v>0</v>
      </c>
      <c r="K20" s="74"/>
      <c r="BY20" s="1"/>
      <c r="BZ20" s="1"/>
      <c r="CA20" s="1"/>
      <c r="CB20" s="1"/>
    </row>
    <row r="21" spans="1:80" ht="19.5" customHeight="1" hidden="1">
      <c r="A21" s="74"/>
      <c r="B21" s="107">
        <v>85395</v>
      </c>
      <c r="C21" s="107">
        <v>2009</v>
      </c>
      <c r="D21" s="74"/>
      <c r="E21" s="74">
        <f t="shared" si="1"/>
        <v>0</v>
      </c>
      <c r="F21" s="74">
        <f t="shared" si="1"/>
        <v>0</v>
      </c>
      <c r="G21" s="74"/>
      <c r="H21" s="74" t="e">
        <f>(2!L592+2!L595)*#REF!</f>
        <v>#REF!</v>
      </c>
      <c r="I21" s="74"/>
      <c r="J21" s="74" t="e">
        <f>2!O581*8!#REF!+5</f>
        <v>#REF!</v>
      </c>
      <c r="K21" s="74"/>
      <c r="BY21" s="1"/>
      <c r="BZ21" s="1"/>
      <c r="CA21" s="1"/>
      <c r="CB21" s="1"/>
    </row>
    <row r="22" spans="1:80" ht="19.5" customHeight="1" hidden="1">
      <c r="A22" s="74"/>
      <c r="B22" s="107">
        <v>85395</v>
      </c>
      <c r="C22" s="107">
        <v>6208</v>
      </c>
      <c r="D22" s="74">
        <f>1!E141</f>
        <v>0</v>
      </c>
      <c r="E22" s="74">
        <f>K22</f>
        <v>0</v>
      </c>
      <c r="F22" s="74"/>
      <c r="G22" s="74"/>
      <c r="H22" s="74"/>
      <c r="I22" s="74"/>
      <c r="J22" s="74"/>
      <c r="K22" s="74"/>
      <c r="BY22" s="1"/>
      <c r="BZ22" s="1"/>
      <c r="CA22" s="1"/>
      <c r="CB22" s="1"/>
    </row>
    <row r="23" spans="1:80" ht="19.5" customHeight="1" hidden="1">
      <c r="A23" s="74"/>
      <c r="B23" s="107">
        <v>85395</v>
      </c>
      <c r="C23" s="107">
        <v>6209</v>
      </c>
      <c r="D23" s="74">
        <f>1!E142</f>
        <v>0</v>
      </c>
      <c r="E23" s="74">
        <f>K23</f>
        <v>0</v>
      </c>
      <c r="F23" s="74"/>
      <c r="G23" s="74"/>
      <c r="H23" s="74"/>
      <c r="I23" s="74"/>
      <c r="J23" s="74"/>
      <c r="K23" s="74"/>
      <c r="BY23" s="1"/>
      <c r="BZ23" s="1"/>
      <c r="CA23" s="1"/>
      <c r="CB23" s="1"/>
    </row>
    <row r="24" spans="1:80" ht="19.5" customHeight="1" hidden="1">
      <c r="A24" s="74">
        <v>854</v>
      </c>
      <c r="B24" s="107">
        <v>85415</v>
      </c>
      <c r="C24" s="107">
        <v>2330</v>
      </c>
      <c r="D24" s="74">
        <f>1!F158</f>
        <v>0</v>
      </c>
      <c r="E24" s="74">
        <f>F24+K24</f>
        <v>0</v>
      </c>
      <c r="F24" s="74">
        <f>D24</f>
        <v>0</v>
      </c>
      <c r="G24" s="74"/>
      <c r="H24" s="74"/>
      <c r="I24" s="74"/>
      <c r="J24" s="74"/>
      <c r="K24" s="74"/>
      <c r="BY24" s="1"/>
      <c r="BZ24" s="1"/>
      <c r="CA24" s="1"/>
      <c r="CB24" s="1"/>
    </row>
    <row r="25" spans="1:80" ht="19.5" customHeight="1" hidden="1">
      <c r="A25" s="74"/>
      <c r="B25" s="107"/>
      <c r="C25" s="107"/>
      <c r="D25" s="74"/>
      <c r="E25" s="74"/>
      <c r="F25" s="74"/>
      <c r="G25" s="74"/>
      <c r="H25" s="74"/>
      <c r="I25" s="74"/>
      <c r="J25" s="74"/>
      <c r="K25" s="74"/>
      <c r="BY25" s="1"/>
      <c r="BZ25" s="1"/>
      <c r="CA25" s="1"/>
      <c r="CB25" s="1"/>
    </row>
    <row r="26" spans="1:76" s="110" customFormat="1" ht="24.75" customHeight="1">
      <c r="A26" s="828" t="s">
        <v>258</v>
      </c>
      <c r="B26" s="829"/>
      <c r="C26" s="830"/>
      <c r="D26" s="109">
        <f aca="true" t="shared" si="2" ref="D26:K26">SUM(D8:D25)</f>
        <v>1597628</v>
      </c>
      <c r="E26" s="109">
        <f t="shared" si="2"/>
        <v>1597628</v>
      </c>
      <c r="F26" s="109">
        <f t="shared" si="2"/>
        <v>408200</v>
      </c>
      <c r="G26" s="109">
        <f t="shared" si="2"/>
        <v>0</v>
      </c>
      <c r="H26" s="109">
        <f>SUM(H8:H19)</f>
        <v>0</v>
      </c>
      <c r="I26" s="109">
        <f t="shared" si="2"/>
        <v>0</v>
      </c>
      <c r="J26" s="109">
        <f>SUM(J8:J19)</f>
        <v>0</v>
      </c>
      <c r="K26" s="109">
        <f t="shared" si="2"/>
        <v>1189428</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sheetData>
  <sheetProtection/>
  <mergeCells count="11">
    <mergeCell ref="A26:C26"/>
    <mergeCell ref="A1:K1"/>
    <mergeCell ref="A4:A6"/>
    <mergeCell ref="B4:B6"/>
    <mergeCell ref="C4:C6"/>
    <mergeCell ref="D4:D6"/>
    <mergeCell ref="E4:E6"/>
    <mergeCell ref="F4:K4"/>
    <mergeCell ref="F5:F6"/>
    <mergeCell ref="G5:I5"/>
    <mergeCell ref="K5:K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K26"/>
  <sheetViews>
    <sheetView zoomScalePageLayoutView="0" workbookViewId="0" topLeftCell="A8">
      <selection activeCell="D15" sqref="D15"/>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832" t="s">
        <v>194</v>
      </c>
      <c r="B1" s="832"/>
      <c r="C1" s="832"/>
      <c r="D1" s="832"/>
      <c r="E1" s="832"/>
      <c r="F1" s="832"/>
      <c r="G1" s="832"/>
      <c r="H1" s="832"/>
      <c r="I1" s="832"/>
      <c r="J1" s="832"/>
    </row>
    <row r="2" spans="1:10" ht="16.5">
      <c r="A2" s="832" t="s">
        <v>483</v>
      </c>
      <c r="B2" s="832"/>
      <c r="C2" s="832"/>
      <c r="D2" s="832"/>
      <c r="E2" s="832"/>
      <c r="F2" s="832"/>
      <c r="G2" s="832"/>
      <c r="H2" s="832"/>
      <c r="I2" s="832"/>
      <c r="J2" s="832"/>
    </row>
    <row r="3" spans="1:10" ht="6" customHeight="1">
      <c r="A3" s="5"/>
      <c r="B3" s="5"/>
      <c r="C3" s="5"/>
      <c r="D3" s="5"/>
      <c r="E3" s="5"/>
      <c r="F3" s="5"/>
      <c r="G3" s="5"/>
      <c r="H3" s="5"/>
      <c r="I3" s="5"/>
      <c r="J3" s="5"/>
    </row>
    <row r="4" spans="1:11" ht="12.75">
      <c r="A4" s="1"/>
      <c r="B4" s="1"/>
      <c r="C4" s="1"/>
      <c r="D4" s="1"/>
      <c r="E4" s="1"/>
      <c r="F4" s="1"/>
      <c r="G4" s="1"/>
      <c r="H4" s="1"/>
      <c r="I4" s="1"/>
      <c r="K4" s="8" t="s">
        <v>178</v>
      </c>
    </row>
    <row r="5" spans="1:11" ht="15" customHeight="1">
      <c r="A5" s="769" t="s">
        <v>195</v>
      </c>
      <c r="B5" s="769" t="s">
        <v>137</v>
      </c>
      <c r="C5" s="768" t="s">
        <v>363</v>
      </c>
      <c r="D5" s="833" t="s">
        <v>206</v>
      </c>
      <c r="E5" s="834"/>
      <c r="F5" s="834"/>
      <c r="G5" s="835"/>
      <c r="H5" s="768" t="s">
        <v>145</v>
      </c>
      <c r="I5" s="768"/>
      <c r="J5" s="768" t="s">
        <v>364</v>
      </c>
      <c r="K5" s="768" t="s">
        <v>484</v>
      </c>
    </row>
    <row r="6" spans="1:11" ht="15" customHeight="1">
      <c r="A6" s="769"/>
      <c r="B6" s="769"/>
      <c r="C6" s="768"/>
      <c r="D6" s="768" t="s">
        <v>144</v>
      </c>
      <c r="E6" s="838" t="s">
        <v>143</v>
      </c>
      <c r="F6" s="839"/>
      <c r="G6" s="840"/>
      <c r="H6" s="768" t="s">
        <v>144</v>
      </c>
      <c r="I6" s="768" t="s">
        <v>198</v>
      </c>
      <c r="J6" s="768"/>
      <c r="K6" s="768"/>
    </row>
    <row r="7" spans="1:11" ht="18" customHeight="1">
      <c r="A7" s="769"/>
      <c r="B7" s="769"/>
      <c r="C7" s="768"/>
      <c r="D7" s="768"/>
      <c r="E7" s="836" t="s">
        <v>365</v>
      </c>
      <c r="F7" s="838" t="s">
        <v>143</v>
      </c>
      <c r="G7" s="840"/>
      <c r="H7" s="768"/>
      <c r="I7" s="768"/>
      <c r="J7" s="768"/>
      <c r="K7" s="768"/>
    </row>
    <row r="8" spans="1:11" ht="42" customHeight="1">
      <c r="A8" s="769"/>
      <c r="B8" s="769"/>
      <c r="C8" s="768"/>
      <c r="D8" s="768"/>
      <c r="E8" s="837"/>
      <c r="F8" s="61" t="s">
        <v>362</v>
      </c>
      <c r="G8" s="61" t="s">
        <v>361</v>
      </c>
      <c r="H8" s="768"/>
      <c r="I8" s="768"/>
      <c r="J8" s="768"/>
      <c r="K8" s="768"/>
    </row>
    <row r="9" spans="1:11" ht="7.5" customHeight="1" thickBot="1">
      <c r="A9" s="208">
        <v>1</v>
      </c>
      <c r="B9" s="208">
        <v>2</v>
      </c>
      <c r="C9" s="208">
        <v>3</v>
      </c>
      <c r="D9" s="208">
        <v>4</v>
      </c>
      <c r="E9" s="208">
        <v>5</v>
      </c>
      <c r="F9" s="208">
        <v>6</v>
      </c>
      <c r="G9" s="208">
        <v>7</v>
      </c>
      <c r="H9" s="208">
        <v>8</v>
      </c>
      <c r="I9" s="208">
        <v>9</v>
      </c>
      <c r="J9" s="208">
        <v>10</v>
      </c>
      <c r="K9" s="208">
        <v>11</v>
      </c>
    </row>
    <row r="10" spans="1:11" s="53" customFormat="1" ht="19.5" customHeight="1" thickBot="1">
      <c r="A10" s="206" t="s">
        <v>147</v>
      </c>
      <c r="B10" s="210" t="s">
        <v>151</v>
      </c>
      <c r="C10" s="207">
        <f>SUM(C12:C14)</f>
        <v>123800</v>
      </c>
      <c r="D10" s="207">
        <f aca="true" t="shared" si="0" ref="D10:J10">SUM(D12:D14)</f>
        <v>2350000</v>
      </c>
      <c r="E10" s="207">
        <f t="shared" si="0"/>
        <v>0</v>
      </c>
      <c r="F10" s="207">
        <f t="shared" si="0"/>
        <v>0</v>
      </c>
      <c r="G10" s="207">
        <f t="shared" si="0"/>
        <v>0</v>
      </c>
      <c r="H10" s="207">
        <f t="shared" si="0"/>
        <v>2275000</v>
      </c>
      <c r="I10" s="207">
        <f t="shared" si="0"/>
        <v>30000</v>
      </c>
      <c r="J10" s="207">
        <f t="shared" si="0"/>
        <v>198800</v>
      </c>
      <c r="K10" s="211">
        <f>SUM(K12:K14)</f>
        <v>30000</v>
      </c>
    </row>
    <row r="11" spans="1:11" ht="19.5" customHeight="1">
      <c r="A11" s="209"/>
      <c r="B11" s="278" t="s">
        <v>212</v>
      </c>
      <c r="C11" s="279"/>
      <c r="D11" s="279"/>
      <c r="E11" s="279"/>
      <c r="F11" s="280"/>
      <c r="G11" s="279"/>
      <c r="H11" s="279"/>
      <c r="I11" s="279"/>
      <c r="J11" s="279"/>
      <c r="K11" s="280"/>
    </row>
    <row r="12" spans="1:11" ht="38.25">
      <c r="A12" s="30"/>
      <c r="B12" s="560" t="s">
        <v>700</v>
      </c>
      <c r="C12" s="105">
        <v>0</v>
      </c>
      <c r="D12" s="105">
        <v>810000</v>
      </c>
      <c r="E12" s="105"/>
      <c r="F12" s="281" t="s">
        <v>184</v>
      </c>
      <c r="G12" s="105"/>
      <c r="H12" s="105">
        <v>810000</v>
      </c>
      <c r="I12" s="105">
        <v>0</v>
      </c>
      <c r="J12" s="247">
        <f>C12+D12-H12</f>
        <v>0</v>
      </c>
      <c r="K12" s="281" t="s">
        <v>184</v>
      </c>
    </row>
    <row r="13" spans="1:11" s="249" customFormat="1" ht="25.5">
      <c r="A13" s="246"/>
      <c r="B13" s="562" t="s">
        <v>109</v>
      </c>
      <c r="C13" s="247">
        <v>1500</v>
      </c>
      <c r="D13" s="247">
        <v>960000</v>
      </c>
      <c r="E13" s="247"/>
      <c r="F13" s="248"/>
      <c r="G13" s="247"/>
      <c r="H13" s="247">
        <v>960000</v>
      </c>
      <c r="I13" s="247">
        <v>0</v>
      </c>
      <c r="J13" s="247">
        <f>C13+D13-H13</f>
        <v>1500</v>
      </c>
      <c r="K13" s="248" t="s">
        <v>184</v>
      </c>
    </row>
    <row r="14" spans="1:11" ht="39" thickBot="1">
      <c r="A14" s="200"/>
      <c r="B14" s="561" t="s">
        <v>108</v>
      </c>
      <c r="C14" s="247">
        <v>122300</v>
      </c>
      <c r="D14" s="247">
        <v>580000</v>
      </c>
      <c r="E14" s="247"/>
      <c r="F14" s="248"/>
      <c r="G14" s="247"/>
      <c r="H14" s="247">
        <f>505000</f>
        <v>505000</v>
      </c>
      <c r="I14" s="247">
        <v>30000</v>
      </c>
      <c r="J14" s="247">
        <f>C14+D14-H14</f>
        <v>197300</v>
      </c>
      <c r="K14" s="132">
        <v>30000</v>
      </c>
    </row>
    <row r="15" spans="1:11" s="53" customFormat="1" ht="26.25" thickBot="1">
      <c r="A15" s="206" t="s">
        <v>152</v>
      </c>
      <c r="B15" s="369" t="s">
        <v>360</v>
      </c>
      <c r="C15" s="371">
        <f>SUM(C17:C20)</f>
        <v>21000</v>
      </c>
      <c r="D15" s="207">
        <f>SUM(D17:D20)</f>
        <v>463000</v>
      </c>
      <c r="E15" s="207">
        <f>SUM(E17:E20)</f>
        <v>0</v>
      </c>
      <c r="F15" s="372" t="s">
        <v>184</v>
      </c>
      <c r="G15" s="372" t="s">
        <v>184</v>
      </c>
      <c r="H15" s="207">
        <f>SUM(H17:H20)</f>
        <v>463000</v>
      </c>
      <c r="I15" s="372"/>
      <c r="J15" s="373">
        <f>SUM(J17:J20)</f>
        <v>21000</v>
      </c>
      <c r="K15" s="370"/>
    </row>
    <row r="16" spans="1:11" ht="19.5" customHeight="1">
      <c r="A16" s="202"/>
      <c r="B16" s="203" t="s">
        <v>212</v>
      </c>
      <c r="C16" s="204"/>
      <c r="D16" s="204"/>
      <c r="E16" s="205"/>
      <c r="F16" s="205"/>
      <c r="G16" s="205"/>
      <c r="H16" s="204"/>
      <c r="I16" s="205"/>
      <c r="J16" s="204"/>
      <c r="K16" s="204"/>
    </row>
    <row r="17" spans="1:11" ht="25.5">
      <c r="A17" s="19"/>
      <c r="B17" s="142" t="s">
        <v>702</v>
      </c>
      <c r="C17" s="129"/>
      <c r="D17" s="129">
        <v>50000</v>
      </c>
      <c r="E17" s="130"/>
      <c r="F17" s="130" t="s">
        <v>184</v>
      </c>
      <c r="G17" s="130" t="s">
        <v>184</v>
      </c>
      <c r="H17" s="129">
        <v>50000</v>
      </c>
      <c r="I17" s="130" t="s">
        <v>184</v>
      </c>
      <c r="J17" s="129"/>
      <c r="K17" s="129"/>
    </row>
    <row r="18" spans="1:11" ht="25.5">
      <c r="A18" s="19"/>
      <c r="B18" s="142" t="s">
        <v>31</v>
      </c>
      <c r="C18" s="129">
        <v>3000</v>
      </c>
      <c r="D18" s="129">
        <v>300000</v>
      </c>
      <c r="E18" s="130"/>
      <c r="F18" s="130" t="s">
        <v>184</v>
      </c>
      <c r="G18" s="130" t="s">
        <v>184</v>
      </c>
      <c r="H18" s="129">
        <v>300000</v>
      </c>
      <c r="I18" s="130" t="s">
        <v>184</v>
      </c>
      <c r="J18" s="201">
        <v>3000</v>
      </c>
      <c r="K18" s="129"/>
    </row>
    <row r="19" spans="1:11" ht="38.25">
      <c r="A19" s="20"/>
      <c r="B19" s="143" t="s">
        <v>110</v>
      </c>
      <c r="C19" s="131">
        <v>18000</v>
      </c>
      <c r="D19" s="131">
        <v>53000</v>
      </c>
      <c r="E19" s="132"/>
      <c r="F19" s="132" t="s">
        <v>184</v>
      </c>
      <c r="G19" s="132" t="s">
        <v>184</v>
      </c>
      <c r="H19" s="131">
        <v>53000</v>
      </c>
      <c r="I19" s="132" t="s">
        <v>184</v>
      </c>
      <c r="J19" s="201">
        <f>C19+D19-H19</f>
        <v>18000</v>
      </c>
      <c r="K19" s="131"/>
    </row>
    <row r="20" spans="1:11" ht="25.5">
      <c r="A20" s="20"/>
      <c r="B20" s="143" t="s">
        <v>758</v>
      </c>
      <c r="C20" s="131"/>
      <c r="D20" s="131">
        <v>60000</v>
      </c>
      <c r="E20" s="132"/>
      <c r="F20" s="132" t="s">
        <v>184</v>
      </c>
      <c r="G20" s="132" t="s">
        <v>184</v>
      </c>
      <c r="H20" s="131">
        <v>60000</v>
      </c>
      <c r="I20" s="132" t="s">
        <v>184</v>
      </c>
      <c r="J20" s="201">
        <f>C20+D20-H20</f>
        <v>0</v>
      </c>
      <c r="K20" s="131"/>
    </row>
    <row r="21" spans="1:11" s="53" customFormat="1" ht="19.5" customHeight="1">
      <c r="A21" s="831" t="s">
        <v>258</v>
      </c>
      <c r="B21" s="831"/>
      <c r="C21" s="199">
        <f>C10+C15</f>
        <v>144800</v>
      </c>
      <c r="D21" s="199">
        <f>D10+D15</f>
        <v>2813000</v>
      </c>
      <c r="E21" s="199">
        <f>E10+E15</f>
        <v>0</v>
      </c>
      <c r="F21" s="199"/>
      <c r="G21" s="199"/>
      <c r="H21" s="199">
        <f>H10+H15</f>
        <v>2738000</v>
      </c>
      <c r="I21" s="199">
        <f>I10+I15</f>
        <v>30000</v>
      </c>
      <c r="J21" s="199">
        <f>J10+J15</f>
        <v>219800</v>
      </c>
      <c r="K21" s="199"/>
    </row>
    <row r="22" ht="4.5" customHeight="1"/>
    <row r="23" ht="12.75" customHeight="1">
      <c r="A23" s="62"/>
    </row>
    <row r="24" ht="12.75">
      <c r="A24" s="62"/>
    </row>
    <row r="25" ht="12.75">
      <c r="A25" s="62"/>
    </row>
    <row r="26" ht="12.75">
      <c r="A26" s="62"/>
    </row>
  </sheetData>
  <sheetProtection/>
  <mergeCells count="16">
    <mergeCell ref="E6:G6"/>
    <mergeCell ref="F7:G7"/>
    <mergeCell ref="K5:K8"/>
    <mergeCell ref="H6:H8"/>
    <mergeCell ref="I6:I8"/>
    <mergeCell ref="J5:J8"/>
    <mergeCell ref="A21:B21"/>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CB29"/>
  <sheetViews>
    <sheetView zoomScalePageLayoutView="0" workbookViewId="0" topLeftCell="A1">
      <selection activeCell="C10" sqref="C10"/>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72" t="s">
        <v>128</v>
      </c>
      <c r="B1" s="772"/>
      <c r="C1" s="772"/>
      <c r="D1" s="772"/>
      <c r="E1" s="772"/>
      <c r="F1" s="772"/>
      <c r="G1" s="772"/>
      <c r="H1" s="772"/>
      <c r="I1" s="772"/>
      <c r="J1" s="772"/>
      <c r="K1" s="772"/>
    </row>
    <row r="3" ht="12.75">
      <c r="K3" s="50" t="s">
        <v>178</v>
      </c>
    </row>
    <row r="4" spans="1:80" ht="20.25" customHeight="1">
      <c r="A4" s="769" t="s">
        <v>139</v>
      </c>
      <c r="B4" s="825" t="s">
        <v>140</v>
      </c>
      <c r="C4" s="825" t="s">
        <v>141</v>
      </c>
      <c r="D4" s="768" t="s">
        <v>248</v>
      </c>
      <c r="E4" s="768" t="s">
        <v>694</v>
      </c>
      <c r="F4" s="768" t="s">
        <v>212</v>
      </c>
      <c r="G4" s="768"/>
      <c r="H4" s="768"/>
      <c r="I4" s="768"/>
      <c r="J4" s="768"/>
      <c r="K4" s="768"/>
      <c r="BY4" s="1"/>
      <c r="BZ4" s="1"/>
      <c r="CA4" s="1"/>
      <c r="CB4" s="1"/>
    </row>
    <row r="5" spans="1:80" ht="18" customHeight="1">
      <c r="A5" s="769"/>
      <c r="B5" s="826"/>
      <c r="C5" s="826"/>
      <c r="D5" s="769"/>
      <c r="E5" s="768"/>
      <c r="F5" s="768" t="s">
        <v>246</v>
      </c>
      <c r="G5" s="768" t="s">
        <v>143</v>
      </c>
      <c r="H5" s="768"/>
      <c r="I5" s="768"/>
      <c r="J5" s="14"/>
      <c r="K5" s="768" t="s">
        <v>247</v>
      </c>
      <c r="BY5" s="1"/>
      <c r="BZ5" s="1"/>
      <c r="CA5" s="1"/>
      <c r="CB5" s="1"/>
    </row>
    <row r="6" spans="1:80" ht="69" customHeight="1">
      <c r="A6" s="769"/>
      <c r="B6" s="827"/>
      <c r="C6" s="827"/>
      <c r="D6" s="769"/>
      <c r="E6" s="768"/>
      <c r="F6" s="768"/>
      <c r="G6" s="14" t="s">
        <v>6</v>
      </c>
      <c r="H6" s="14" t="s">
        <v>245</v>
      </c>
      <c r="I6" s="104" t="s">
        <v>693</v>
      </c>
      <c r="J6" s="104" t="s">
        <v>714</v>
      </c>
      <c r="K6" s="768"/>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9.5" customHeight="1">
      <c r="A8" s="74">
        <v>853</v>
      </c>
      <c r="B8" s="107">
        <v>85333</v>
      </c>
      <c r="C8" s="251">
        <v>2007</v>
      </c>
      <c r="D8" s="74">
        <f>1!F134</f>
        <v>156822</v>
      </c>
      <c r="E8" s="74">
        <f>F8+K8</f>
        <v>156822</v>
      </c>
      <c r="F8" s="74">
        <f>D8</f>
        <v>156822</v>
      </c>
      <c r="G8" s="74">
        <f>100800</f>
        <v>100800</v>
      </c>
      <c r="H8" s="74">
        <f>16471+2670</f>
        <v>19141</v>
      </c>
      <c r="I8" s="74">
        <f>8270</f>
        <v>8270</v>
      </c>
      <c r="J8" s="74"/>
      <c r="K8" s="74"/>
      <c r="BY8" s="1"/>
      <c r="BZ8" s="1"/>
      <c r="CA8" s="1"/>
      <c r="CB8" s="1"/>
    </row>
    <row r="9" spans="1:80" ht="19.5" customHeight="1">
      <c r="A9" s="74">
        <v>852</v>
      </c>
      <c r="B9" s="107">
        <v>85202</v>
      </c>
      <c r="C9" s="251">
        <v>6207</v>
      </c>
      <c r="D9" s="74">
        <f>1!E117</f>
        <v>1996614</v>
      </c>
      <c r="E9" s="74">
        <f>D9</f>
        <v>1996614</v>
      </c>
      <c r="F9" s="74"/>
      <c r="G9" s="74"/>
      <c r="H9" s="74"/>
      <c r="I9" s="74"/>
      <c r="J9" s="74"/>
      <c r="K9" s="74">
        <f>E9</f>
        <v>1996614</v>
      </c>
      <c r="BY9" s="1"/>
      <c r="BZ9" s="1"/>
      <c r="CA9" s="1"/>
      <c r="CB9" s="1"/>
    </row>
    <row r="10" spans="1:80" ht="19.5" customHeight="1">
      <c r="A10" s="74">
        <v>853</v>
      </c>
      <c r="B10" s="107">
        <v>85395</v>
      </c>
      <c r="C10" s="107">
        <v>2008</v>
      </c>
      <c r="D10" s="74">
        <f>1!F139</f>
        <v>1767182</v>
      </c>
      <c r="E10" s="74">
        <f aca="true" t="shared" si="0" ref="E10:E15">F10+K10</f>
        <v>1767182</v>
      </c>
      <c r="F10" s="74">
        <f>D10</f>
        <v>1767182</v>
      </c>
      <c r="G10" s="367">
        <v>59104</v>
      </c>
      <c r="H10" s="367">
        <f>35684+8569</f>
        <v>44253</v>
      </c>
      <c r="I10" s="367"/>
      <c r="J10" s="375"/>
      <c r="K10" s="74"/>
      <c r="BY10" s="1"/>
      <c r="BZ10" s="1"/>
      <c r="CA10" s="1"/>
      <c r="CB10" s="1"/>
    </row>
    <row r="11" spans="1:80" ht="19.5" customHeight="1">
      <c r="A11" s="74"/>
      <c r="B11" s="107">
        <v>85395</v>
      </c>
      <c r="C11" s="107">
        <v>2009</v>
      </c>
      <c r="D11" s="74">
        <f>1!F140</f>
        <v>262358</v>
      </c>
      <c r="E11" s="74">
        <f t="shared" si="0"/>
        <v>262358</v>
      </c>
      <c r="F11" s="74">
        <f>D11</f>
        <v>262358</v>
      </c>
      <c r="G11" s="367">
        <f>10374-150</f>
        <v>10224</v>
      </c>
      <c r="H11" s="367">
        <f>6528+1535-340</f>
        <v>7723</v>
      </c>
      <c r="I11" s="367"/>
      <c r="J11" s="375"/>
      <c r="K11" s="74"/>
      <c r="BY11" s="1"/>
      <c r="BZ11" s="1"/>
      <c r="CA11" s="1"/>
      <c r="CB11" s="1"/>
    </row>
    <row r="12" spans="1:80" ht="19.5" customHeight="1">
      <c r="A12" s="74"/>
      <c r="B12" s="107">
        <v>85395</v>
      </c>
      <c r="C12" s="107">
        <v>2007</v>
      </c>
      <c r="D12" s="74">
        <f>1!F143</f>
        <v>680111</v>
      </c>
      <c r="E12" s="74">
        <f t="shared" si="0"/>
        <v>680111</v>
      </c>
      <c r="F12" s="74">
        <f>D12</f>
        <v>680111</v>
      </c>
      <c r="G12" s="367">
        <f>7168</f>
        <v>7168</v>
      </c>
      <c r="H12" s="367">
        <f>1716+211</f>
        <v>1927</v>
      </c>
      <c r="I12" s="367"/>
      <c r="J12" s="375"/>
      <c r="K12" s="74"/>
      <c r="BY12" s="1"/>
      <c r="BZ12" s="1"/>
      <c r="CA12" s="1"/>
      <c r="CB12" s="1"/>
    </row>
    <row r="13" spans="1:80" ht="19.5" customHeight="1">
      <c r="A13" s="74"/>
      <c r="B13" s="107">
        <v>85395</v>
      </c>
      <c r="C13" s="107">
        <v>2009</v>
      </c>
      <c r="D13" s="74">
        <f>1!F144</f>
        <v>101564</v>
      </c>
      <c r="E13" s="74">
        <f t="shared" si="0"/>
        <v>101564</v>
      </c>
      <c r="F13" s="74">
        <f>D13</f>
        <v>101564</v>
      </c>
      <c r="G13" s="367">
        <v>1265</v>
      </c>
      <c r="H13" s="367">
        <f>303+37</f>
        <v>340</v>
      </c>
      <c r="I13" s="367"/>
      <c r="J13" s="375"/>
      <c r="K13" s="74"/>
      <c r="BY13" s="1"/>
      <c r="BZ13" s="1"/>
      <c r="CA13" s="1"/>
      <c r="CB13" s="1"/>
    </row>
    <row r="14" spans="1:80" ht="19.5" customHeight="1">
      <c r="A14" s="74"/>
      <c r="B14" s="107">
        <v>85395</v>
      </c>
      <c r="C14" s="107">
        <v>6208</v>
      </c>
      <c r="D14" s="74">
        <f>1!G145</f>
        <v>3428</v>
      </c>
      <c r="E14" s="74">
        <f t="shared" si="0"/>
        <v>3428</v>
      </c>
      <c r="F14" s="74">
        <v>0</v>
      </c>
      <c r="G14" s="367"/>
      <c r="H14" s="367"/>
      <c r="I14" s="367"/>
      <c r="J14" s="375"/>
      <c r="K14" s="74">
        <f>D14</f>
        <v>3428</v>
      </c>
      <c r="BY14" s="1"/>
      <c r="BZ14" s="1"/>
      <c r="CA14" s="1"/>
      <c r="CB14" s="1"/>
    </row>
    <row r="15" spans="1:80" ht="19.5" customHeight="1">
      <c r="A15" s="74"/>
      <c r="B15" s="107">
        <v>85395</v>
      </c>
      <c r="C15" s="107">
        <v>6209</v>
      </c>
      <c r="D15" s="74">
        <f>1!G146</f>
        <v>605</v>
      </c>
      <c r="E15" s="74">
        <f t="shared" si="0"/>
        <v>605</v>
      </c>
      <c r="F15" s="74">
        <v>0</v>
      </c>
      <c r="G15" s="367"/>
      <c r="H15" s="367"/>
      <c r="I15" s="367"/>
      <c r="J15" s="375"/>
      <c r="K15" s="74">
        <f>D15</f>
        <v>605</v>
      </c>
      <c r="BY15" s="1"/>
      <c r="BZ15" s="1"/>
      <c r="CA15" s="1"/>
      <c r="CB15" s="1"/>
    </row>
    <row r="16" spans="1:80" ht="19.5" customHeight="1" hidden="1">
      <c r="A16" s="74"/>
      <c r="B16" s="107">
        <v>85395</v>
      </c>
      <c r="C16" s="107">
        <v>2008</v>
      </c>
      <c r="D16" s="74"/>
      <c r="E16" s="74"/>
      <c r="F16" s="74"/>
      <c r="G16" s="74"/>
      <c r="H16" s="74"/>
      <c r="I16" s="74"/>
      <c r="J16" s="74"/>
      <c r="K16" s="74"/>
      <c r="BY16" s="1"/>
      <c r="BZ16" s="1"/>
      <c r="CA16" s="1"/>
      <c r="CB16" s="1"/>
    </row>
    <row r="17" spans="1:80" ht="19.5" customHeight="1" hidden="1">
      <c r="A17" s="74"/>
      <c r="B17" s="107">
        <v>85395</v>
      </c>
      <c r="C17" s="107">
        <v>2009</v>
      </c>
      <c r="D17" s="74"/>
      <c r="E17" s="74"/>
      <c r="F17" s="74"/>
      <c r="G17" s="74"/>
      <c r="H17" s="74"/>
      <c r="I17" s="74"/>
      <c r="J17" s="74"/>
      <c r="K17" s="74"/>
      <c r="BY17" s="1"/>
      <c r="BZ17" s="1"/>
      <c r="CA17" s="1"/>
      <c r="CB17" s="1"/>
    </row>
    <row r="18" spans="1:80" ht="19.5" customHeight="1" hidden="1">
      <c r="A18" s="74"/>
      <c r="B18" s="107">
        <v>85395</v>
      </c>
      <c r="C18" s="107">
        <v>6208</v>
      </c>
      <c r="D18" s="74"/>
      <c r="E18" s="74"/>
      <c r="F18" s="74"/>
      <c r="G18" s="74"/>
      <c r="H18" s="74"/>
      <c r="I18" s="74"/>
      <c r="J18" s="74"/>
      <c r="K18" s="74"/>
      <c r="BY18" s="1"/>
      <c r="BZ18" s="1"/>
      <c r="CA18" s="1"/>
      <c r="CB18" s="1"/>
    </row>
    <row r="19" spans="1:80" ht="19.5" customHeight="1" hidden="1">
      <c r="A19" s="74"/>
      <c r="B19" s="107">
        <v>85395</v>
      </c>
      <c r="C19" s="107">
        <v>6209</v>
      </c>
      <c r="D19" s="74"/>
      <c r="E19" s="74"/>
      <c r="F19" s="74"/>
      <c r="G19" s="74"/>
      <c r="H19" s="74"/>
      <c r="I19" s="74"/>
      <c r="J19" s="74"/>
      <c r="K19" s="74"/>
      <c r="BY19" s="1"/>
      <c r="BZ19" s="1"/>
      <c r="CA19" s="1"/>
      <c r="CB19" s="1"/>
    </row>
    <row r="20" spans="1:80" ht="19.5" customHeight="1" hidden="1">
      <c r="A20" s="74">
        <v>854</v>
      </c>
      <c r="B20" s="107">
        <v>85415</v>
      </c>
      <c r="C20" s="107">
        <v>2330</v>
      </c>
      <c r="D20" s="74"/>
      <c r="E20" s="74"/>
      <c r="F20" s="74"/>
      <c r="G20" s="74"/>
      <c r="H20" s="74"/>
      <c r="I20" s="74"/>
      <c r="J20" s="74"/>
      <c r="K20" s="74"/>
      <c r="BY20" s="1"/>
      <c r="BZ20" s="1"/>
      <c r="CA20" s="1"/>
      <c r="CB20" s="1"/>
    </row>
    <row r="21" spans="1:80" ht="19.5" customHeight="1" hidden="1">
      <c r="A21" s="74"/>
      <c r="B21" s="107"/>
      <c r="C21" s="107"/>
      <c r="D21" s="74"/>
      <c r="E21" s="74"/>
      <c r="F21" s="74"/>
      <c r="G21" s="74"/>
      <c r="H21" s="74"/>
      <c r="I21" s="74"/>
      <c r="J21" s="74"/>
      <c r="K21" s="74"/>
      <c r="BY21" s="1"/>
      <c r="BZ21" s="1"/>
      <c r="CA21" s="1"/>
      <c r="CB21" s="1"/>
    </row>
    <row r="22" spans="1:80" ht="19.5" customHeight="1" hidden="1">
      <c r="A22" s="74">
        <v>921</v>
      </c>
      <c r="B22" s="107">
        <v>92195</v>
      </c>
      <c r="C22" s="107">
        <v>2008</v>
      </c>
      <c r="D22" s="74"/>
      <c r="E22" s="74"/>
      <c r="F22" s="74"/>
      <c r="G22" s="74"/>
      <c r="H22" s="74"/>
      <c r="I22" s="74"/>
      <c r="J22" s="374"/>
      <c r="K22" s="74"/>
      <c r="BY22" s="1"/>
      <c r="BZ22" s="1"/>
      <c r="CA22" s="1"/>
      <c r="CB22" s="1"/>
    </row>
    <row r="23" spans="1:76" s="110" customFormat="1" ht="24.75" customHeight="1">
      <c r="A23" s="828" t="s">
        <v>258</v>
      </c>
      <c r="B23" s="829"/>
      <c r="C23" s="830"/>
      <c r="D23" s="109">
        <f aca="true" t="shared" si="1" ref="D23:K23">SUM(D8:D22)</f>
        <v>4968684</v>
      </c>
      <c r="E23" s="109">
        <f t="shared" si="1"/>
        <v>4968684</v>
      </c>
      <c r="F23" s="109">
        <f t="shared" si="1"/>
        <v>2968037</v>
      </c>
      <c r="G23" s="109">
        <f t="shared" si="1"/>
        <v>178561</v>
      </c>
      <c r="H23" s="109">
        <f t="shared" si="1"/>
        <v>73384</v>
      </c>
      <c r="I23" s="109">
        <f t="shared" si="1"/>
        <v>8270</v>
      </c>
      <c r="J23" s="109">
        <f t="shared" si="1"/>
        <v>0</v>
      </c>
      <c r="K23" s="109">
        <f t="shared" si="1"/>
        <v>2000647</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8" ht="12.75">
      <c r="I28" s="73"/>
    </row>
    <row r="29" ht="12.75">
      <c r="I29" s="73"/>
    </row>
  </sheetData>
  <sheetProtection/>
  <mergeCells count="11">
    <mergeCell ref="A23:C23"/>
    <mergeCell ref="E4:E6"/>
    <mergeCell ref="A4:A6"/>
    <mergeCell ref="B4:B6"/>
    <mergeCell ref="C4:C6"/>
    <mergeCell ref="D4:D6"/>
    <mergeCell ref="A1:K1"/>
    <mergeCell ref="F4:K4"/>
    <mergeCell ref="F5:F6"/>
    <mergeCell ref="G5:I5"/>
    <mergeCell ref="K5:K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IV7"/>
  <sheetViews>
    <sheetView zoomScalePageLayoutView="0"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7" customWidth="1"/>
    <col min="7" max="16384" width="9.125" style="1" customWidth="1"/>
  </cols>
  <sheetData>
    <row r="1" spans="1:6" ht="19.5" customHeight="1">
      <c r="A1" s="841" t="s">
        <v>496</v>
      </c>
      <c r="B1" s="841"/>
      <c r="C1" s="841"/>
      <c r="D1" s="841"/>
      <c r="E1" s="841"/>
      <c r="F1" s="841"/>
    </row>
    <row r="2" spans="5:6" ht="19.5" customHeight="1">
      <c r="E2" s="5"/>
      <c r="F2" s="101"/>
    </row>
    <row r="3" ht="19.5" customHeight="1">
      <c r="F3" s="102" t="s">
        <v>178</v>
      </c>
    </row>
    <row r="4" spans="1:6" ht="19.5" customHeight="1">
      <c r="A4" s="13" t="s">
        <v>195</v>
      </c>
      <c r="B4" s="13" t="s">
        <v>139</v>
      </c>
      <c r="C4" s="13" t="s">
        <v>140</v>
      </c>
      <c r="D4" s="13" t="s">
        <v>264</v>
      </c>
      <c r="E4" s="13" t="s">
        <v>181</v>
      </c>
      <c r="F4" s="103" t="s">
        <v>180</v>
      </c>
    </row>
    <row r="5" spans="1:6" ht="7.5" customHeight="1">
      <c r="A5" s="16">
        <v>1</v>
      </c>
      <c r="B5" s="16">
        <v>2</v>
      </c>
      <c r="C5" s="16">
        <v>3</v>
      </c>
      <c r="D5" s="16">
        <v>4</v>
      </c>
      <c r="E5" s="16">
        <v>5</v>
      </c>
      <c r="F5" s="86">
        <v>6</v>
      </c>
    </row>
    <row r="6" spans="1:6" ht="76.5">
      <c r="A6" s="24">
        <v>1</v>
      </c>
      <c r="B6" s="24">
        <v>801</v>
      </c>
      <c r="C6" s="24">
        <v>80120</v>
      </c>
      <c r="D6" s="24">
        <v>2540</v>
      </c>
      <c r="E6" s="451" t="s">
        <v>497</v>
      </c>
      <c r="F6" s="92">
        <f>2!O241</f>
        <v>0</v>
      </c>
    </row>
    <row r="7" spans="1:256" s="110" customFormat="1" ht="30" customHeight="1">
      <c r="A7" s="842" t="s">
        <v>258</v>
      </c>
      <c r="B7" s="843"/>
      <c r="C7" s="843"/>
      <c r="D7" s="843"/>
      <c r="E7" s="844"/>
      <c r="F7" s="108">
        <f>SUM(F6)</f>
        <v>0</v>
      </c>
      <c r="IV7" s="111">
        <f>SUM(F7:IU7)</f>
        <v>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H27"/>
  <sheetViews>
    <sheetView zoomScalePageLayoutView="0" workbookViewId="0" topLeftCell="A19">
      <selection activeCell="F25" sqref="F25"/>
    </sheetView>
  </sheetViews>
  <sheetFormatPr defaultColWidth="9.00390625" defaultRowHeight="12.75"/>
  <cols>
    <col min="1" max="1" width="3.125" style="0" customWidth="1"/>
    <col min="2" max="2" width="5.00390625" style="0" customWidth="1"/>
    <col min="3" max="3" width="7.00390625" style="0" customWidth="1"/>
    <col min="4" max="4" width="5.00390625" style="0" customWidth="1"/>
    <col min="5" max="5" width="29.375" style="590" customWidth="1"/>
    <col min="6" max="6" width="12.375" style="99" customWidth="1"/>
    <col min="7" max="7" width="12.375" style="242" customWidth="1"/>
    <col min="8" max="8" width="11.625" style="242" customWidth="1"/>
  </cols>
  <sheetData>
    <row r="1" spans="1:6" ht="48.75" customHeight="1">
      <c r="A1" s="772" t="s">
        <v>501</v>
      </c>
      <c r="B1" s="772"/>
      <c r="C1" s="772"/>
      <c r="D1" s="772"/>
      <c r="E1" s="772"/>
      <c r="F1" s="772"/>
    </row>
    <row r="2" spans="5:6" ht="19.5" customHeight="1">
      <c r="E2" s="588"/>
      <c r="F2" s="97"/>
    </row>
    <row r="3" spans="5:6" ht="19.5" customHeight="1">
      <c r="E3" s="588"/>
      <c r="F3" s="98" t="s">
        <v>178</v>
      </c>
    </row>
    <row r="4" spans="1:8" ht="19.5" customHeight="1">
      <c r="A4" s="584"/>
      <c r="B4" s="584"/>
      <c r="C4" s="584"/>
      <c r="D4" s="584"/>
      <c r="E4" s="589"/>
      <c r="F4" s="846" t="s">
        <v>509</v>
      </c>
      <c r="G4" s="847"/>
      <c r="H4" s="848"/>
    </row>
    <row r="5" spans="1:8" ht="90.75" customHeight="1">
      <c r="A5" s="13" t="s">
        <v>195</v>
      </c>
      <c r="B5" s="579" t="s">
        <v>139</v>
      </c>
      <c r="C5" s="579" t="s">
        <v>140</v>
      </c>
      <c r="D5" s="13" t="s">
        <v>262</v>
      </c>
      <c r="E5" s="579" t="s">
        <v>179</v>
      </c>
      <c r="F5" s="583" t="s">
        <v>503</v>
      </c>
      <c r="G5" s="580" t="s">
        <v>507</v>
      </c>
      <c r="H5" s="580" t="s">
        <v>508</v>
      </c>
    </row>
    <row r="6" spans="1:8" s="58" customFormat="1" ht="7.5" customHeight="1">
      <c r="A6" s="16">
        <v>1</v>
      </c>
      <c r="B6" s="16">
        <v>2</v>
      </c>
      <c r="C6" s="16">
        <v>3</v>
      </c>
      <c r="D6" s="16">
        <v>4</v>
      </c>
      <c r="E6" s="219">
        <v>5</v>
      </c>
      <c r="F6" s="86">
        <v>6</v>
      </c>
      <c r="G6" s="585">
        <v>7</v>
      </c>
      <c r="H6" s="585">
        <v>8</v>
      </c>
    </row>
    <row r="7" spans="1:8" ht="168.75">
      <c r="A7" s="75">
        <v>1</v>
      </c>
      <c r="B7" s="75" t="s">
        <v>406</v>
      </c>
      <c r="C7" s="75" t="s">
        <v>411</v>
      </c>
      <c r="D7" s="75">
        <v>2830</v>
      </c>
      <c r="E7" s="79" t="s">
        <v>506</v>
      </c>
      <c r="F7" s="100">
        <f>2!E17</f>
        <v>49680</v>
      </c>
      <c r="G7" s="586">
        <f>2!F17</f>
        <v>49680</v>
      </c>
      <c r="H7" s="587"/>
    </row>
    <row r="8" spans="1:8" ht="123.75">
      <c r="A8" s="75">
        <v>2</v>
      </c>
      <c r="B8" s="75">
        <v>754</v>
      </c>
      <c r="C8" s="75">
        <v>75495</v>
      </c>
      <c r="D8" s="75">
        <v>2320</v>
      </c>
      <c r="E8" s="79" t="s">
        <v>136</v>
      </c>
      <c r="F8" s="100">
        <f>2!E195</f>
        <v>65600</v>
      </c>
      <c r="G8" s="586">
        <f>2!F195</f>
        <v>65600</v>
      </c>
      <c r="H8" s="587"/>
    </row>
    <row r="9" spans="1:8" ht="157.5">
      <c r="A9" s="75">
        <v>3</v>
      </c>
      <c r="B9" s="75">
        <v>801</v>
      </c>
      <c r="C9" s="75">
        <v>80130</v>
      </c>
      <c r="D9" s="75">
        <v>2330</v>
      </c>
      <c r="E9" s="79" t="s">
        <v>35</v>
      </c>
      <c r="F9" s="100">
        <f>2!O253</f>
        <v>30000</v>
      </c>
      <c r="G9" s="586">
        <v>30000</v>
      </c>
      <c r="H9" s="587"/>
    </row>
    <row r="10" spans="1:8" ht="112.5">
      <c r="A10" s="452">
        <v>4</v>
      </c>
      <c r="B10" s="75">
        <v>801</v>
      </c>
      <c r="C10" s="75">
        <v>80130</v>
      </c>
      <c r="D10" s="75">
        <v>2320</v>
      </c>
      <c r="E10" s="79" t="s">
        <v>815</v>
      </c>
      <c r="F10" s="100">
        <f>2!O254</f>
        <v>10000</v>
      </c>
      <c r="G10" s="586">
        <v>10000</v>
      </c>
      <c r="H10" s="587"/>
    </row>
    <row r="11" spans="1:8" ht="67.5">
      <c r="A11" s="452">
        <v>5</v>
      </c>
      <c r="B11" s="75">
        <v>801</v>
      </c>
      <c r="C11" s="75">
        <v>80146</v>
      </c>
      <c r="D11" s="75">
        <v>2310</v>
      </c>
      <c r="E11" s="79" t="s">
        <v>500</v>
      </c>
      <c r="F11" s="100">
        <f>2!O316</f>
        <v>10000</v>
      </c>
      <c r="G11" s="586">
        <v>10000</v>
      </c>
      <c r="H11" s="587"/>
    </row>
    <row r="12" spans="1:8" ht="146.25">
      <c r="A12" s="75">
        <v>6</v>
      </c>
      <c r="B12" s="75">
        <v>852</v>
      </c>
      <c r="C12" s="75">
        <v>85201</v>
      </c>
      <c r="D12" s="75">
        <v>2320</v>
      </c>
      <c r="E12" s="79" t="s">
        <v>32</v>
      </c>
      <c r="F12" s="100">
        <f>2!O392</f>
        <v>288000</v>
      </c>
      <c r="G12" s="587">
        <v>178000</v>
      </c>
      <c r="H12" s="587"/>
    </row>
    <row r="13" spans="1:8" ht="123.75">
      <c r="A13" s="75">
        <v>7</v>
      </c>
      <c r="B13" s="75">
        <v>852</v>
      </c>
      <c r="C13" s="75">
        <v>85204</v>
      </c>
      <c r="D13" s="75">
        <v>2320</v>
      </c>
      <c r="E13" s="79" t="s">
        <v>36</v>
      </c>
      <c r="F13" s="100">
        <f>2!O475</f>
        <v>104000</v>
      </c>
      <c r="G13" s="587">
        <v>74000</v>
      </c>
      <c r="H13" s="587"/>
    </row>
    <row r="14" spans="1:8" ht="45">
      <c r="A14" s="75">
        <v>8</v>
      </c>
      <c r="B14" s="75">
        <v>853</v>
      </c>
      <c r="C14" s="75">
        <v>85311</v>
      </c>
      <c r="D14" s="75">
        <v>2320</v>
      </c>
      <c r="E14" s="79" t="s">
        <v>691</v>
      </c>
      <c r="F14" s="100">
        <f>2!O527</f>
        <v>20122</v>
      </c>
      <c r="G14" s="587">
        <v>19300</v>
      </c>
      <c r="H14" s="587"/>
    </row>
    <row r="15" spans="1:8" ht="146.25" hidden="1">
      <c r="A15" s="75">
        <v>9</v>
      </c>
      <c r="B15" s="75"/>
      <c r="C15" s="75">
        <v>85395</v>
      </c>
      <c r="D15" s="289" t="s">
        <v>757</v>
      </c>
      <c r="E15" s="79" t="s">
        <v>281</v>
      </c>
      <c r="F15" s="100">
        <f>2!O582+2!O580</f>
        <v>0</v>
      </c>
      <c r="G15" s="587"/>
      <c r="H15" s="587"/>
    </row>
    <row r="16" spans="1:8" ht="137.25" customHeight="1" hidden="1">
      <c r="A16" s="75">
        <v>10</v>
      </c>
      <c r="B16" s="75"/>
      <c r="C16" s="75"/>
      <c r="D16" s="290" t="s">
        <v>756</v>
      </c>
      <c r="E16" s="79" t="s">
        <v>281</v>
      </c>
      <c r="F16" s="100">
        <f>2!O583+2!O581</f>
        <v>0</v>
      </c>
      <c r="G16" s="587"/>
      <c r="H16" s="587"/>
    </row>
    <row r="17" spans="1:8" ht="213.75">
      <c r="A17" s="75">
        <v>11</v>
      </c>
      <c r="B17" s="75">
        <v>854</v>
      </c>
      <c r="C17" s="75">
        <v>85406</v>
      </c>
      <c r="D17" s="75">
        <v>2310</v>
      </c>
      <c r="E17" s="79" t="s">
        <v>33</v>
      </c>
      <c r="F17" s="100">
        <f>2!O641</f>
        <v>304720</v>
      </c>
      <c r="G17" s="587">
        <v>304720</v>
      </c>
      <c r="H17" s="587"/>
    </row>
    <row r="18" spans="1:8" ht="90">
      <c r="A18" s="75">
        <v>12</v>
      </c>
      <c r="B18" s="75"/>
      <c r="C18" s="75">
        <v>92116</v>
      </c>
      <c r="D18" s="75">
        <v>2310</v>
      </c>
      <c r="E18" s="79" t="s">
        <v>34</v>
      </c>
      <c r="F18" s="100">
        <f>2!O715</f>
        <v>76000</v>
      </c>
      <c r="G18" s="587">
        <f>F18</f>
        <v>76000</v>
      </c>
      <c r="H18" s="587"/>
    </row>
    <row r="19" spans="1:8" ht="45">
      <c r="A19" s="75">
        <v>13</v>
      </c>
      <c r="B19" s="75"/>
      <c r="C19" s="75">
        <v>92108</v>
      </c>
      <c r="D19" s="75">
        <v>2820</v>
      </c>
      <c r="E19" s="79" t="s">
        <v>16</v>
      </c>
      <c r="F19" s="100">
        <f>2!O713</f>
        <v>5200</v>
      </c>
      <c r="G19" s="587"/>
      <c r="H19" s="587">
        <v>5000</v>
      </c>
    </row>
    <row r="20" spans="1:8" ht="45">
      <c r="A20" s="75">
        <v>14</v>
      </c>
      <c r="B20" s="75"/>
      <c r="C20" s="75">
        <v>92195</v>
      </c>
      <c r="D20" s="75">
        <v>2810</v>
      </c>
      <c r="E20" s="79" t="s">
        <v>16</v>
      </c>
      <c r="F20" s="100">
        <f>2!O718</f>
        <v>1800</v>
      </c>
      <c r="G20" s="587"/>
      <c r="H20" s="587">
        <v>9000</v>
      </c>
    </row>
    <row r="21" spans="1:8" ht="45">
      <c r="A21" s="75">
        <v>14</v>
      </c>
      <c r="B21" s="75"/>
      <c r="C21" s="75">
        <v>92195</v>
      </c>
      <c r="D21" s="75">
        <v>2820</v>
      </c>
      <c r="E21" s="79" t="s">
        <v>16</v>
      </c>
      <c r="F21" s="100">
        <f>2!O719</f>
        <v>7000</v>
      </c>
      <c r="G21" s="587"/>
      <c r="H21" s="587">
        <v>9000</v>
      </c>
    </row>
    <row r="22" spans="1:8" ht="45">
      <c r="A22" s="75">
        <v>15</v>
      </c>
      <c r="B22" s="75">
        <v>900</v>
      </c>
      <c r="C22" s="75">
        <v>90019</v>
      </c>
      <c r="D22" s="75">
        <v>2810</v>
      </c>
      <c r="E22" s="79" t="s">
        <v>349</v>
      </c>
      <c r="F22" s="100">
        <f>SUM(G22:H22)</f>
        <v>16000</v>
      </c>
      <c r="G22" s="587"/>
      <c r="H22" s="587">
        <f>2!O701</f>
        <v>16000</v>
      </c>
    </row>
    <row r="23" spans="1:8" ht="45">
      <c r="A23" s="75">
        <v>16</v>
      </c>
      <c r="B23" s="75">
        <v>900</v>
      </c>
      <c r="C23" s="75">
        <v>90019</v>
      </c>
      <c r="D23" s="75">
        <v>2820</v>
      </c>
      <c r="E23" s="79" t="s">
        <v>16</v>
      </c>
      <c r="F23" s="100">
        <f>SUM(G23:H23)</f>
        <v>24000</v>
      </c>
      <c r="G23" s="587"/>
      <c r="H23" s="587">
        <f>2!O702</f>
        <v>24000</v>
      </c>
    </row>
    <row r="24" spans="1:8" ht="45">
      <c r="A24" s="75">
        <v>17</v>
      </c>
      <c r="B24" s="75">
        <v>926</v>
      </c>
      <c r="C24" s="75">
        <v>92605</v>
      </c>
      <c r="D24" s="75">
        <v>2820</v>
      </c>
      <c r="E24" s="79" t="s">
        <v>16</v>
      </c>
      <c r="F24" s="100">
        <f>2!O732</f>
        <v>50000</v>
      </c>
      <c r="G24" s="587"/>
      <c r="H24" s="587">
        <v>50000</v>
      </c>
    </row>
    <row r="25" spans="1:8" s="53" customFormat="1" ht="30" customHeight="1">
      <c r="A25" s="822" t="s">
        <v>258</v>
      </c>
      <c r="B25" s="822"/>
      <c r="C25" s="822"/>
      <c r="D25" s="822"/>
      <c r="E25" s="822"/>
      <c r="F25" s="112">
        <f>SUM(F7:F24)</f>
        <v>1062122</v>
      </c>
      <c r="G25" s="112">
        <f>SUM(G7:G24)</f>
        <v>817300</v>
      </c>
      <c r="H25" s="112">
        <f>SUM(H7:H24)</f>
        <v>113000</v>
      </c>
    </row>
    <row r="26" spans="1:8" ht="12.75">
      <c r="A26" s="845" t="s">
        <v>719</v>
      </c>
      <c r="B26" s="845"/>
      <c r="C26" s="845"/>
      <c r="D26" s="845"/>
      <c r="E26" s="845"/>
      <c r="F26" s="581">
        <f>F15+F16</f>
        <v>0</v>
      </c>
      <c r="G26" s="849"/>
      <c r="H26" s="850"/>
    </row>
    <row r="27" spans="1:8" ht="12.75">
      <c r="A27" s="845"/>
      <c r="B27" s="845"/>
      <c r="C27" s="845"/>
      <c r="D27" s="845"/>
      <c r="E27" s="845"/>
      <c r="F27" s="582"/>
      <c r="G27" s="851"/>
      <c r="H27" s="852"/>
    </row>
  </sheetData>
  <sheetProtection/>
  <mergeCells count="5">
    <mergeCell ref="A1:F1"/>
    <mergeCell ref="A25:E25"/>
    <mergeCell ref="A26:E27"/>
    <mergeCell ref="F4:H4"/>
    <mergeCell ref="G26:H27"/>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3:D11"/>
  <sheetViews>
    <sheetView zoomScalePageLayoutView="0" workbookViewId="0" topLeftCell="A1">
      <selection activeCell="B8" sqref="B8"/>
    </sheetView>
  </sheetViews>
  <sheetFormatPr defaultColWidth="9.00390625" defaultRowHeight="12.75"/>
  <cols>
    <col min="1" max="1" width="6.625" style="0" customWidth="1"/>
    <col min="2" max="2" width="38.00390625" style="0" customWidth="1"/>
    <col min="3" max="3" width="13.25390625" style="0" customWidth="1"/>
    <col min="4" max="4" width="12.875" style="0" bestFit="1" customWidth="1"/>
  </cols>
  <sheetData>
    <row r="3" spans="1:4" ht="23.25" customHeight="1">
      <c r="A3" s="853" t="s">
        <v>55</v>
      </c>
      <c r="B3" s="853" t="s">
        <v>132</v>
      </c>
      <c r="C3" s="853" t="s">
        <v>116</v>
      </c>
      <c r="D3" s="853"/>
    </row>
    <row r="4" spans="1:4" ht="21" customHeight="1">
      <c r="A4" s="853"/>
      <c r="B4" s="853"/>
      <c r="C4" s="66" t="s">
        <v>57</v>
      </c>
      <c r="D4" s="66" t="s">
        <v>58</v>
      </c>
    </row>
    <row r="5" spans="1:4" ht="78.75">
      <c r="A5" s="857">
        <v>1</v>
      </c>
      <c r="B5" s="243" t="s">
        <v>117</v>
      </c>
      <c r="C5" s="78"/>
      <c r="D5" s="78">
        <f>'13'!C13+'13'!C14</f>
        <v>0</v>
      </c>
    </row>
    <row r="6" spans="1:4" ht="78.75">
      <c r="A6" s="858"/>
      <c r="B6" s="243" t="s">
        <v>781</v>
      </c>
      <c r="C6" s="78">
        <f>'13'!C15</f>
        <v>0</v>
      </c>
      <c r="D6" s="78">
        <v>0</v>
      </c>
    </row>
    <row r="7" spans="1:4" ht="94.5">
      <c r="A7" s="859"/>
      <c r="B7" s="243" t="s">
        <v>129</v>
      </c>
      <c r="C7" s="78"/>
      <c r="D7" s="78">
        <f>'13'!C16</f>
        <v>0</v>
      </c>
    </row>
    <row r="8" spans="1:4" ht="15.75">
      <c r="A8" s="368">
        <v>2</v>
      </c>
      <c r="B8" s="243" t="s">
        <v>130</v>
      </c>
      <c r="C8" s="78"/>
      <c r="D8" s="78">
        <f>'13'!C17</f>
        <v>0</v>
      </c>
    </row>
    <row r="9" spans="1:4" ht="15.75">
      <c r="A9" s="368">
        <v>3</v>
      </c>
      <c r="B9" s="243" t="s">
        <v>131</v>
      </c>
      <c r="C9" s="78">
        <f>'13'!C12</f>
        <v>0</v>
      </c>
      <c r="D9" s="78"/>
    </row>
    <row r="10" spans="1:4" ht="24" customHeight="1">
      <c r="A10" s="854" t="s">
        <v>96</v>
      </c>
      <c r="B10" s="855"/>
      <c r="C10" s="244">
        <f>SUM(C5:C9)</f>
        <v>0</v>
      </c>
      <c r="D10" s="244">
        <f>SUM(D5:D9)</f>
        <v>0</v>
      </c>
    </row>
    <row r="11" spans="1:4" ht="22.5" customHeight="1">
      <c r="A11" s="853" t="s">
        <v>782</v>
      </c>
      <c r="B11" s="853"/>
      <c r="C11" s="856">
        <f>C10+D10</f>
        <v>0</v>
      </c>
      <c r="D11" s="856"/>
    </row>
  </sheetData>
  <sheetProtection/>
  <mergeCells count="7">
    <mergeCell ref="C3:D3"/>
    <mergeCell ref="A11:B11"/>
    <mergeCell ref="A10:B10"/>
    <mergeCell ref="C11:D11"/>
    <mergeCell ref="B3:B4"/>
    <mergeCell ref="A3:A4"/>
    <mergeCell ref="A5:A7"/>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28"/>
  <sheetViews>
    <sheetView zoomScalePageLayoutView="0" workbookViewId="0" topLeftCell="A2">
      <selection activeCell="C8" sqref="C8"/>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860" t="s">
        <v>400</v>
      </c>
      <c r="B1" s="860"/>
      <c r="C1" s="860"/>
      <c r="D1" s="5"/>
      <c r="E1" s="5"/>
      <c r="F1" s="5"/>
      <c r="G1" s="5"/>
      <c r="H1" s="5"/>
      <c r="I1" s="5"/>
      <c r="J1" s="5"/>
    </row>
    <row r="2" spans="1:7" ht="19.5" customHeight="1">
      <c r="A2" s="860" t="s">
        <v>182</v>
      </c>
      <c r="B2" s="860"/>
      <c r="C2" s="860"/>
      <c r="D2" s="5"/>
      <c r="E2" s="5"/>
      <c r="F2" s="5"/>
      <c r="G2" s="5"/>
    </row>
    <row r="5" ht="12.75">
      <c r="C5" s="68" t="s">
        <v>178</v>
      </c>
    </row>
    <row r="6" spans="1:10" ht="19.5" customHeight="1">
      <c r="A6" s="13" t="s">
        <v>195</v>
      </c>
      <c r="B6" s="13" t="s">
        <v>137</v>
      </c>
      <c r="C6" s="69" t="s">
        <v>478</v>
      </c>
      <c r="D6" s="6"/>
      <c r="E6" s="6"/>
      <c r="F6" s="6"/>
      <c r="G6" s="6"/>
      <c r="H6" s="6"/>
      <c r="I6" s="7"/>
      <c r="J6" s="7"/>
    </row>
    <row r="7" spans="1:10" ht="19.5" customHeight="1">
      <c r="A7" s="21" t="s">
        <v>147</v>
      </c>
      <c r="B7" s="31" t="s">
        <v>197</v>
      </c>
      <c r="C7" s="70"/>
      <c r="D7" s="6"/>
      <c r="E7" s="6"/>
      <c r="F7" s="6"/>
      <c r="G7" s="6"/>
      <c r="H7" s="6"/>
      <c r="I7" s="7"/>
      <c r="J7" s="7"/>
    </row>
    <row r="8" spans="1:10" ht="19.5" customHeight="1">
      <c r="A8" s="21" t="s">
        <v>152</v>
      </c>
      <c r="B8" s="31" t="s">
        <v>146</v>
      </c>
      <c r="C8" s="70">
        <f>SUM(C9:C10)</f>
        <v>0</v>
      </c>
      <c r="D8" s="6"/>
      <c r="E8" s="6"/>
      <c r="F8" s="6"/>
      <c r="G8" s="6"/>
      <c r="H8" s="6"/>
      <c r="I8" s="7"/>
      <c r="J8" s="7"/>
    </row>
    <row r="9" spans="1:10" ht="19.5" customHeight="1">
      <c r="A9" s="22">
        <v>1</v>
      </c>
      <c r="B9" s="113" t="s">
        <v>622</v>
      </c>
      <c r="C9" s="114"/>
      <c r="D9" s="6"/>
      <c r="E9" s="6"/>
      <c r="F9" s="6"/>
      <c r="G9" s="6"/>
      <c r="H9" s="6"/>
      <c r="I9" s="7"/>
      <c r="J9" s="7"/>
    </row>
    <row r="10" spans="1:10" ht="19.5" customHeight="1">
      <c r="A10" s="22"/>
      <c r="B10" s="113" t="s">
        <v>531</v>
      </c>
      <c r="C10" s="114"/>
      <c r="D10" s="6"/>
      <c r="E10" s="6"/>
      <c r="F10" s="6"/>
      <c r="G10" s="6"/>
      <c r="H10" s="6"/>
      <c r="I10" s="7"/>
      <c r="J10" s="7"/>
    </row>
    <row r="11" spans="1:10" ht="19.5" customHeight="1">
      <c r="A11" s="21" t="s">
        <v>153</v>
      </c>
      <c r="B11" s="31" t="s">
        <v>145</v>
      </c>
      <c r="C11" s="70">
        <f>SUM(C12:C17)</f>
        <v>0</v>
      </c>
      <c r="D11" s="6"/>
      <c r="E11" s="6"/>
      <c r="F11" s="6"/>
      <c r="G11" s="6"/>
      <c r="H11" s="6"/>
      <c r="I11" s="7"/>
      <c r="J11" s="7"/>
    </row>
    <row r="12" spans="1:10" ht="19.5" customHeight="1">
      <c r="A12" s="22">
        <v>1</v>
      </c>
      <c r="B12" s="146" t="s">
        <v>174</v>
      </c>
      <c r="C12" s="114"/>
      <c r="D12" s="6"/>
      <c r="E12" s="6"/>
      <c r="F12" s="6"/>
      <c r="G12" s="6"/>
      <c r="H12" s="6"/>
      <c r="I12" s="7"/>
      <c r="J12" s="7"/>
    </row>
    <row r="13" spans="1:10" ht="39" thickBot="1">
      <c r="A13" s="22">
        <v>2</v>
      </c>
      <c r="B13" s="146" t="s">
        <v>716</v>
      </c>
      <c r="C13" s="114"/>
      <c r="D13" s="6"/>
      <c r="E13" s="6"/>
      <c r="F13" s="6"/>
      <c r="G13" s="6"/>
      <c r="H13" s="6"/>
      <c r="I13" s="7"/>
      <c r="J13" s="7"/>
    </row>
    <row r="14" spans="1:10" ht="15">
      <c r="A14" s="22" t="s">
        <v>12</v>
      </c>
      <c r="B14" s="559" t="s">
        <v>479</v>
      </c>
      <c r="C14" s="114"/>
      <c r="D14" s="6"/>
      <c r="E14" s="6"/>
      <c r="F14" s="6"/>
      <c r="G14" s="6"/>
      <c r="H14" s="6"/>
      <c r="I14" s="7"/>
      <c r="J14" s="7"/>
    </row>
    <row r="15" spans="1:10" ht="25.5">
      <c r="A15" s="22">
        <v>3</v>
      </c>
      <c r="B15" s="146" t="s">
        <v>20</v>
      </c>
      <c r="C15" s="114"/>
      <c r="D15" s="6"/>
      <c r="E15" s="6"/>
      <c r="F15" s="6"/>
      <c r="G15" s="6"/>
      <c r="H15" s="6"/>
      <c r="I15" s="7"/>
      <c r="J15" s="7"/>
    </row>
    <row r="16" spans="1:10" ht="38.25">
      <c r="A16" s="22">
        <v>4</v>
      </c>
      <c r="B16" s="146" t="s">
        <v>738</v>
      </c>
      <c r="C16" s="114"/>
      <c r="D16" s="6"/>
      <c r="E16" s="6"/>
      <c r="F16" s="6"/>
      <c r="G16" s="6"/>
      <c r="H16" s="6"/>
      <c r="I16" s="7"/>
      <c r="J16" s="7"/>
    </row>
    <row r="17" spans="1:10" ht="19.5" customHeight="1">
      <c r="A17" s="22">
        <v>5</v>
      </c>
      <c r="B17" s="146" t="s">
        <v>717</v>
      </c>
      <c r="C17" s="114"/>
      <c r="D17" s="6"/>
      <c r="E17" s="6"/>
      <c r="F17" s="6"/>
      <c r="G17" s="6"/>
      <c r="H17" s="6"/>
      <c r="I17" s="7"/>
      <c r="J17" s="7"/>
    </row>
    <row r="18" spans="1:10" ht="19.5" customHeight="1">
      <c r="A18" s="21" t="s">
        <v>175</v>
      </c>
      <c r="B18" s="31" t="s">
        <v>199</v>
      </c>
      <c r="C18" s="70">
        <f>C7+C8-C11</f>
        <v>0</v>
      </c>
      <c r="D18" s="6"/>
      <c r="E18" s="6"/>
      <c r="F18" s="6"/>
      <c r="G18" s="6"/>
      <c r="H18" s="6"/>
      <c r="I18" s="7"/>
      <c r="J18" s="7"/>
    </row>
    <row r="19" spans="1:10" ht="15">
      <c r="A19" s="6"/>
      <c r="B19" s="6"/>
      <c r="C19" s="71"/>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7"/>
      <c r="B25" s="7"/>
      <c r="C25" s="71"/>
      <c r="D25" s="7"/>
      <c r="E25" s="7"/>
      <c r="F25" s="7"/>
      <c r="G25" s="7"/>
      <c r="H25" s="7"/>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8.xml><?xml version="1.0" encoding="utf-8"?>
<worksheet xmlns="http://schemas.openxmlformats.org/spreadsheetml/2006/main" xmlns:r="http://schemas.openxmlformats.org/officeDocument/2006/relationships">
  <dimension ref="A1:J29"/>
  <sheetViews>
    <sheetView zoomScalePageLayoutView="0" workbookViewId="0" topLeftCell="A1">
      <selection activeCell="B9" sqref="B9"/>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860" t="s">
        <v>400</v>
      </c>
      <c r="B1" s="860"/>
      <c r="C1" s="860"/>
      <c r="D1" s="5"/>
      <c r="E1" s="5"/>
      <c r="F1" s="5"/>
      <c r="G1" s="5"/>
      <c r="H1" s="5"/>
      <c r="I1" s="5"/>
      <c r="J1" s="5"/>
    </row>
    <row r="2" spans="1:7" ht="19.5" customHeight="1">
      <c r="A2" s="860" t="s">
        <v>236</v>
      </c>
      <c r="B2" s="860"/>
      <c r="C2" s="860"/>
      <c r="D2" s="5"/>
      <c r="E2" s="5"/>
      <c r="F2" s="5"/>
      <c r="G2" s="5"/>
    </row>
    <row r="4" ht="12.75">
      <c r="C4" s="68" t="s">
        <v>178</v>
      </c>
    </row>
    <row r="5" spans="1:10" ht="19.5" customHeight="1">
      <c r="A5" s="13" t="s">
        <v>195</v>
      </c>
      <c r="B5" s="13" t="s">
        <v>137</v>
      </c>
      <c r="C5" s="69" t="s">
        <v>478</v>
      </c>
      <c r="D5" s="6"/>
      <c r="E5" s="6"/>
      <c r="F5" s="6"/>
      <c r="G5" s="6"/>
      <c r="H5" s="6"/>
      <c r="I5" s="7"/>
      <c r="J5" s="7"/>
    </row>
    <row r="6" spans="1:10" ht="19.5" customHeight="1">
      <c r="A6" s="21" t="s">
        <v>147</v>
      </c>
      <c r="B6" s="31" t="s">
        <v>197</v>
      </c>
      <c r="C6" s="70">
        <v>102690</v>
      </c>
      <c r="D6" s="6"/>
      <c r="E6" s="6"/>
      <c r="F6" s="6"/>
      <c r="G6" s="6"/>
      <c r="H6" s="6"/>
      <c r="I6" s="7"/>
      <c r="J6" s="7"/>
    </row>
    <row r="7" spans="1:10" ht="19.5" customHeight="1">
      <c r="A7" s="21" t="s">
        <v>152</v>
      </c>
      <c r="B7" s="31" t="s">
        <v>146</v>
      </c>
      <c r="C7" s="70">
        <f>SUM(C8:C10)</f>
        <v>1154000</v>
      </c>
      <c r="D7" s="6"/>
      <c r="E7" s="6"/>
      <c r="F7" s="6"/>
      <c r="G7" s="6"/>
      <c r="H7" s="6"/>
      <c r="I7" s="7"/>
      <c r="J7" s="7"/>
    </row>
    <row r="8" spans="1:10" ht="19.5" customHeight="1">
      <c r="A8" s="22" t="s">
        <v>148</v>
      </c>
      <c r="B8" s="113" t="s">
        <v>623</v>
      </c>
      <c r="C8" s="114">
        <v>1150000</v>
      </c>
      <c r="D8" s="6"/>
      <c r="E8" s="6"/>
      <c r="F8" s="6"/>
      <c r="G8" s="6"/>
      <c r="H8" s="6"/>
      <c r="I8" s="7"/>
      <c r="J8" s="7"/>
    </row>
    <row r="9" spans="1:10" ht="19.5" customHeight="1">
      <c r="A9" s="22" t="s">
        <v>149</v>
      </c>
      <c r="B9" s="113" t="s">
        <v>834</v>
      </c>
      <c r="C9" s="114">
        <v>1000</v>
      </c>
      <c r="D9" s="6"/>
      <c r="E9" s="6"/>
      <c r="F9" s="6"/>
      <c r="G9" s="6"/>
      <c r="H9" s="6"/>
      <c r="I9" s="7"/>
      <c r="J9" s="7"/>
    </row>
    <row r="10" spans="1:10" ht="19.5" customHeight="1">
      <c r="A10" s="22" t="s">
        <v>150</v>
      </c>
      <c r="B10" s="113" t="s">
        <v>624</v>
      </c>
      <c r="C10" s="114">
        <v>3000</v>
      </c>
      <c r="D10" s="6"/>
      <c r="E10" s="6"/>
      <c r="F10" s="6"/>
      <c r="G10" s="6"/>
      <c r="H10" s="6"/>
      <c r="I10" s="7"/>
      <c r="J10" s="7"/>
    </row>
    <row r="11" spans="1:10" ht="19.5" customHeight="1">
      <c r="A11" s="21" t="s">
        <v>153</v>
      </c>
      <c r="B11" s="31" t="s">
        <v>145</v>
      </c>
      <c r="C11" s="70">
        <f>C12+C18</f>
        <v>1086240</v>
      </c>
      <c r="D11" s="6"/>
      <c r="E11" s="6"/>
      <c r="F11" s="6"/>
      <c r="G11" s="6"/>
      <c r="H11" s="6"/>
      <c r="I11" s="7"/>
      <c r="J11" s="7"/>
    </row>
    <row r="12" spans="1:10" ht="19.5" customHeight="1">
      <c r="A12" s="22" t="s">
        <v>148</v>
      </c>
      <c r="B12" s="113" t="s">
        <v>174</v>
      </c>
      <c r="C12" s="114">
        <f>SUM(C13:C17)</f>
        <v>1086240</v>
      </c>
      <c r="D12" s="6"/>
      <c r="E12" s="6"/>
      <c r="F12" s="6"/>
      <c r="G12" s="6"/>
      <c r="H12" s="6"/>
      <c r="I12" s="7"/>
      <c r="J12" s="7"/>
    </row>
    <row r="13" spans="1:10" ht="15" customHeight="1">
      <c r="A13" s="22"/>
      <c r="B13" s="66" t="s">
        <v>578</v>
      </c>
      <c r="C13" s="114">
        <v>230800</v>
      </c>
      <c r="D13" s="6"/>
      <c r="E13" s="6"/>
      <c r="F13" s="6"/>
      <c r="G13" s="6"/>
      <c r="H13" s="6"/>
      <c r="I13" s="7"/>
      <c r="J13" s="7"/>
    </row>
    <row r="14" spans="1:10" ht="15" customHeight="1">
      <c r="A14" s="22"/>
      <c r="B14" s="66" t="s">
        <v>30</v>
      </c>
      <c r="C14" s="114"/>
      <c r="D14" s="6"/>
      <c r="E14" s="6"/>
      <c r="F14" s="6"/>
      <c r="G14" s="6"/>
      <c r="H14" s="6"/>
      <c r="I14" s="7"/>
      <c r="J14" s="7"/>
    </row>
    <row r="15" spans="1:10" ht="15" customHeight="1">
      <c r="A15" s="22"/>
      <c r="B15" s="66" t="s">
        <v>29</v>
      </c>
      <c r="C15" s="114">
        <v>2000</v>
      </c>
      <c r="D15" s="6"/>
      <c r="E15" s="6"/>
      <c r="F15" s="6"/>
      <c r="G15" s="6"/>
      <c r="H15" s="6"/>
      <c r="I15" s="7"/>
      <c r="J15" s="7"/>
    </row>
    <row r="16" spans="1:10" ht="15" customHeight="1">
      <c r="A16" s="22"/>
      <c r="B16" s="66" t="s">
        <v>625</v>
      </c>
      <c r="C16" s="114">
        <v>823640</v>
      </c>
      <c r="D16" s="6"/>
      <c r="E16" s="6"/>
      <c r="F16" s="6"/>
      <c r="G16" s="6"/>
      <c r="H16" s="6"/>
      <c r="I16" s="7"/>
      <c r="J16" s="7"/>
    </row>
    <row r="17" spans="1:10" ht="15" customHeight="1">
      <c r="A17" s="22"/>
      <c r="B17" s="451" t="s">
        <v>11</v>
      </c>
      <c r="C17" s="114">
        <f>26800+3000</f>
        <v>29800</v>
      </c>
      <c r="D17" s="6"/>
      <c r="E17" s="6"/>
      <c r="F17" s="6"/>
      <c r="G17" s="6"/>
      <c r="H17" s="6"/>
      <c r="I17" s="7"/>
      <c r="J17" s="7"/>
    </row>
    <row r="18" spans="1:10" ht="19.5" customHeight="1">
      <c r="A18" s="22" t="s">
        <v>149</v>
      </c>
      <c r="B18" s="113" t="s">
        <v>718</v>
      </c>
      <c r="C18" s="114"/>
      <c r="D18" s="6"/>
      <c r="E18" s="6"/>
      <c r="F18" s="6"/>
      <c r="G18" s="6"/>
      <c r="H18" s="6"/>
      <c r="I18" s="7"/>
      <c r="J18" s="7"/>
    </row>
    <row r="19" spans="1:10" ht="19.5" customHeight="1">
      <c r="A19" s="21" t="s">
        <v>175</v>
      </c>
      <c r="B19" s="31" t="s">
        <v>199</v>
      </c>
      <c r="C19" s="70">
        <f>C6+C7-C11</f>
        <v>170450</v>
      </c>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6"/>
      <c r="B25" s="6"/>
      <c r="C25" s="71"/>
      <c r="D25" s="6"/>
      <c r="E25" s="6"/>
      <c r="F25" s="6"/>
      <c r="G25" s="6"/>
      <c r="H25" s="6"/>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row r="29" spans="1:10" ht="15">
      <c r="A29" s="7"/>
      <c r="B29" s="7"/>
      <c r="C29" s="71"/>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9.xml><?xml version="1.0" encoding="utf-8"?>
<worksheet xmlns="http://schemas.openxmlformats.org/spreadsheetml/2006/main" xmlns:r="http://schemas.openxmlformats.org/officeDocument/2006/relationships">
  <dimension ref="A3:C6"/>
  <sheetViews>
    <sheetView zoomScalePageLayoutView="0" workbookViewId="0" topLeftCell="A1">
      <selection activeCell="A6" sqref="A6"/>
    </sheetView>
  </sheetViews>
  <sheetFormatPr defaultColWidth="9.00390625" defaultRowHeight="12.75"/>
  <cols>
    <col min="2" max="2" width="27.875" style="0" customWidth="1"/>
    <col min="3" max="3" width="21.25390625" style="0" customWidth="1"/>
  </cols>
  <sheetData>
    <row r="3" spans="1:3" ht="30" customHeight="1">
      <c r="A3" s="66" t="s">
        <v>55</v>
      </c>
      <c r="B3" s="66" t="s">
        <v>132</v>
      </c>
      <c r="C3" s="66" t="s">
        <v>133</v>
      </c>
    </row>
    <row r="4" spans="1:3" ht="24" customHeight="1">
      <c r="A4" s="66"/>
      <c r="B4" s="66" t="s">
        <v>134</v>
      </c>
      <c r="C4" s="78">
        <f>'14'!C12</f>
        <v>1086240</v>
      </c>
    </row>
    <row r="5" spans="1:3" ht="12.75" hidden="1">
      <c r="A5" s="66" t="s">
        <v>74</v>
      </c>
      <c r="B5" s="66" t="s">
        <v>135</v>
      </c>
      <c r="C5" s="78">
        <f>'14'!C18</f>
        <v>0</v>
      </c>
    </row>
    <row r="6" spans="1:3" ht="29.25" customHeight="1">
      <c r="A6" s="66"/>
      <c r="B6" s="66" t="s">
        <v>96</v>
      </c>
      <c r="C6" s="78">
        <f>SUM(C4:C5)</f>
        <v>1086240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6">
      <selection activeCell="A3" sqref="A3:F14"/>
    </sheetView>
  </sheetViews>
  <sheetFormatPr defaultColWidth="9.00390625" defaultRowHeight="12.75"/>
  <cols>
    <col min="1" max="1" width="8.25390625" style="0" bestFit="1" customWidth="1"/>
    <col min="2" max="2" width="32.625" style="0" customWidth="1"/>
    <col min="3" max="3" width="11.75390625" style="0" customWidth="1"/>
    <col min="4" max="4" width="15.00390625" style="0" customWidth="1"/>
    <col min="5" max="6" width="13.00390625" style="0" customWidth="1"/>
  </cols>
  <sheetData>
    <row r="1" spans="1:2" ht="12.75">
      <c r="A1" s="573"/>
      <c r="B1" s="573"/>
    </row>
    <row r="2" spans="1:2" ht="13.5" thickBot="1">
      <c r="A2" s="574"/>
      <c r="B2" s="574"/>
    </row>
    <row r="3" spans="1:6" ht="36.75" thickBot="1">
      <c r="A3" s="360" t="s">
        <v>55</v>
      </c>
      <c r="B3" s="360" t="s">
        <v>56</v>
      </c>
      <c r="C3" s="235" t="s">
        <v>57</v>
      </c>
      <c r="D3" s="235" t="s">
        <v>58</v>
      </c>
      <c r="E3" s="236" t="s">
        <v>503</v>
      </c>
      <c r="F3" s="409" t="s">
        <v>72</v>
      </c>
    </row>
    <row r="4" spans="1:6" ht="26.25" thickBot="1">
      <c r="A4" s="360" t="s">
        <v>73</v>
      </c>
      <c r="B4" s="361" t="s">
        <v>59</v>
      </c>
      <c r="C4" s="237">
        <f>1!E113+1!E126+1!F98</f>
        <v>4754000</v>
      </c>
      <c r="D4" s="237">
        <f>1!G28+1!E109</f>
        <v>4364500</v>
      </c>
      <c r="E4" s="237">
        <f>SUM(C4:D4)</f>
        <v>9118500</v>
      </c>
      <c r="F4" s="237" t="s">
        <v>502</v>
      </c>
    </row>
    <row r="5" spans="1:6" ht="39" thickBot="1">
      <c r="A5" s="360" t="s">
        <v>74</v>
      </c>
      <c r="B5" s="361" t="s">
        <v>60</v>
      </c>
      <c r="C5" s="566">
        <f>6!F20</f>
        <v>4585000</v>
      </c>
      <c r="D5" s="576">
        <f>6!J8</f>
        <v>0</v>
      </c>
      <c r="E5" s="237">
        <f aca="true" t="shared" si="0" ref="E5:E13">SUM(C5:D5)</f>
        <v>4585000</v>
      </c>
      <c r="F5" s="237" t="s">
        <v>502</v>
      </c>
    </row>
    <row r="6" spans="1:6" ht="51.75" thickBot="1">
      <c r="A6" s="360" t="s">
        <v>75</v>
      </c>
      <c r="B6" s="361" t="s">
        <v>61</v>
      </c>
      <c r="C6" s="567">
        <f>7!D9</f>
        <v>28600</v>
      </c>
      <c r="D6" s="577">
        <v>0</v>
      </c>
      <c r="E6" s="237">
        <f t="shared" si="0"/>
        <v>28600</v>
      </c>
      <c r="F6" s="237" t="s">
        <v>502</v>
      </c>
    </row>
    <row r="7" spans="1:6" ht="27" customHeight="1" thickBot="1">
      <c r="A7" s="360" t="s">
        <v>77</v>
      </c>
      <c r="B7" s="568" t="s">
        <v>829</v>
      </c>
      <c r="C7" s="570">
        <f>8!F26</f>
        <v>408200</v>
      </c>
      <c r="D7" s="237">
        <f>8!K9+8!K14</f>
        <v>1189428</v>
      </c>
      <c r="E7" s="237">
        <f t="shared" si="0"/>
        <v>1597628</v>
      </c>
      <c r="F7" s="237" t="s">
        <v>502</v>
      </c>
    </row>
    <row r="8" spans="1:7" ht="90" thickBot="1">
      <c r="A8" s="360" t="s">
        <v>76</v>
      </c>
      <c r="B8" s="464" t="s">
        <v>842</v>
      </c>
      <c r="C8" s="577">
        <f>'10'!F23</f>
        <v>2968037</v>
      </c>
      <c r="D8" s="258">
        <f>'10'!K23</f>
        <v>2000647</v>
      </c>
      <c r="E8" s="237">
        <f t="shared" si="0"/>
        <v>4968684</v>
      </c>
      <c r="F8" s="237" t="s">
        <v>502</v>
      </c>
      <c r="G8" s="73"/>
    </row>
    <row r="9" spans="1:6" ht="21" customHeight="1" thickBot="1">
      <c r="A9" s="360" t="s">
        <v>78</v>
      </c>
      <c r="B9" s="568" t="s">
        <v>62</v>
      </c>
      <c r="C9" s="237">
        <f>SUM(C10:C13)</f>
        <v>45275627</v>
      </c>
      <c r="D9" s="237">
        <f>SUM(D10:D13)</f>
        <v>2071343</v>
      </c>
      <c r="E9" s="237">
        <f t="shared" si="0"/>
        <v>47346970</v>
      </c>
      <c r="F9" s="237" t="s">
        <v>502</v>
      </c>
    </row>
    <row r="10" spans="1:6" ht="15.75" thickBot="1">
      <c r="A10" s="360"/>
      <c r="B10" s="568" t="s">
        <v>63</v>
      </c>
      <c r="C10" s="237">
        <f>1!E66-1!E75</f>
        <v>23975780</v>
      </c>
      <c r="D10" s="237"/>
      <c r="E10" s="237">
        <f t="shared" si="0"/>
        <v>23975780</v>
      </c>
      <c r="F10" s="237" t="s">
        <v>502</v>
      </c>
    </row>
    <row r="11" spans="1:8" ht="23.25" thickBot="1">
      <c r="A11" s="360"/>
      <c r="B11" s="568" t="s">
        <v>64</v>
      </c>
      <c r="C11" s="237">
        <f>1!E60</f>
        <v>9840000</v>
      </c>
      <c r="D11" s="237">
        <v>0</v>
      </c>
      <c r="E11" s="237">
        <f t="shared" si="0"/>
        <v>9840000</v>
      </c>
      <c r="F11" s="237" t="s">
        <v>502</v>
      </c>
      <c r="H11" s="73"/>
    </row>
    <row r="12" spans="1:7" ht="45.75" thickBot="1">
      <c r="A12" s="360"/>
      <c r="B12" s="568" t="s">
        <v>66</v>
      </c>
      <c r="C12" s="237">
        <f>1!F33+1!F14</f>
        <v>160850</v>
      </c>
      <c r="D12" s="237" t="s">
        <v>67</v>
      </c>
      <c r="E12" s="237">
        <f t="shared" si="0"/>
        <v>160850</v>
      </c>
      <c r="F12" s="237" t="s">
        <v>502</v>
      </c>
      <c r="G12" s="73"/>
    </row>
    <row r="13" spans="1:10" ht="15.75" thickBot="1">
      <c r="A13" s="360"/>
      <c r="B13" s="568" t="s">
        <v>68</v>
      </c>
      <c r="C13" s="570">
        <f>1!E171-(C4+C5+C6+C7+C8+C10+C11+C12+D14)</f>
        <v>11298997</v>
      </c>
      <c r="D13" s="570">
        <f>1!G24</f>
        <v>2071343</v>
      </c>
      <c r="E13" s="570">
        <f t="shared" si="0"/>
        <v>13370340</v>
      </c>
      <c r="F13" s="237" t="s">
        <v>502</v>
      </c>
      <c r="J13" s="73"/>
    </row>
    <row r="14" spans="1:6" ht="36" customHeight="1">
      <c r="A14" s="569"/>
      <c r="B14" s="571" t="s">
        <v>498</v>
      </c>
      <c r="C14" s="575">
        <f>SUM(C4:C13)-C9</f>
        <v>58019464</v>
      </c>
      <c r="D14" s="575">
        <f>SUM(D4:D13)-D9</f>
        <v>9625918</v>
      </c>
      <c r="E14" s="575">
        <f>SUM(E4:E13)-E9</f>
        <v>67645382</v>
      </c>
      <c r="F14" s="244"/>
    </row>
    <row r="15" spans="1:6" ht="18.75">
      <c r="A15" s="238"/>
      <c r="B15" s="240"/>
      <c r="C15" s="73"/>
      <c r="D15" s="73"/>
      <c r="E15" s="73"/>
      <c r="F15" s="73"/>
    </row>
    <row r="16" spans="1:3" ht="15">
      <c r="A16" s="239"/>
      <c r="C16" s="73"/>
    </row>
    <row r="17" spans="1:2" ht="15">
      <c r="A17" s="239"/>
      <c r="B17" s="450"/>
    </row>
    <row r="18" ht="12.75">
      <c r="B18" s="73"/>
    </row>
    <row r="19" ht="12.75">
      <c r="C19" s="73"/>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772" t="s">
        <v>204</v>
      </c>
      <c r="B1" s="772"/>
      <c r="C1" s="772"/>
      <c r="D1" s="772"/>
      <c r="E1" s="772"/>
      <c r="F1" s="772"/>
    </row>
    <row r="2" spans="1:6" ht="65.25" customHeight="1">
      <c r="A2" s="13" t="s">
        <v>195</v>
      </c>
      <c r="B2" s="13" t="s">
        <v>366</v>
      </c>
      <c r="C2" s="13" t="s">
        <v>200</v>
      </c>
      <c r="D2" s="14" t="s">
        <v>201</v>
      </c>
      <c r="E2" s="14" t="s">
        <v>202</v>
      </c>
      <c r="F2" s="14" t="s">
        <v>203</v>
      </c>
    </row>
    <row r="3" spans="1:6" ht="9" customHeight="1">
      <c r="A3" s="16">
        <v>1</v>
      </c>
      <c r="B3" s="16">
        <v>2</v>
      </c>
      <c r="C3" s="16">
        <v>3</v>
      </c>
      <c r="D3" s="16">
        <v>4</v>
      </c>
      <c r="E3" s="16">
        <v>5</v>
      </c>
      <c r="F3" s="16">
        <v>6</v>
      </c>
    </row>
    <row r="4" spans="1:6" s="32" customFormat="1" ht="47.25" customHeight="1">
      <c r="A4" s="862" t="s">
        <v>148</v>
      </c>
      <c r="B4" s="861" t="s">
        <v>761</v>
      </c>
      <c r="C4" s="865" t="s">
        <v>688</v>
      </c>
      <c r="D4" s="865" t="s">
        <v>688</v>
      </c>
      <c r="E4" s="868" t="s">
        <v>688</v>
      </c>
      <c r="F4" s="82">
        <v>0</v>
      </c>
    </row>
    <row r="5" spans="1:6" s="32" customFormat="1" ht="47.25" customHeight="1">
      <c r="A5" s="863"/>
      <c r="B5" s="861"/>
      <c r="C5" s="866"/>
      <c r="D5" s="866"/>
      <c r="E5" s="869"/>
      <c r="F5" s="83"/>
    </row>
    <row r="6" spans="1:7" s="32" customFormat="1" ht="47.25" customHeight="1">
      <c r="A6" s="864"/>
      <c r="B6" s="861"/>
      <c r="C6" s="867"/>
      <c r="D6" s="867"/>
      <c r="E6" s="870"/>
      <c r="F6" s="84"/>
      <c r="G6" s="32" t="s">
        <v>161</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21.xml><?xml version="1.0" encoding="utf-8"?>
<worksheet xmlns="http://schemas.openxmlformats.org/spreadsheetml/2006/main" xmlns:r="http://schemas.openxmlformats.org/officeDocument/2006/relationships">
  <dimension ref="A1:IQ20"/>
  <sheetViews>
    <sheetView zoomScalePageLayoutView="0" workbookViewId="0" topLeftCell="A8">
      <selection activeCell="E20" sqref="E20"/>
    </sheetView>
  </sheetViews>
  <sheetFormatPr defaultColWidth="9.00390625" defaultRowHeight="12.75"/>
  <cols>
    <col min="4" max="4" width="31.625" style="163" customWidth="1"/>
    <col min="5" max="5" width="22.125" style="0" customWidth="1"/>
  </cols>
  <sheetData>
    <row r="1" spans="1:5" s="152" customFormat="1" ht="14.25">
      <c r="A1" s="212"/>
      <c r="B1" s="148"/>
      <c r="C1" s="149"/>
      <c r="E1" s="150"/>
    </row>
    <row r="2" spans="1:5" s="152" customFormat="1" ht="14.25">
      <c r="A2" s="147"/>
      <c r="B2" s="148"/>
      <c r="C2" s="149"/>
      <c r="D2" s="161"/>
      <c r="E2" s="150"/>
    </row>
    <row r="3" spans="1:5" s="152" customFormat="1" ht="15.75">
      <c r="A3" s="164" t="s">
        <v>720</v>
      </c>
      <c r="B3" s="148"/>
      <c r="C3" s="149"/>
      <c r="D3" s="151"/>
      <c r="E3" s="150"/>
    </row>
    <row r="4" spans="1:5" s="152" customFormat="1" ht="15" thickBot="1">
      <c r="A4" s="147"/>
      <c r="B4" s="148"/>
      <c r="C4" s="149"/>
      <c r="D4" s="162"/>
      <c r="E4" s="150"/>
    </row>
    <row r="5" spans="1:251" s="154" customFormat="1" ht="30" customHeight="1">
      <c r="A5" s="192" t="s">
        <v>626</v>
      </c>
      <c r="B5" s="193" t="s">
        <v>627</v>
      </c>
      <c r="C5" s="194" t="s">
        <v>628</v>
      </c>
      <c r="D5" s="195" t="s">
        <v>721</v>
      </c>
      <c r="E5" s="196" t="s">
        <v>735</v>
      </c>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row>
    <row r="6" spans="1:5" s="155" customFormat="1" ht="15">
      <c r="A6" s="165" t="s">
        <v>401</v>
      </c>
      <c r="B6" s="165"/>
      <c r="C6" s="166"/>
      <c r="D6" s="167" t="s">
        <v>402</v>
      </c>
      <c r="E6" s="168">
        <f>E7</f>
        <v>17000</v>
      </c>
    </row>
    <row r="7" spans="1:5" s="156" customFormat="1" ht="26.25">
      <c r="A7" s="169"/>
      <c r="B7" s="170" t="s">
        <v>632</v>
      </c>
      <c r="C7" s="171"/>
      <c r="D7" s="172" t="s">
        <v>722</v>
      </c>
      <c r="E7" s="173">
        <f>SUM(E8:E8)</f>
        <v>17000</v>
      </c>
    </row>
    <row r="8" spans="1:5" s="156" customFormat="1" ht="14.25">
      <c r="A8" s="169"/>
      <c r="B8" s="169"/>
      <c r="C8" s="171" t="s">
        <v>634</v>
      </c>
      <c r="D8" s="174" t="s">
        <v>723</v>
      </c>
      <c r="E8" s="175">
        <v>17000</v>
      </c>
    </row>
    <row r="9" spans="1:5" s="157" customFormat="1" ht="15">
      <c r="A9" s="176">
        <v>700</v>
      </c>
      <c r="B9" s="176"/>
      <c r="C9" s="177"/>
      <c r="D9" s="178" t="s">
        <v>437</v>
      </c>
      <c r="E9" s="179">
        <f>E10</f>
        <v>459000</v>
      </c>
    </row>
    <row r="10" spans="1:5" s="159" customFormat="1" ht="26.25">
      <c r="A10" s="180"/>
      <c r="B10" s="180">
        <v>70005</v>
      </c>
      <c r="C10" s="181"/>
      <c r="D10" s="182" t="s">
        <v>438</v>
      </c>
      <c r="E10" s="183">
        <f>SUM(E11:E13)</f>
        <v>459000</v>
      </c>
    </row>
    <row r="11" spans="1:5" s="158" customFormat="1" ht="38.25">
      <c r="A11" s="184"/>
      <c r="B11" s="184"/>
      <c r="C11" s="185" t="s">
        <v>724</v>
      </c>
      <c r="D11" s="186" t="s">
        <v>725</v>
      </c>
      <c r="E11" s="187">
        <v>445000</v>
      </c>
    </row>
    <row r="12" spans="1:5" s="158" customFormat="1" ht="89.25">
      <c r="A12" s="184"/>
      <c r="B12" s="184"/>
      <c r="C12" s="185" t="s">
        <v>635</v>
      </c>
      <c r="D12" s="186" t="s">
        <v>726</v>
      </c>
      <c r="E12" s="187">
        <v>10000</v>
      </c>
    </row>
    <row r="13" spans="1:5" s="158" customFormat="1" ht="51">
      <c r="A13" s="184"/>
      <c r="B13" s="184"/>
      <c r="C13" s="185" t="s">
        <v>727</v>
      </c>
      <c r="D13" s="186" t="s">
        <v>728</v>
      </c>
      <c r="E13" s="187">
        <v>4000</v>
      </c>
    </row>
    <row r="14" spans="1:5" s="157" customFormat="1" ht="15">
      <c r="A14" s="176">
        <v>710</v>
      </c>
      <c r="B14" s="176"/>
      <c r="C14" s="177"/>
      <c r="D14" s="178" t="s">
        <v>729</v>
      </c>
      <c r="E14" s="179">
        <f>E15</f>
        <v>1000</v>
      </c>
    </row>
    <row r="15" spans="1:5" s="159" customFormat="1" ht="15">
      <c r="A15" s="180"/>
      <c r="B15" s="180">
        <v>71015</v>
      </c>
      <c r="C15" s="181"/>
      <c r="D15" s="182" t="s">
        <v>730</v>
      </c>
      <c r="E15" s="183">
        <f>SUM(E16)</f>
        <v>1000</v>
      </c>
    </row>
    <row r="16" spans="1:7" s="158" customFormat="1" ht="25.5">
      <c r="A16" s="184"/>
      <c r="B16" s="184"/>
      <c r="C16" s="185" t="s">
        <v>731</v>
      </c>
      <c r="D16" s="186" t="s">
        <v>732</v>
      </c>
      <c r="E16" s="187">
        <v>1000</v>
      </c>
      <c r="G16" s="153"/>
    </row>
    <row r="17" spans="1:5" s="157" customFormat="1" ht="15">
      <c r="A17" s="176">
        <v>852</v>
      </c>
      <c r="B17" s="176"/>
      <c r="C17" s="177"/>
      <c r="D17" s="178" t="s">
        <v>733</v>
      </c>
      <c r="E17" s="179">
        <f>E18</f>
        <v>22600</v>
      </c>
    </row>
    <row r="18" spans="1:5" s="159" customFormat="1" ht="15">
      <c r="A18" s="180"/>
      <c r="B18" s="180">
        <v>85203</v>
      </c>
      <c r="C18" s="181"/>
      <c r="D18" s="182" t="s">
        <v>736</v>
      </c>
      <c r="E18" s="183">
        <f>SUM(E19)</f>
        <v>22600</v>
      </c>
    </row>
    <row r="19" spans="1:5" s="158" customFormat="1" ht="14.25">
      <c r="A19" s="184"/>
      <c r="B19" s="184"/>
      <c r="C19" s="185" t="s">
        <v>645</v>
      </c>
      <c r="D19" s="76" t="s">
        <v>646</v>
      </c>
      <c r="E19" s="187">
        <v>22600</v>
      </c>
    </row>
    <row r="20" spans="1:5" s="160" customFormat="1" ht="26.25">
      <c r="A20" s="188"/>
      <c r="B20" s="188"/>
      <c r="C20" s="189"/>
      <c r="D20" s="190" t="s">
        <v>734</v>
      </c>
      <c r="E20" s="191">
        <f>E6+E10+E14+E17</f>
        <v>499600</v>
      </c>
    </row>
  </sheetData>
  <sheetProtection/>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O85"/>
  <sheetViews>
    <sheetView showGridLines="0" zoomScalePageLayoutView="0" workbookViewId="0" topLeftCell="A1">
      <pane ySplit="5" topLeftCell="A37" activePane="bottomLeft" state="frozen"/>
      <selection pane="topLeft" activeCell="A1" sqref="A1"/>
      <selection pane="bottomLeft" activeCell="B51" sqref="B51"/>
    </sheetView>
  </sheetViews>
  <sheetFormatPr defaultColWidth="9.00390625" defaultRowHeight="12.75"/>
  <cols>
    <col min="1" max="1" width="6.25390625" style="0" customWidth="1"/>
    <col min="2" max="2" width="55.125" style="0" customWidth="1"/>
    <col min="3" max="3" width="0.37109375" style="0" customWidth="1"/>
    <col min="4" max="13" width="10.75390625" style="0" bestFit="1" customWidth="1"/>
    <col min="14" max="14" width="11.125" style="0" bestFit="1" customWidth="1"/>
  </cols>
  <sheetData>
    <row r="1" spans="1:8" ht="18">
      <c r="A1" s="871" t="s">
        <v>455</v>
      </c>
      <c r="B1" s="871"/>
      <c r="C1" s="871"/>
      <c r="D1" s="871"/>
      <c r="E1" s="871"/>
      <c r="F1" s="871"/>
      <c r="G1" s="871"/>
      <c r="H1" s="871"/>
    </row>
    <row r="2" spans="1:14" ht="9" customHeight="1">
      <c r="A2" s="5"/>
      <c r="B2" s="5"/>
      <c r="C2" s="5"/>
      <c r="D2" s="5"/>
      <c r="E2" s="5"/>
      <c r="F2" s="5"/>
      <c r="G2" s="5"/>
      <c r="H2" s="5"/>
      <c r="I2" s="5"/>
      <c r="J2" s="5"/>
      <c r="K2" s="5"/>
      <c r="L2" s="5"/>
      <c r="M2" s="5"/>
      <c r="N2" s="5"/>
    </row>
    <row r="3" spans="8:14" ht="12.75">
      <c r="H3" s="52" t="s">
        <v>178</v>
      </c>
      <c r="I3" s="52"/>
      <c r="J3" s="52"/>
      <c r="K3" s="52"/>
      <c r="L3" s="52"/>
      <c r="M3" s="52"/>
      <c r="N3" s="52"/>
    </row>
    <row r="4" spans="1:8" s="40" customFormat="1" ht="35.25" customHeight="1">
      <c r="A4" s="872" t="s">
        <v>195</v>
      </c>
      <c r="B4" s="872" t="s">
        <v>137</v>
      </c>
      <c r="C4" s="873" t="s">
        <v>779</v>
      </c>
      <c r="D4" s="872" t="s">
        <v>283</v>
      </c>
      <c r="E4" s="547"/>
      <c r="F4" s="547"/>
      <c r="G4" s="547"/>
      <c r="H4" s="548"/>
    </row>
    <row r="5" spans="1:14" s="40" customFormat="1" ht="23.25" customHeight="1">
      <c r="A5" s="872"/>
      <c r="B5" s="872"/>
      <c r="C5" s="874"/>
      <c r="D5" s="872"/>
      <c r="E5" s="549">
        <v>2010</v>
      </c>
      <c r="F5" s="49">
        <v>2011</v>
      </c>
      <c r="G5" s="49">
        <v>2012</v>
      </c>
      <c r="H5" s="49">
        <v>2013</v>
      </c>
      <c r="I5" s="49">
        <v>2014</v>
      </c>
      <c r="J5" s="49">
        <v>2015</v>
      </c>
      <c r="K5" s="49">
        <v>2016</v>
      </c>
      <c r="L5" s="49">
        <v>2017</v>
      </c>
      <c r="M5" s="49">
        <v>2018</v>
      </c>
      <c r="N5" s="49">
        <v>2019</v>
      </c>
    </row>
    <row r="6" spans="1:14" s="48" customFormat="1" ht="8.25">
      <c r="A6" s="47">
        <v>1</v>
      </c>
      <c r="B6" s="47">
        <v>2</v>
      </c>
      <c r="C6" s="47">
        <v>3</v>
      </c>
      <c r="D6" s="47">
        <v>5</v>
      </c>
      <c r="E6" s="47">
        <v>6</v>
      </c>
      <c r="F6" s="47">
        <v>7</v>
      </c>
      <c r="G6" s="47">
        <v>8</v>
      </c>
      <c r="H6" s="47">
        <v>9</v>
      </c>
      <c r="I6" s="47">
        <v>9</v>
      </c>
      <c r="J6" s="47">
        <v>9</v>
      </c>
      <c r="K6" s="47">
        <v>9</v>
      </c>
      <c r="L6" s="47">
        <v>9</v>
      </c>
      <c r="M6" s="47">
        <v>9</v>
      </c>
      <c r="N6" s="47">
        <v>9</v>
      </c>
    </row>
    <row r="7" spans="1:14" s="40" customFormat="1" ht="22.5" customHeight="1">
      <c r="A7" s="38" t="s">
        <v>148</v>
      </c>
      <c r="B7" s="51" t="s">
        <v>369</v>
      </c>
      <c r="C7" s="245">
        <f aca="true" t="shared" si="0" ref="C7:M7">C8+C18+C22</f>
        <v>4101316</v>
      </c>
      <c r="D7" s="245">
        <f t="shared" si="0"/>
        <v>8466316</v>
      </c>
      <c r="E7" s="245">
        <f t="shared" si="0"/>
        <v>11397235</v>
      </c>
      <c r="F7" s="245">
        <f t="shared" si="0"/>
        <v>10570000</v>
      </c>
      <c r="G7" s="245">
        <f t="shared" si="0"/>
        <v>10095000</v>
      </c>
      <c r="H7" s="245">
        <f t="shared" si="0"/>
        <v>9070000</v>
      </c>
      <c r="I7" s="245">
        <f t="shared" si="0"/>
        <v>7570000</v>
      </c>
      <c r="J7" s="245">
        <f t="shared" si="0"/>
        <v>6070000</v>
      </c>
      <c r="K7" s="245">
        <f t="shared" si="0"/>
        <v>4570000</v>
      </c>
      <c r="L7" s="245">
        <f t="shared" si="0"/>
        <v>2770000</v>
      </c>
      <c r="M7" s="245">
        <f t="shared" si="0"/>
        <v>970000</v>
      </c>
      <c r="N7" s="245">
        <f>N8+N18+N22</f>
        <v>0</v>
      </c>
    </row>
    <row r="8" spans="1:14" s="39" customFormat="1" ht="15" customHeight="1">
      <c r="A8" s="42" t="s">
        <v>222</v>
      </c>
      <c r="B8" s="44" t="s">
        <v>390</v>
      </c>
      <c r="C8" s="127">
        <f aca="true" t="shared" si="1" ref="C8:H8">SUM(C9:C17)-C10</f>
        <v>4101316</v>
      </c>
      <c r="D8" s="127">
        <f t="shared" si="1"/>
        <v>8466316</v>
      </c>
      <c r="E8" s="127">
        <f t="shared" si="1"/>
        <v>7445000</v>
      </c>
      <c r="F8" s="127">
        <f t="shared" si="1"/>
        <v>6970000</v>
      </c>
      <c r="G8" s="127">
        <f t="shared" si="1"/>
        <v>6495000</v>
      </c>
      <c r="H8" s="127">
        <f t="shared" si="1"/>
        <v>5470000</v>
      </c>
      <c r="I8" s="127">
        <f aca="true" t="shared" si="2" ref="I8:N8">SUM(I9:I17)-I10</f>
        <v>3970000</v>
      </c>
      <c r="J8" s="127">
        <f t="shared" si="2"/>
        <v>2470000</v>
      </c>
      <c r="K8" s="127">
        <f t="shared" si="2"/>
        <v>970000</v>
      </c>
      <c r="L8" s="127">
        <f t="shared" si="2"/>
        <v>970000</v>
      </c>
      <c r="M8" s="127">
        <f t="shared" si="2"/>
        <v>970000</v>
      </c>
      <c r="N8" s="127">
        <f t="shared" si="2"/>
        <v>0</v>
      </c>
    </row>
    <row r="9" spans="1:14" s="39" customFormat="1" ht="15" customHeight="1">
      <c r="A9" s="46" t="s">
        <v>374</v>
      </c>
      <c r="B9" s="45" t="s">
        <v>237</v>
      </c>
      <c r="C9" s="117"/>
      <c r="D9" s="117"/>
      <c r="E9" s="117"/>
      <c r="F9" s="117"/>
      <c r="G9" s="117"/>
      <c r="H9" s="117"/>
      <c r="I9" s="117"/>
      <c r="J9" s="117"/>
      <c r="K9" s="117"/>
      <c r="L9" s="117"/>
      <c r="M9" s="117"/>
      <c r="N9" s="117"/>
    </row>
    <row r="10" spans="1:14" s="39" customFormat="1" ht="15" customHeight="1">
      <c r="A10" s="46" t="s">
        <v>375</v>
      </c>
      <c r="B10" s="45" t="s">
        <v>238</v>
      </c>
      <c r="C10" s="117">
        <f>SUM(C11:C15)</f>
        <v>4101316</v>
      </c>
      <c r="D10" s="117">
        <f aca="true" t="shared" si="3" ref="D10:M10">SUM(D11:D15)</f>
        <v>2996316</v>
      </c>
      <c r="E10" s="117">
        <f t="shared" si="3"/>
        <v>1975000</v>
      </c>
      <c r="F10" s="117">
        <f t="shared" si="3"/>
        <v>1500000</v>
      </c>
      <c r="G10" s="117">
        <f t="shared" si="3"/>
        <v>1025000</v>
      </c>
      <c r="H10" s="117">
        <f t="shared" si="3"/>
        <v>0</v>
      </c>
      <c r="I10" s="117">
        <f t="shared" si="3"/>
        <v>0</v>
      </c>
      <c r="J10" s="117">
        <f t="shared" si="3"/>
        <v>0</v>
      </c>
      <c r="K10" s="117">
        <f t="shared" si="3"/>
        <v>0</v>
      </c>
      <c r="L10" s="117">
        <f t="shared" si="3"/>
        <v>0</v>
      </c>
      <c r="M10" s="117">
        <f t="shared" si="3"/>
        <v>0</v>
      </c>
      <c r="N10" s="117">
        <f>SUM(N11:N15)</f>
        <v>0</v>
      </c>
    </row>
    <row r="11" spans="1:14" s="39" customFormat="1" ht="15" customHeight="1">
      <c r="A11" s="46">
        <v>2004</v>
      </c>
      <c r="B11" s="45" t="s">
        <v>27</v>
      </c>
      <c r="C11" s="120"/>
      <c r="D11" s="117"/>
      <c r="E11" s="117"/>
      <c r="F11" s="117"/>
      <c r="G11" s="117"/>
      <c r="H11" s="117"/>
      <c r="I11" s="117"/>
      <c r="J11" s="117"/>
      <c r="K11" s="117"/>
      <c r="L11" s="117"/>
      <c r="M11" s="117"/>
      <c r="N11" s="117"/>
    </row>
    <row r="12" spans="1:14" s="39" customFormat="1" ht="15" customHeight="1">
      <c r="A12" s="46">
        <v>2005</v>
      </c>
      <c r="B12" s="45" t="s">
        <v>106</v>
      </c>
      <c r="C12" s="120"/>
      <c r="D12" s="117"/>
      <c r="E12" s="117"/>
      <c r="F12" s="117"/>
      <c r="G12" s="117"/>
      <c r="H12" s="117"/>
      <c r="I12" s="117"/>
      <c r="J12" s="117"/>
      <c r="K12" s="117"/>
      <c r="L12" s="117"/>
      <c r="M12" s="117"/>
      <c r="N12" s="117"/>
    </row>
    <row r="13" spans="1:14" s="39" customFormat="1" ht="15" customHeight="1">
      <c r="A13" s="46">
        <v>2006</v>
      </c>
      <c r="B13" s="45" t="s">
        <v>695</v>
      </c>
      <c r="C13" s="119">
        <v>1921316</v>
      </c>
      <c r="D13" s="117">
        <v>921316</v>
      </c>
      <c r="E13" s="117"/>
      <c r="F13" s="117"/>
      <c r="G13" s="117"/>
      <c r="H13" s="117"/>
      <c r="I13" s="117"/>
      <c r="J13" s="117"/>
      <c r="K13" s="117"/>
      <c r="L13" s="117"/>
      <c r="M13" s="117"/>
      <c r="N13" s="117"/>
    </row>
    <row r="14" spans="1:14" s="39" customFormat="1" ht="15" customHeight="1">
      <c r="A14" s="46">
        <v>2007</v>
      </c>
      <c r="B14" s="45" t="s">
        <v>28</v>
      </c>
      <c r="C14" s="119">
        <v>950000</v>
      </c>
      <c r="D14" s="117">
        <v>900000</v>
      </c>
      <c r="E14" s="117">
        <v>850000</v>
      </c>
      <c r="F14" s="117">
        <v>425000</v>
      </c>
      <c r="G14" s="117"/>
      <c r="H14" s="117"/>
      <c r="I14" s="117"/>
      <c r="J14" s="117"/>
      <c r="K14" s="117"/>
      <c r="L14" s="117"/>
      <c r="M14" s="117"/>
      <c r="N14" s="117"/>
    </row>
    <row r="15" spans="1:14" s="39" customFormat="1" ht="15" customHeight="1">
      <c r="A15" s="46">
        <v>2008</v>
      </c>
      <c r="B15" s="45" t="s">
        <v>97</v>
      </c>
      <c r="C15" s="119">
        <v>1230000</v>
      </c>
      <c r="D15" s="117">
        <f>800000+375000</f>
        <v>1175000</v>
      </c>
      <c r="E15" s="117">
        <f>750000+375000</f>
        <v>1125000</v>
      </c>
      <c r="F15" s="117">
        <f>700000+375000</f>
        <v>1075000</v>
      </c>
      <c r="G15" s="117">
        <f>655000+375000-5000</f>
        <v>1025000</v>
      </c>
      <c r="H15" s="117"/>
      <c r="I15" s="117"/>
      <c r="J15" s="117"/>
      <c r="K15" s="117"/>
      <c r="L15" s="117"/>
      <c r="M15" s="117"/>
      <c r="N15" s="117"/>
    </row>
    <row r="16" spans="1:14" s="39" customFormat="1" ht="15" customHeight="1">
      <c r="A16" s="46"/>
      <c r="B16" s="45"/>
      <c r="C16" s="119"/>
      <c r="D16" s="117"/>
      <c r="E16" s="117"/>
      <c r="F16" s="117"/>
      <c r="G16" s="117"/>
      <c r="H16" s="117"/>
      <c r="I16" s="117"/>
      <c r="J16" s="117"/>
      <c r="K16" s="117"/>
      <c r="L16" s="117"/>
      <c r="M16" s="117"/>
      <c r="N16" s="117"/>
    </row>
    <row r="17" spans="1:14" s="39" customFormat="1" ht="15" customHeight="1">
      <c r="A17" s="46" t="s">
        <v>376</v>
      </c>
      <c r="B17" s="45" t="s">
        <v>453</v>
      </c>
      <c r="C17" s="117"/>
      <c r="D17" s="117">
        <v>5470000</v>
      </c>
      <c r="E17" s="117">
        <v>5470000</v>
      </c>
      <c r="F17" s="117">
        <v>5470000</v>
      </c>
      <c r="G17" s="117">
        <v>5470000</v>
      </c>
      <c r="H17" s="117">
        <v>5470000</v>
      </c>
      <c r="I17" s="117">
        <f>H17-I36</f>
        <v>3970000</v>
      </c>
      <c r="J17" s="117">
        <f>I17-J36</f>
        <v>2470000</v>
      </c>
      <c r="K17" s="117">
        <f>J17-K36</f>
        <v>970000</v>
      </c>
      <c r="L17" s="117">
        <f>970000</f>
        <v>970000</v>
      </c>
      <c r="M17" s="117">
        <f>970000</f>
        <v>970000</v>
      </c>
      <c r="N17" s="117"/>
    </row>
    <row r="18" spans="1:14" s="39" customFormat="1" ht="12.75">
      <c r="A18" s="42" t="s">
        <v>228</v>
      </c>
      <c r="B18" s="363" t="s">
        <v>454</v>
      </c>
      <c r="C18" s="117">
        <f aca="true" t="shared" si="4" ref="C18:M18">SUM(C19:C21)</f>
        <v>0</v>
      </c>
      <c r="D18" s="117">
        <f t="shared" si="4"/>
        <v>0</v>
      </c>
      <c r="E18" s="117">
        <f t="shared" si="4"/>
        <v>3952235</v>
      </c>
      <c r="F18" s="117">
        <f t="shared" si="4"/>
        <v>3600000</v>
      </c>
      <c r="G18" s="117">
        <f t="shared" si="4"/>
        <v>3600000</v>
      </c>
      <c r="H18" s="117">
        <f t="shared" si="4"/>
        <v>3600000</v>
      </c>
      <c r="I18" s="117">
        <f t="shared" si="4"/>
        <v>3600000</v>
      </c>
      <c r="J18" s="117">
        <f t="shared" si="4"/>
        <v>3600000</v>
      </c>
      <c r="K18" s="117">
        <f t="shared" si="4"/>
        <v>3600000</v>
      </c>
      <c r="L18" s="117">
        <f t="shared" si="4"/>
        <v>1800000</v>
      </c>
      <c r="M18" s="117">
        <f t="shared" si="4"/>
        <v>0</v>
      </c>
      <c r="N18" s="117">
        <f>SUM(N19:N21)</f>
        <v>0</v>
      </c>
    </row>
    <row r="19" spans="1:14" s="39" customFormat="1" ht="15" customHeight="1">
      <c r="A19" s="46" t="s">
        <v>377</v>
      </c>
      <c r="B19" s="45" t="s">
        <v>239</v>
      </c>
      <c r="C19" s="117"/>
      <c r="D19" s="117"/>
      <c r="E19" s="117"/>
      <c r="F19" s="117"/>
      <c r="G19" s="117"/>
      <c r="H19" s="117"/>
      <c r="I19" s="117"/>
      <c r="J19" s="117"/>
      <c r="K19" s="117"/>
      <c r="L19" s="117"/>
      <c r="M19" s="117"/>
      <c r="N19" s="117"/>
    </row>
    <row r="20" spans="1:14" s="39" customFormat="1" ht="15" customHeight="1">
      <c r="A20" s="46" t="s">
        <v>378</v>
      </c>
      <c r="B20" s="45" t="s">
        <v>240</v>
      </c>
      <c r="C20" s="117"/>
      <c r="D20" s="117"/>
      <c r="E20" s="117">
        <v>352235</v>
      </c>
      <c r="F20" s="117"/>
      <c r="G20" s="117"/>
      <c r="H20" s="117"/>
      <c r="I20" s="117"/>
      <c r="J20" s="117"/>
      <c r="K20" s="117"/>
      <c r="L20" s="117"/>
      <c r="M20" s="117"/>
      <c r="N20" s="117"/>
    </row>
    <row r="21" spans="1:14" s="39" customFormat="1" ht="15" customHeight="1">
      <c r="A21" s="46" t="s">
        <v>379</v>
      </c>
      <c r="B21" s="45" t="s">
        <v>217</v>
      </c>
      <c r="C21" s="117"/>
      <c r="D21" s="117"/>
      <c r="E21" s="117">
        <v>3600000</v>
      </c>
      <c r="F21" s="117">
        <v>3600000</v>
      </c>
      <c r="G21" s="117">
        <v>3600000</v>
      </c>
      <c r="H21" s="117">
        <v>3600000</v>
      </c>
      <c r="I21" s="117">
        <v>3600000</v>
      </c>
      <c r="J21" s="117">
        <v>3600000</v>
      </c>
      <c r="K21" s="117">
        <v>3600000</v>
      </c>
      <c r="L21" s="117">
        <f>K21/2</f>
        <v>1800000</v>
      </c>
      <c r="M21" s="117"/>
      <c r="N21" s="117"/>
    </row>
    <row r="22" spans="1:14" s="39" customFormat="1" ht="15" customHeight="1">
      <c r="A22" s="42" t="s">
        <v>229</v>
      </c>
      <c r="B22" s="44" t="s">
        <v>241</v>
      </c>
      <c r="C22" s="121">
        <f aca="true" t="shared" si="5" ref="C22:L22">SUM(C23:C24)</f>
        <v>0</v>
      </c>
      <c r="D22" s="121">
        <f t="shared" si="5"/>
        <v>0</v>
      </c>
      <c r="E22" s="121">
        <f t="shared" si="5"/>
        <v>0</v>
      </c>
      <c r="F22" s="121">
        <f t="shared" si="5"/>
        <v>0</v>
      </c>
      <c r="G22" s="121">
        <f t="shared" si="5"/>
        <v>0</v>
      </c>
      <c r="H22" s="121">
        <f t="shared" si="5"/>
        <v>0</v>
      </c>
      <c r="I22" s="121">
        <f t="shared" si="5"/>
        <v>0</v>
      </c>
      <c r="J22" s="121">
        <f t="shared" si="5"/>
        <v>0</v>
      </c>
      <c r="K22" s="121">
        <f t="shared" si="5"/>
        <v>0</v>
      </c>
      <c r="L22" s="121">
        <f t="shared" si="5"/>
        <v>0</v>
      </c>
      <c r="M22" s="121">
        <f>SUM(M23:M24)</f>
        <v>0</v>
      </c>
      <c r="N22" s="121">
        <f>SUM(N23:N24)</f>
        <v>0</v>
      </c>
    </row>
    <row r="23" spans="1:14" s="39" customFormat="1" ht="15" customHeight="1">
      <c r="A23" s="46" t="s">
        <v>392</v>
      </c>
      <c r="B23" s="64" t="s">
        <v>394</v>
      </c>
      <c r="C23" s="122"/>
      <c r="D23" s="122"/>
      <c r="E23" s="122"/>
      <c r="F23" s="122"/>
      <c r="G23" s="122"/>
      <c r="H23" s="122"/>
      <c r="I23" s="122"/>
      <c r="J23" s="122"/>
      <c r="K23" s="122"/>
      <c r="L23" s="122"/>
      <c r="M23" s="122"/>
      <c r="N23" s="122"/>
    </row>
    <row r="24" spans="1:14" s="39" customFormat="1" ht="15" customHeight="1">
      <c r="A24" s="46" t="s">
        <v>393</v>
      </c>
      <c r="B24" s="64" t="s">
        <v>395</v>
      </c>
      <c r="C24" s="122"/>
      <c r="D24" s="122"/>
      <c r="E24" s="122"/>
      <c r="F24" s="122"/>
      <c r="G24" s="122"/>
      <c r="H24" s="122"/>
      <c r="I24" s="122"/>
      <c r="J24" s="122"/>
      <c r="K24" s="122"/>
      <c r="L24" s="122"/>
      <c r="M24" s="122"/>
      <c r="N24" s="122"/>
    </row>
    <row r="25" spans="1:14" s="40" customFormat="1" ht="22.5" customHeight="1">
      <c r="A25" s="542">
        <v>2</v>
      </c>
      <c r="B25" s="543" t="s">
        <v>739</v>
      </c>
      <c r="C25" s="541">
        <f>C27++C38+C40+C35</f>
        <v>2280842</v>
      </c>
      <c r="D25" s="541">
        <f aca="true" t="shared" si="6" ref="D25:N25">D27++D38+D40+D35</f>
        <v>1460000</v>
      </c>
      <c r="E25" s="541">
        <f t="shared" si="6"/>
        <v>1944616</v>
      </c>
      <c r="F25" s="541">
        <f t="shared" si="6"/>
        <v>2470935</v>
      </c>
      <c r="G25" s="541">
        <f t="shared" si="6"/>
        <v>2073700</v>
      </c>
      <c r="H25" s="541">
        <f t="shared" si="6"/>
        <v>2012400</v>
      </c>
      <c r="I25" s="541">
        <f t="shared" si="6"/>
        <v>2440400</v>
      </c>
      <c r="J25" s="541">
        <f t="shared" si="6"/>
        <v>2330400</v>
      </c>
      <c r="K25" s="541">
        <f t="shared" si="6"/>
        <v>2242400</v>
      </c>
      <c r="L25" s="541">
        <f t="shared" si="6"/>
        <v>1953000</v>
      </c>
      <c r="M25" s="541">
        <f t="shared" si="6"/>
        <v>1843500</v>
      </c>
      <c r="N25" s="541">
        <f t="shared" si="6"/>
        <v>1011000</v>
      </c>
    </row>
    <row r="26" spans="1:14" s="40" customFormat="1" ht="15" customHeight="1">
      <c r="A26" s="38" t="s">
        <v>231</v>
      </c>
      <c r="B26" s="51" t="s">
        <v>389</v>
      </c>
      <c r="C26" s="540">
        <f aca="true" t="shared" si="7" ref="C26:N26">C27+C35+C38</f>
        <v>2007842</v>
      </c>
      <c r="D26" s="540">
        <f t="shared" si="7"/>
        <v>1105000</v>
      </c>
      <c r="E26" s="540">
        <f t="shared" si="7"/>
        <v>1587616</v>
      </c>
      <c r="F26" s="540">
        <f t="shared" si="7"/>
        <v>1821935</v>
      </c>
      <c r="G26" s="540">
        <f t="shared" si="7"/>
        <v>1469700</v>
      </c>
      <c r="H26" s="540">
        <f t="shared" si="7"/>
        <v>1453400</v>
      </c>
      <c r="I26" s="540">
        <f t="shared" si="7"/>
        <v>1928400</v>
      </c>
      <c r="J26" s="540">
        <f t="shared" si="7"/>
        <v>1928400</v>
      </c>
      <c r="K26" s="540">
        <f t="shared" si="7"/>
        <v>1928400</v>
      </c>
      <c r="L26" s="540">
        <f t="shared" si="7"/>
        <v>1800000</v>
      </c>
      <c r="M26" s="540">
        <f t="shared" si="7"/>
        <v>1800000</v>
      </c>
      <c r="N26" s="540">
        <f t="shared" si="7"/>
        <v>970000</v>
      </c>
    </row>
    <row r="27" spans="1:14" s="39" customFormat="1" ht="15" customHeight="1">
      <c r="A27" s="46" t="s">
        <v>371</v>
      </c>
      <c r="B27" s="538" t="s">
        <v>382</v>
      </c>
      <c r="C27" s="539">
        <f>SUM(C28:C32)</f>
        <v>2007842</v>
      </c>
      <c r="D27" s="539">
        <f>SUM(D28:D34)</f>
        <v>1105000</v>
      </c>
      <c r="E27" s="539">
        <f aca="true" t="shared" si="8" ref="E27:N27">SUM(E28:E34)</f>
        <v>1021316</v>
      </c>
      <c r="F27" s="539">
        <f t="shared" si="8"/>
        <v>827235</v>
      </c>
      <c r="G27" s="539">
        <f t="shared" si="8"/>
        <v>475000</v>
      </c>
      <c r="H27" s="539">
        <f t="shared" si="8"/>
        <v>1025000</v>
      </c>
      <c r="I27" s="539">
        <f t="shared" si="8"/>
        <v>0</v>
      </c>
      <c r="J27" s="539">
        <f t="shared" si="8"/>
        <v>0</v>
      </c>
      <c r="K27" s="539">
        <f t="shared" si="8"/>
        <v>0</v>
      </c>
      <c r="L27" s="539">
        <f t="shared" si="8"/>
        <v>0</v>
      </c>
      <c r="M27" s="539">
        <f t="shared" si="8"/>
        <v>0</v>
      </c>
      <c r="N27" s="539">
        <f t="shared" si="8"/>
        <v>0</v>
      </c>
    </row>
    <row r="28" spans="1:14" s="39" customFormat="1" ht="15" customHeight="1">
      <c r="A28" s="46"/>
      <c r="B28" s="116" t="s">
        <v>696</v>
      </c>
      <c r="C28" s="123"/>
      <c r="D28" s="117"/>
      <c r="E28" s="117"/>
      <c r="F28" s="117"/>
      <c r="G28" s="117"/>
      <c r="H28" s="117"/>
      <c r="I28" s="117"/>
      <c r="J28" s="117"/>
      <c r="K28" s="117"/>
      <c r="L28" s="117"/>
      <c r="M28" s="117"/>
      <c r="N28" s="117"/>
    </row>
    <row r="29" spans="1:14" s="39" customFormat="1" ht="15" customHeight="1">
      <c r="A29" s="46"/>
      <c r="B29" s="116" t="s">
        <v>697</v>
      </c>
      <c r="C29" s="123">
        <v>157842</v>
      </c>
      <c r="D29" s="115"/>
      <c r="E29" s="117"/>
      <c r="F29" s="117"/>
      <c r="G29" s="124"/>
      <c r="H29" s="117"/>
      <c r="I29" s="117"/>
      <c r="J29" s="117"/>
      <c r="K29" s="117"/>
      <c r="L29" s="117"/>
      <c r="M29" s="117"/>
      <c r="N29" s="117"/>
    </row>
    <row r="30" spans="1:14" s="39" customFormat="1" ht="15" customHeight="1">
      <c r="A30" s="46"/>
      <c r="B30" s="116" t="s">
        <v>698</v>
      </c>
      <c r="C30" s="123">
        <v>800000</v>
      </c>
      <c r="E30" s="117"/>
      <c r="F30" s="117"/>
      <c r="G30" s="124"/>
      <c r="H30" s="117"/>
      <c r="I30" s="117"/>
      <c r="J30" s="117"/>
      <c r="K30" s="117"/>
      <c r="L30" s="117"/>
      <c r="M30" s="117"/>
      <c r="N30" s="117"/>
    </row>
    <row r="31" spans="1:14" s="39" customFormat="1" ht="15" customHeight="1">
      <c r="A31" s="46"/>
      <c r="B31" s="116" t="s">
        <v>699</v>
      </c>
      <c r="C31" s="123">
        <v>1000000</v>
      </c>
      <c r="D31" s="125">
        <v>1000000</v>
      </c>
      <c r="E31" s="126">
        <v>921316</v>
      </c>
      <c r="F31" s="115"/>
      <c r="G31" s="117"/>
      <c r="H31" s="117"/>
      <c r="I31" s="117"/>
      <c r="J31" s="117"/>
      <c r="K31" s="117"/>
      <c r="L31" s="117"/>
      <c r="M31" s="117"/>
      <c r="N31" s="117"/>
    </row>
    <row r="32" spans="1:14" s="39" customFormat="1" ht="15" customHeight="1">
      <c r="A32" s="46"/>
      <c r="B32" s="116" t="s">
        <v>701</v>
      </c>
      <c r="C32" s="117">
        <v>50000</v>
      </c>
      <c r="D32" s="125">
        <v>50000</v>
      </c>
      <c r="E32" s="126">
        <v>50000</v>
      </c>
      <c r="F32" s="124">
        <v>425000</v>
      </c>
      <c r="G32" s="117">
        <v>425000</v>
      </c>
      <c r="H32" s="115"/>
      <c r="I32" s="115"/>
      <c r="J32" s="115"/>
      <c r="K32" s="115"/>
      <c r="L32" s="115"/>
      <c r="M32" s="115"/>
      <c r="N32" s="115"/>
    </row>
    <row r="33" spans="1:14" s="39" customFormat="1" ht="15" customHeight="1">
      <c r="A33" s="46"/>
      <c r="B33" s="116" t="s">
        <v>111</v>
      </c>
      <c r="C33" s="117"/>
      <c r="D33" s="125">
        <v>55000</v>
      </c>
      <c r="E33" s="126">
        <v>50000</v>
      </c>
      <c r="F33" s="124">
        <v>50000</v>
      </c>
      <c r="G33" s="117">
        <v>50000</v>
      </c>
      <c r="H33" s="260">
        <v>1025000</v>
      </c>
      <c r="I33" s="260"/>
      <c r="J33" s="260"/>
      <c r="K33" s="260"/>
      <c r="L33" s="260"/>
      <c r="M33" s="260"/>
      <c r="N33" s="260"/>
    </row>
    <row r="34" spans="1:15" s="39" customFormat="1" ht="15" customHeight="1">
      <c r="A34" s="46"/>
      <c r="B34" s="116" t="s">
        <v>456</v>
      </c>
      <c r="C34" s="117"/>
      <c r="D34" s="125"/>
      <c r="E34" s="126"/>
      <c r="F34" s="124">
        <v>352235</v>
      </c>
      <c r="G34" s="124"/>
      <c r="H34" s="124"/>
      <c r="I34" s="124"/>
      <c r="J34" s="124"/>
      <c r="K34" s="124"/>
      <c r="L34" s="124"/>
      <c r="M34" s="260"/>
      <c r="N34" s="260"/>
      <c r="O34" s="420">
        <f>SUM(F34:N34)</f>
        <v>352235</v>
      </c>
    </row>
    <row r="35" spans="1:14" s="39" customFormat="1" ht="15" customHeight="1">
      <c r="A35" s="537" t="s">
        <v>372</v>
      </c>
      <c r="B35" s="538" t="s">
        <v>384</v>
      </c>
      <c r="C35" s="539">
        <f>SUM(C36:C37)</f>
        <v>0</v>
      </c>
      <c r="D35" s="539">
        <f aca="true" t="shared" si="9" ref="D35:N35">SUM(D36:D37)</f>
        <v>0</v>
      </c>
      <c r="E35" s="539">
        <f t="shared" si="9"/>
        <v>0</v>
      </c>
      <c r="F35" s="539">
        <f t="shared" si="9"/>
        <v>0</v>
      </c>
      <c r="G35" s="539">
        <f t="shared" si="9"/>
        <v>0</v>
      </c>
      <c r="H35" s="539">
        <f t="shared" si="9"/>
        <v>0</v>
      </c>
      <c r="I35" s="539">
        <f t="shared" si="9"/>
        <v>1500000</v>
      </c>
      <c r="J35" s="539">
        <f t="shared" si="9"/>
        <v>1500000</v>
      </c>
      <c r="K35" s="539">
        <f t="shared" si="9"/>
        <v>1500000</v>
      </c>
      <c r="L35" s="539">
        <f t="shared" si="9"/>
        <v>1800000</v>
      </c>
      <c r="M35" s="539">
        <f t="shared" si="9"/>
        <v>1800000</v>
      </c>
      <c r="N35" s="539">
        <f t="shared" si="9"/>
        <v>970000</v>
      </c>
    </row>
    <row r="36" spans="1:14" s="39" customFormat="1" ht="15" customHeight="1">
      <c r="A36" s="46"/>
      <c r="B36" s="45" t="s">
        <v>780</v>
      </c>
      <c r="C36" s="117"/>
      <c r="D36" s="117"/>
      <c r="E36" s="117"/>
      <c r="F36" s="117"/>
      <c r="G36" s="117"/>
      <c r="H36" s="117"/>
      <c r="I36" s="117">
        <v>1500000</v>
      </c>
      <c r="J36" s="117">
        <v>1500000</v>
      </c>
      <c r="K36" s="117">
        <v>1500000</v>
      </c>
      <c r="L36" s="117"/>
      <c r="M36" s="117"/>
      <c r="N36" s="117">
        <v>970000</v>
      </c>
    </row>
    <row r="37" spans="1:14" s="39" customFormat="1" ht="15" customHeight="1">
      <c r="A37" s="46"/>
      <c r="B37" s="45" t="s">
        <v>450</v>
      </c>
      <c r="C37" s="117"/>
      <c r="D37" s="117"/>
      <c r="E37" s="117"/>
      <c r="F37" s="117"/>
      <c r="G37" s="117"/>
      <c r="H37" s="117"/>
      <c r="I37" s="117"/>
      <c r="J37" s="117"/>
      <c r="K37" s="117"/>
      <c r="L37" s="117">
        <v>1800000</v>
      </c>
      <c r="M37" s="117">
        <v>1800000</v>
      </c>
      <c r="N37" s="117"/>
    </row>
    <row r="38" spans="1:15" s="39" customFormat="1" ht="15" customHeight="1">
      <c r="A38" s="537" t="s">
        <v>373</v>
      </c>
      <c r="B38" s="538" t="s">
        <v>383</v>
      </c>
      <c r="C38" s="539"/>
      <c r="D38" s="539"/>
      <c r="E38" s="539">
        <f>386300+180000</f>
        <v>566300</v>
      </c>
      <c r="F38" s="539">
        <f>428400+386300+180000</f>
        <v>994700</v>
      </c>
      <c r="G38" s="539">
        <f>428400+386300+180000</f>
        <v>994700</v>
      </c>
      <c r="H38" s="539">
        <v>428400</v>
      </c>
      <c r="I38" s="539">
        <v>428400</v>
      </c>
      <c r="J38" s="539">
        <v>428400</v>
      </c>
      <c r="K38" s="539">
        <v>428400</v>
      </c>
      <c r="L38" s="539"/>
      <c r="M38" s="539"/>
      <c r="N38" s="539"/>
      <c r="O38" s="420">
        <f>SUM(D38:N38)</f>
        <v>4269300</v>
      </c>
    </row>
    <row r="39" spans="1:14" s="39" customFormat="1" ht="15" customHeight="1">
      <c r="A39" s="42" t="s">
        <v>232</v>
      </c>
      <c r="B39" s="44" t="s">
        <v>381</v>
      </c>
      <c r="C39" s="127">
        <v>0</v>
      </c>
      <c r="D39" s="127">
        <v>0</v>
      </c>
      <c r="E39" s="127">
        <v>0</v>
      </c>
      <c r="F39" s="127">
        <v>0</v>
      </c>
      <c r="G39" s="127"/>
      <c r="H39" s="127"/>
      <c r="I39" s="127"/>
      <c r="J39" s="127"/>
      <c r="K39" s="127"/>
      <c r="L39" s="127"/>
      <c r="M39" s="127"/>
      <c r="N39" s="127"/>
    </row>
    <row r="40" spans="1:15" s="63" customFormat="1" ht="14.25" customHeight="1">
      <c r="A40" s="532" t="s">
        <v>370</v>
      </c>
      <c r="B40" s="533" t="s">
        <v>380</v>
      </c>
      <c r="C40" s="534">
        <f>267000+6000</f>
        <v>273000</v>
      </c>
      <c r="D40" s="534">
        <v>355000</v>
      </c>
      <c r="E40" s="534">
        <v>357000</v>
      </c>
      <c r="F40" s="534">
        <f>83000+232000+190000+144000</f>
        <v>649000</v>
      </c>
      <c r="G40" s="534">
        <f>63000+232000+165000+144000</f>
        <v>604000</v>
      </c>
      <c r="H40" s="535">
        <f>43000+232000+140000+144000</f>
        <v>559000</v>
      </c>
      <c r="I40" s="535">
        <f>21000+232000+115000+144000</f>
        <v>512000</v>
      </c>
      <c r="J40" s="535">
        <f>168000+90000+144000</f>
        <v>402000</v>
      </c>
      <c r="K40" s="535">
        <f>105000+65000+144000</f>
        <v>314000</v>
      </c>
      <c r="L40" s="536">
        <f>41000+40000+72000</f>
        <v>153000</v>
      </c>
      <c r="M40" s="536">
        <f>7500+36000</f>
        <v>43500</v>
      </c>
      <c r="N40" s="536">
        <f>41000</f>
        <v>41000</v>
      </c>
      <c r="O40"/>
    </row>
    <row r="41" spans="1:14" s="40" customFormat="1" ht="22.5" customHeight="1">
      <c r="A41" s="38" t="s">
        <v>150</v>
      </c>
      <c r="B41" s="51" t="s">
        <v>242</v>
      </c>
      <c r="C41" s="364">
        <v>48993479</v>
      </c>
      <c r="D41" s="118">
        <v>61713288</v>
      </c>
      <c r="E41" s="118">
        <f>1!E171</f>
        <v>67645382</v>
      </c>
      <c r="F41" s="118">
        <f>ROUND(E41,-3)-6500000</f>
        <v>61145000</v>
      </c>
      <c r="G41" s="118">
        <f>ROUND(F41*101%,-3)</f>
        <v>61756000</v>
      </c>
      <c r="H41" s="118">
        <f>ROUND(G41*101%,-3)</f>
        <v>62374000</v>
      </c>
      <c r="I41" s="118">
        <f aca="true" t="shared" si="10" ref="I41:N41">ROUND(H41*101%,-3)</f>
        <v>62998000</v>
      </c>
      <c r="J41" s="118">
        <f t="shared" si="10"/>
        <v>63628000</v>
      </c>
      <c r="K41" s="118">
        <f t="shared" si="10"/>
        <v>64264000</v>
      </c>
      <c r="L41" s="118">
        <f t="shared" si="10"/>
        <v>64907000</v>
      </c>
      <c r="M41" s="118">
        <f t="shared" si="10"/>
        <v>65556000</v>
      </c>
      <c r="N41" s="118">
        <f t="shared" si="10"/>
        <v>66212000</v>
      </c>
    </row>
    <row r="42" spans="1:14" s="59" customFormat="1" ht="22.5" customHeight="1">
      <c r="A42" s="38" t="s">
        <v>138</v>
      </c>
      <c r="B42" s="51" t="s">
        <v>259</v>
      </c>
      <c r="C42" s="118">
        <v>50261239</v>
      </c>
      <c r="D42" s="118">
        <v>67562083</v>
      </c>
      <c r="E42" s="118">
        <f>2!E742</f>
        <v>75160917</v>
      </c>
      <c r="F42" s="118">
        <f>ROUND(E42,-3)</f>
        <v>75161000</v>
      </c>
      <c r="G42" s="118">
        <f>ROUND(F42*101%,-3)</f>
        <v>75913000</v>
      </c>
      <c r="H42" s="118">
        <f aca="true" t="shared" si="11" ref="H42:N42">ROUND(G42*101%,-3)</f>
        <v>76672000</v>
      </c>
      <c r="I42" s="118">
        <f t="shared" si="11"/>
        <v>77439000</v>
      </c>
      <c r="J42" s="118">
        <f t="shared" si="11"/>
        <v>78213000</v>
      </c>
      <c r="K42" s="118">
        <f t="shared" si="11"/>
        <v>78995000</v>
      </c>
      <c r="L42" s="118">
        <f t="shared" si="11"/>
        <v>79785000</v>
      </c>
      <c r="M42" s="118">
        <f t="shared" si="11"/>
        <v>80583000</v>
      </c>
      <c r="N42" s="118">
        <f t="shared" si="11"/>
        <v>81389000</v>
      </c>
    </row>
    <row r="43" spans="1:14" s="59" customFormat="1" ht="22.5" customHeight="1">
      <c r="A43" s="38" t="s">
        <v>155</v>
      </c>
      <c r="B43" s="51" t="s">
        <v>260</v>
      </c>
      <c r="C43" s="118">
        <f>C41-C42</f>
        <v>-1267760</v>
      </c>
      <c r="D43" s="118">
        <f aca="true" t="shared" si="12" ref="D43:I43">D41-D42</f>
        <v>-5848795</v>
      </c>
      <c r="E43" s="118">
        <f t="shared" si="12"/>
        <v>-7515535</v>
      </c>
      <c r="F43" s="118">
        <f t="shared" si="12"/>
        <v>-14016000</v>
      </c>
      <c r="G43" s="118">
        <f t="shared" si="12"/>
        <v>-14157000</v>
      </c>
      <c r="H43" s="118">
        <f t="shared" si="12"/>
        <v>-14298000</v>
      </c>
      <c r="I43" s="118">
        <f t="shared" si="12"/>
        <v>-14441000</v>
      </c>
      <c r="J43" s="118">
        <f>J41-J42</f>
        <v>-14585000</v>
      </c>
      <c r="K43" s="118">
        <f>K41-K42</f>
        <v>-14731000</v>
      </c>
      <c r="L43" s="118">
        <f>L41-L42</f>
        <v>-14878000</v>
      </c>
      <c r="M43" s="118">
        <f>M41-M42</f>
        <v>-15027000</v>
      </c>
      <c r="N43" s="118">
        <f>N41-N42</f>
        <v>-15177000</v>
      </c>
    </row>
    <row r="44" spans="1:14" s="40" customFormat="1" ht="22.5" customHeight="1">
      <c r="A44" s="38" t="s">
        <v>158</v>
      </c>
      <c r="B44" s="51" t="s">
        <v>243</v>
      </c>
      <c r="C44" s="118"/>
      <c r="D44" s="118"/>
      <c r="E44" s="118"/>
      <c r="F44" s="118"/>
      <c r="G44" s="118"/>
      <c r="H44" s="118"/>
      <c r="I44" s="118"/>
      <c r="J44" s="118"/>
      <c r="K44" s="118"/>
      <c r="L44" s="118"/>
      <c r="M44" s="118"/>
      <c r="N44" s="118"/>
    </row>
    <row r="45" spans="1:14" s="39" customFormat="1" ht="15" customHeight="1">
      <c r="A45" s="42" t="s">
        <v>385</v>
      </c>
      <c r="B45" s="43" t="s">
        <v>741</v>
      </c>
      <c r="C45" s="128">
        <f aca="true" t="shared" si="13" ref="C45:N45">(C7-C22)/C41</f>
        <v>0.08371146698931096</v>
      </c>
      <c r="D45" s="128">
        <f t="shared" si="13"/>
        <v>0.13718789379687565</v>
      </c>
      <c r="E45" s="128">
        <f t="shared" si="13"/>
        <v>0.16848504159530062</v>
      </c>
      <c r="F45" s="128">
        <f t="shared" si="13"/>
        <v>0.1728677733257012</v>
      </c>
      <c r="G45" s="128">
        <f t="shared" si="13"/>
        <v>0.16346589805039186</v>
      </c>
      <c r="H45" s="128">
        <f t="shared" si="13"/>
        <v>0.1454131529162792</v>
      </c>
      <c r="I45" s="128">
        <f t="shared" si="13"/>
        <v>0.12016254484269343</v>
      </c>
      <c r="J45" s="128">
        <f t="shared" si="13"/>
        <v>0.09539825234173634</v>
      </c>
      <c r="K45" s="128">
        <f t="shared" si="13"/>
        <v>0.07111290924934645</v>
      </c>
      <c r="L45" s="128">
        <f t="shared" si="13"/>
        <v>0.042676444759425024</v>
      </c>
      <c r="M45" s="128">
        <f t="shared" si="13"/>
        <v>0.01479650985417048</v>
      </c>
      <c r="N45" s="128">
        <f t="shared" si="13"/>
        <v>0</v>
      </c>
    </row>
    <row r="46" spans="1:14" s="39" customFormat="1" ht="28.5" customHeight="1">
      <c r="A46" s="42" t="s">
        <v>386</v>
      </c>
      <c r="B46" s="43" t="s">
        <v>740</v>
      </c>
      <c r="C46" s="128">
        <f aca="true" t="shared" si="14" ref="C46:N46">(C8+C18)/C41</f>
        <v>0.08371146698931096</v>
      </c>
      <c r="D46" s="128">
        <f t="shared" si="14"/>
        <v>0.13718789379687565</v>
      </c>
      <c r="E46" s="128">
        <f t="shared" si="14"/>
        <v>0.16848504159530062</v>
      </c>
      <c r="F46" s="128">
        <f t="shared" si="14"/>
        <v>0.1728677733257012</v>
      </c>
      <c r="G46" s="128">
        <f t="shared" si="14"/>
        <v>0.16346589805039186</v>
      </c>
      <c r="H46" s="128">
        <f t="shared" si="14"/>
        <v>0.1454131529162792</v>
      </c>
      <c r="I46" s="128">
        <f t="shared" si="14"/>
        <v>0.12016254484269343</v>
      </c>
      <c r="J46" s="128">
        <f t="shared" si="14"/>
        <v>0.09539825234173634</v>
      </c>
      <c r="K46" s="128">
        <f t="shared" si="14"/>
        <v>0.07111290924934645</v>
      </c>
      <c r="L46" s="128">
        <f t="shared" si="14"/>
        <v>0.042676444759425024</v>
      </c>
      <c r="M46" s="128">
        <f t="shared" si="14"/>
        <v>0.01479650985417048</v>
      </c>
      <c r="N46" s="128">
        <f t="shared" si="14"/>
        <v>0</v>
      </c>
    </row>
    <row r="47" spans="1:14" s="39" customFormat="1" ht="15" customHeight="1">
      <c r="A47" s="42" t="s">
        <v>387</v>
      </c>
      <c r="B47" s="43" t="s">
        <v>396</v>
      </c>
      <c r="C47" s="128">
        <f aca="true" t="shared" si="15" ref="C47:N47">C25/C41</f>
        <v>0.04655399139954931</v>
      </c>
      <c r="D47" s="128">
        <f t="shared" si="15"/>
        <v>0.023657789875010386</v>
      </c>
      <c r="E47" s="128">
        <f t="shared" si="15"/>
        <v>0.028747209972145624</v>
      </c>
      <c r="F47" s="128">
        <f t="shared" si="15"/>
        <v>0.04041107204186769</v>
      </c>
      <c r="G47" s="128">
        <f t="shared" si="15"/>
        <v>0.03357892350540838</v>
      </c>
      <c r="H47" s="128">
        <f t="shared" si="15"/>
        <v>0.03226344310129221</v>
      </c>
      <c r="I47" s="128">
        <f t="shared" si="15"/>
        <v>0.03873773770595892</v>
      </c>
      <c r="J47" s="128">
        <f t="shared" si="15"/>
        <v>0.036625385050606654</v>
      </c>
      <c r="K47" s="128">
        <f t="shared" si="15"/>
        <v>0.03489356404830076</v>
      </c>
      <c r="L47" s="128">
        <f t="shared" si="15"/>
        <v>0.03008920455420833</v>
      </c>
      <c r="M47" s="128">
        <f t="shared" si="15"/>
        <v>0.028120995789859052</v>
      </c>
      <c r="N47" s="128">
        <f t="shared" si="15"/>
        <v>0.015269135504138222</v>
      </c>
    </row>
    <row r="48" spans="1:14" s="39" customFormat="1" ht="25.5" customHeight="1">
      <c r="A48" s="42" t="s">
        <v>388</v>
      </c>
      <c r="B48" s="43" t="s">
        <v>397</v>
      </c>
      <c r="C48" s="128">
        <f>(C26+C40)/C41</f>
        <v>0.04655399139954931</v>
      </c>
      <c r="D48" s="128">
        <f>(D26+D40)/D41</f>
        <v>0.023657789875010386</v>
      </c>
      <c r="E48" s="128">
        <f aca="true" t="shared" si="16" ref="E48:N48">(E26+D40)/E41</f>
        <v>0.028717644021878683</v>
      </c>
      <c r="F48" s="128">
        <f t="shared" si="16"/>
        <v>0.0356355384741189</v>
      </c>
      <c r="G48" s="128">
        <f t="shared" si="16"/>
        <v>0.03430759764233435</v>
      </c>
      <c r="H48" s="128">
        <f t="shared" si="16"/>
        <v>0.03298489755346779</v>
      </c>
      <c r="I48" s="128">
        <f t="shared" si="16"/>
        <v>0.03948379313629004</v>
      </c>
      <c r="J48" s="128">
        <f t="shared" si="16"/>
        <v>0.0383541836927139</v>
      </c>
      <c r="K48" s="128">
        <f t="shared" si="16"/>
        <v>0.03626291547367111</v>
      </c>
      <c r="L48" s="128">
        <f t="shared" si="16"/>
        <v>0.03256967661423267</v>
      </c>
      <c r="M48" s="128">
        <f t="shared" si="16"/>
        <v>0.029791323448654584</v>
      </c>
      <c r="N48" s="128">
        <f t="shared" si="16"/>
        <v>0.015306893010330454</v>
      </c>
    </row>
    <row r="52" ht="12.75">
      <c r="E52" s="73"/>
    </row>
    <row r="55" ht="12.75">
      <c r="B55" t="s">
        <v>282</v>
      </c>
    </row>
    <row r="56" spans="2:4" ht="12.75">
      <c r="B56" s="544">
        <f>E25/E41</f>
        <v>0.028747209972145624</v>
      </c>
      <c r="D56">
        <f>((53739683-51702078)/60599508+(51187002-45980373)/52650999+(50726705-46220614)/51231463)/3</f>
        <v>0.07348970689105355</v>
      </c>
    </row>
    <row r="57" ht="13.5" thickBot="1"/>
    <row r="58" spans="2:3" ht="48" customHeight="1" thickBot="1">
      <c r="B58" s="545" t="s">
        <v>451</v>
      </c>
      <c r="C58" s="546">
        <v>3817000</v>
      </c>
    </row>
    <row r="62" ht="12.75">
      <c r="B62" t="s">
        <v>457</v>
      </c>
    </row>
    <row r="63" ht="12.75">
      <c r="B63">
        <v>190000</v>
      </c>
    </row>
    <row r="64" ht="12.75">
      <c r="B64">
        <v>165000</v>
      </c>
    </row>
    <row r="65" ht="12.75">
      <c r="B65">
        <v>140000</v>
      </c>
    </row>
    <row r="66" ht="12.75">
      <c r="B66">
        <v>115000</v>
      </c>
    </row>
    <row r="67" ht="12.75">
      <c r="B67">
        <v>90000</v>
      </c>
    </row>
    <row r="68" ht="12.75">
      <c r="B68">
        <v>65000</v>
      </c>
    </row>
    <row r="69" ht="12.75">
      <c r="B69">
        <v>40000</v>
      </c>
    </row>
    <row r="70" ht="12.75">
      <c r="B70">
        <v>7500</v>
      </c>
    </row>
    <row r="71" ht="12.75">
      <c r="B71">
        <f>SUM(B63:B70)</f>
        <v>812500</v>
      </c>
    </row>
    <row r="73" ht="12.75">
      <c r="B73" t="s">
        <v>459</v>
      </c>
    </row>
    <row r="77" ht="12.75">
      <c r="B77">
        <v>144000</v>
      </c>
    </row>
    <row r="78" ht="12.75">
      <c r="B78">
        <v>144000</v>
      </c>
    </row>
    <row r="79" ht="12.75">
      <c r="B79">
        <v>144000</v>
      </c>
    </row>
    <row r="80" ht="12.75">
      <c r="B80">
        <v>144000</v>
      </c>
    </row>
    <row r="81" ht="12.75">
      <c r="B81">
        <v>144000</v>
      </c>
    </row>
    <row r="82" ht="12.75">
      <c r="B82">
        <v>144000</v>
      </c>
    </row>
    <row r="83" ht="12.75">
      <c r="B83">
        <v>72000</v>
      </c>
    </row>
    <row r="84" ht="12.75">
      <c r="B84">
        <v>36000</v>
      </c>
    </row>
    <row r="85" ht="12.75">
      <c r="B85">
        <f>SUM(B76:B84)</f>
        <v>972000</v>
      </c>
    </row>
  </sheetData>
  <sheetProtection/>
  <mergeCells count="5">
    <mergeCell ref="A1:H1"/>
    <mergeCell ref="A4:A5"/>
    <mergeCell ref="B4:B5"/>
    <mergeCell ref="C4:C5"/>
    <mergeCell ref="D4:D5"/>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V759"/>
  <sheetViews>
    <sheetView tabSelected="1" zoomScale="75" zoomScaleNormal="75" zoomScalePageLayoutView="0" workbookViewId="0" topLeftCell="A1">
      <pane ySplit="7" topLeftCell="A742" activePane="bottomLeft" state="frozen"/>
      <selection pane="topLeft" activeCell="F1" sqref="F1"/>
      <selection pane="bottomLeft" activeCell="A759" sqref="A759"/>
    </sheetView>
  </sheetViews>
  <sheetFormatPr defaultColWidth="9.00390625" defaultRowHeight="12.75"/>
  <cols>
    <col min="1" max="1" width="3.625" style="197" customWidth="1"/>
    <col min="2" max="2" width="7.375" style="197" customWidth="1"/>
    <col min="3" max="3" width="7.75390625" style="639" customWidth="1"/>
    <col min="4" max="4" width="26.375" style="499" customWidth="1"/>
    <col min="5" max="5" width="15.625" style="466" bestFit="1" customWidth="1"/>
    <col min="6" max="7" width="16.75390625" style="466" customWidth="1"/>
    <col min="8" max="8" width="15.125" style="466" customWidth="1"/>
    <col min="9" max="9" width="15.125" style="645" customWidth="1"/>
    <col min="10" max="10" width="13.125" style="466" bestFit="1" customWidth="1"/>
    <col min="11" max="11" width="13.00390625" style="466" customWidth="1"/>
    <col min="12" max="14" width="12.875" style="466" customWidth="1"/>
    <col min="15" max="15" width="13.875" style="466" customWidth="1"/>
    <col min="16" max="17" width="11.125" style="466" customWidth="1"/>
    <col min="18" max="18" width="11.875" style="466" customWidth="1"/>
    <col min="19" max="19" width="13.875" style="466" customWidth="1"/>
    <col min="20" max="20" width="14.875" style="466" customWidth="1"/>
    <col min="21" max="21" width="14.125" style="466" customWidth="1"/>
    <col min="22" max="22" width="12.625" style="466" customWidth="1"/>
    <col min="23" max="23" width="11.00390625" style="291" bestFit="1" customWidth="1"/>
    <col min="24" max="24" width="11.00390625" style="291" customWidth="1"/>
    <col min="25" max="16384" width="9.125" style="291" customWidth="1"/>
  </cols>
  <sheetData>
    <row r="1" spans="1:22" ht="27" customHeight="1">
      <c r="A1" s="735" t="s">
        <v>461</v>
      </c>
      <c r="B1" s="735"/>
      <c r="C1" s="735"/>
      <c r="D1" s="735"/>
      <c r="E1" s="735"/>
      <c r="F1" s="735"/>
      <c r="G1" s="735"/>
      <c r="H1" s="735"/>
      <c r="I1" s="735"/>
      <c r="J1" s="735"/>
      <c r="K1" s="735"/>
      <c r="L1" s="735"/>
      <c r="M1" s="735"/>
      <c r="N1" s="735"/>
      <c r="O1" s="735"/>
      <c r="P1" s="735"/>
      <c r="Q1" s="735"/>
      <c r="R1" s="735"/>
      <c r="S1" s="735"/>
      <c r="T1" s="291"/>
      <c r="U1" s="291"/>
      <c r="V1" s="291"/>
    </row>
    <row r="2" spans="1:22" s="468" customFormat="1" ht="15.75">
      <c r="A2" s="737" t="s">
        <v>139</v>
      </c>
      <c r="B2" s="737" t="s">
        <v>140</v>
      </c>
      <c r="C2" s="745" t="s">
        <v>141</v>
      </c>
      <c r="D2" s="738" t="s">
        <v>154</v>
      </c>
      <c r="E2" s="736" t="s">
        <v>458</v>
      </c>
      <c r="F2" s="746" t="s">
        <v>212</v>
      </c>
      <c r="G2" s="747"/>
      <c r="H2" s="747"/>
      <c r="I2" s="747"/>
      <c r="J2" s="747"/>
      <c r="K2" s="747"/>
      <c r="L2" s="747"/>
      <c r="M2" s="747"/>
      <c r="N2" s="747"/>
      <c r="O2" s="747"/>
      <c r="P2" s="747"/>
      <c r="Q2" s="747"/>
      <c r="R2" s="747"/>
      <c r="S2" s="747"/>
      <c r="T2" s="747"/>
      <c r="U2" s="747"/>
      <c r="V2" s="748"/>
    </row>
    <row r="3" spans="1:22" s="468" customFormat="1" ht="15.75" customHeight="1">
      <c r="A3" s="737"/>
      <c r="B3" s="737"/>
      <c r="C3" s="745"/>
      <c r="D3" s="738"/>
      <c r="E3" s="736"/>
      <c r="F3" s="736" t="s">
        <v>174</v>
      </c>
      <c r="G3" s="752" t="s">
        <v>143</v>
      </c>
      <c r="H3" s="753"/>
      <c r="I3" s="753"/>
      <c r="J3" s="753"/>
      <c r="K3" s="753"/>
      <c r="L3" s="753"/>
      <c r="M3" s="753"/>
      <c r="N3" s="753"/>
      <c r="O3" s="753"/>
      <c r="P3" s="753"/>
      <c r="Q3" s="753"/>
      <c r="R3" s="754"/>
      <c r="S3" s="736" t="s">
        <v>176</v>
      </c>
      <c r="T3" s="736" t="s">
        <v>319</v>
      </c>
      <c r="U3" s="736"/>
      <c r="V3" s="736"/>
    </row>
    <row r="4" spans="1:22" s="468" customFormat="1" ht="21.75" customHeight="1">
      <c r="A4" s="737"/>
      <c r="B4" s="737"/>
      <c r="C4" s="745"/>
      <c r="D4" s="738"/>
      <c r="E4" s="736"/>
      <c r="F4" s="736"/>
      <c r="G4" s="749" t="s">
        <v>314</v>
      </c>
      <c r="H4" s="739" t="s">
        <v>316</v>
      </c>
      <c r="I4" s="740"/>
      <c r="J4" s="740"/>
      <c r="K4" s="740"/>
      <c r="L4" s="740"/>
      <c r="M4" s="741"/>
      <c r="N4" s="749" t="s">
        <v>317</v>
      </c>
      <c r="O4" s="749" t="s">
        <v>234</v>
      </c>
      <c r="P4" s="749" t="s">
        <v>313</v>
      </c>
      <c r="Q4" s="749" t="s">
        <v>263</v>
      </c>
      <c r="R4" s="749" t="s">
        <v>302</v>
      </c>
      <c r="S4" s="736"/>
      <c r="T4" s="749" t="s">
        <v>320</v>
      </c>
      <c r="U4" s="467" t="s">
        <v>316</v>
      </c>
      <c r="V4" s="749" t="s">
        <v>322</v>
      </c>
    </row>
    <row r="5" spans="1:22" s="468" customFormat="1" ht="9.75" customHeight="1">
      <c r="A5" s="737"/>
      <c r="B5" s="737"/>
      <c r="C5" s="745"/>
      <c r="D5" s="738"/>
      <c r="E5" s="736"/>
      <c r="F5" s="736"/>
      <c r="G5" s="750"/>
      <c r="H5" s="742"/>
      <c r="I5" s="743"/>
      <c r="J5" s="743"/>
      <c r="K5" s="743"/>
      <c r="L5" s="743"/>
      <c r="M5" s="744"/>
      <c r="N5" s="750"/>
      <c r="O5" s="750"/>
      <c r="P5" s="750"/>
      <c r="Q5" s="750"/>
      <c r="R5" s="750"/>
      <c r="S5" s="736"/>
      <c r="T5" s="750"/>
      <c r="U5" s="643"/>
      <c r="V5" s="750"/>
    </row>
    <row r="6" spans="1:22" s="468" customFormat="1" ht="15.75" customHeight="1">
      <c r="A6" s="737"/>
      <c r="B6" s="737"/>
      <c r="C6" s="745"/>
      <c r="D6" s="738"/>
      <c r="E6" s="736"/>
      <c r="F6" s="736"/>
      <c r="G6" s="750"/>
      <c r="H6" s="736" t="s">
        <v>303</v>
      </c>
      <c r="I6" s="736" t="s">
        <v>315</v>
      </c>
      <c r="J6" s="752" t="s">
        <v>318</v>
      </c>
      <c r="K6" s="753"/>
      <c r="L6" s="753"/>
      <c r="M6" s="754"/>
      <c r="N6" s="750"/>
      <c r="O6" s="750"/>
      <c r="P6" s="750"/>
      <c r="Q6" s="750"/>
      <c r="R6" s="750"/>
      <c r="S6" s="736"/>
      <c r="T6" s="750"/>
      <c r="U6" s="750" t="s">
        <v>321</v>
      </c>
      <c r="V6" s="750"/>
    </row>
    <row r="7" spans="1:22" s="468" customFormat="1" ht="78.75">
      <c r="A7" s="737"/>
      <c r="B7" s="737"/>
      <c r="C7" s="745"/>
      <c r="D7" s="738"/>
      <c r="E7" s="736"/>
      <c r="F7" s="736"/>
      <c r="G7" s="751"/>
      <c r="H7" s="736"/>
      <c r="I7" s="736"/>
      <c r="J7" s="467" t="s">
        <v>304</v>
      </c>
      <c r="K7" s="467" t="s">
        <v>619</v>
      </c>
      <c r="L7" s="467" t="s">
        <v>305</v>
      </c>
      <c r="M7" s="467" t="s">
        <v>306</v>
      </c>
      <c r="N7" s="751"/>
      <c r="O7" s="751"/>
      <c r="P7" s="751"/>
      <c r="Q7" s="751"/>
      <c r="R7" s="751"/>
      <c r="S7" s="736"/>
      <c r="T7" s="751"/>
      <c r="U7" s="751"/>
      <c r="V7" s="751"/>
    </row>
    <row r="8" spans="1:22" s="468" customFormat="1" ht="15.75">
      <c r="A8" s="610">
        <v>1</v>
      </c>
      <c r="B8" s="610">
        <v>2</v>
      </c>
      <c r="C8" s="627">
        <v>3</v>
      </c>
      <c r="D8" s="469">
        <v>4</v>
      </c>
      <c r="E8" s="470">
        <v>5</v>
      </c>
      <c r="F8" s="470">
        <v>6</v>
      </c>
      <c r="G8" s="470">
        <v>7</v>
      </c>
      <c r="H8" s="470">
        <v>8</v>
      </c>
      <c r="I8" s="644">
        <v>9</v>
      </c>
      <c r="J8" s="470">
        <v>10</v>
      </c>
      <c r="K8" s="470">
        <v>11</v>
      </c>
      <c r="L8" s="470">
        <v>12</v>
      </c>
      <c r="M8" s="470">
        <v>13</v>
      </c>
      <c r="N8" s="470">
        <v>14</v>
      </c>
      <c r="O8" s="470">
        <v>15</v>
      </c>
      <c r="P8" s="470">
        <v>16</v>
      </c>
      <c r="Q8" s="470">
        <v>17</v>
      </c>
      <c r="R8" s="470">
        <v>18</v>
      </c>
      <c r="S8" s="470">
        <v>19</v>
      </c>
      <c r="T8" s="470">
        <v>20</v>
      </c>
      <c r="U8" s="470">
        <v>21</v>
      </c>
      <c r="V8" s="470">
        <v>22</v>
      </c>
    </row>
    <row r="9" spans="1:22" s="473" customFormat="1" ht="31.5">
      <c r="A9" s="611" t="s">
        <v>401</v>
      </c>
      <c r="B9" s="611"/>
      <c r="C9" s="628"/>
      <c r="D9" s="471" t="s">
        <v>402</v>
      </c>
      <c r="E9" s="529">
        <f aca="true" t="shared" si="0" ref="E9:E75">F9+S9</f>
        <v>25000</v>
      </c>
      <c r="F9" s="472">
        <f>G9+N9+O9+P9+Q9+R9</f>
        <v>25000</v>
      </c>
      <c r="G9" s="472">
        <f>H9+I9</f>
        <v>25000</v>
      </c>
      <c r="H9" s="472">
        <f aca="true" t="shared" si="1" ref="H9:R9">SUM(H10:H10)</f>
        <v>25000</v>
      </c>
      <c r="I9" s="472">
        <f>SUM(J9:M9)</f>
        <v>0</v>
      </c>
      <c r="J9" s="472">
        <f>SUM(J10)</f>
        <v>0</v>
      </c>
      <c r="K9" s="472">
        <f t="shared" si="1"/>
        <v>0</v>
      </c>
      <c r="L9" s="472">
        <f t="shared" si="1"/>
        <v>0</v>
      </c>
      <c r="M9" s="472">
        <f t="shared" si="1"/>
        <v>0</v>
      </c>
      <c r="N9" s="472">
        <f t="shared" si="1"/>
        <v>0</v>
      </c>
      <c r="O9" s="472">
        <f t="shared" si="1"/>
        <v>0</v>
      </c>
      <c r="P9" s="472">
        <f t="shared" si="1"/>
        <v>0</v>
      </c>
      <c r="Q9" s="472">
        <f t="shared" si="1"/>
        <v>0</v>
      </c>
      <c r="R9" s="472">
        <f t="shared" si="1"/>
        <v>0</v>
      </c>
      <c r="S9" s="472">
        <f>T9+V9</f>
        <v>0</v>
      </c>
      <c r="T9" s="472">
        <v>0</v>
      </c>
      <c r="U9" s="472">
        <v>0</v>
      </c>
      <c r="V9" s="472">
        <v>0</v>
      </c>
    </row>
    <row r="10" spans="1:22" s="476" customFormat="1" ht="47.25">
      <c r="A10" s="612"/>
      <c r="B10" s="612" t="s">
        <v>403</v>
      </c>
      <c r="C10" s="629"/>
      <c r="D10" s="474" t="s">
        <v>404</v>
      </c>
      <c r="E10" s="529">
        <f t="shared" si="0"/>
        <v>25000</v>
      </c>
      <c r="F10" s="472">
        <f aca="true" t="shared" si="2" ref="F10:F76">G10+N10+O10+P10+Q10+R10</f>
        <v>25000</v>
      </c>
      <c r="G10" s="472">
        <f aca="true" t="shared" si="3" ref="G10:G76">H10+I10</f>
        <v>25000</v>
      </c>
      <c r="H10" s="475">
        <f>SUM(H11:H12)</f>
        <v>25000</v>
      </c>
      <c r="I10" s="472">
        <f aca="true" t="shared" si="4" ref="I10:I76">SUM(J10:M10)</f>
        <v>0</v>
      </c>
      <c r="J10" s="475">
        <f>SUM(J11:J12)</f>
        <v>0</v>
      </c>
      <c r="K10" s="475">
        <f aca="true" t="shared" si="5" ref="K10:R10">SUM(K11:K12)</f>
        <v>0</v>
      </c>
      <c r="L10" s="475">
        <f t="shared" si="5"/>
        <v>0</v>
      </c>
      <c r="M10" s="475">
        <f t="shared" si="5"/>
        <v>0</v>
      </c>
      <c r="N10" s="475">
        <f t="shared" si="5"/>
        <v>0</v>
      </c>
      <c r="O10" s="475">
        <f t="shared" si="5"/>
        <v>0</v>
      </c>
      <c r="P10" s="475">
        <f>SUM(P11:P12)</f>
        <v>0</v>
      </c>
      <c r="Q10" s="475">
        <f t="shared" si="5"/>
        <v>0</v>
      </c>
      <c r="R10" s="475">
        <f t="shared" si="5"/>
        <v>0</v>
      </c>
      <c r="S10" s="472">
        <f aca="true" t="shared" si="6" ref="S10:S76">T10+V10</f>
        <v>0</v>
      </c>
      <c r="T10" s="475">
        <f>SUM(T11:T12)</f>
        <v>0</v>
      </c>
      <c r="U10" s="475">
        <f>SUM(U11:U12)</f>
        <v>0</v>
      </c>
      <c r="V10" s="475">
        <f>SUM(V11:V12)</f>
        <v>0</v>
      </c>
    </row>
    <row r="11" spans="1:22" s="468" customFormat="1" ht="30">
      <c r="A11" s="613"/>
      <c r="B11" s="613"/>
      <c r="C11" s="630">
        <v>4300</v>
      </c>
      <c r="D11" s="477" t="s">
        <v>405</v>
      </c>
      <c r="E11" s="529">
        <f t="shared" si="0"/>
        <v>25000</v>
      </c>
      <c r="F11" s="472">
        <f t="shared" si="2"/>
        <v>25000</v>
      </c>
      <c r="G11" s="472">
        <f t="shared" si="3"/>
        <v>25000</v>
      </c>
      <c r="H11" s="478">
        <v>25000</v>
      </c>
      <c r="I11" s="472">
        <f t="shared" si="4"/>
        <v>0</v>
      </c>
      <c r="J11" s="478"/>
      <c r="K11" s="478"/>
      <c r="L11" s="478"/>
      <c r="M11" s="478"/>
      <c r="N11" s="478"/>
      <c r="O11" s="478"/>
      <c r="P11" s="478"/>
      <c r="Q11" s="478"/>
      <c r="R11" s="478"/>
      <c r="S11" s="472">
        <f t="shared" si="6"/>
        <v>0</v>
      </c>
      <c r="T11" s="478"/>
      <c r="U11" s="478"/>
      <c r="V11" s="478"/>
    </row>
    <row r="12" spans="1:22" s="468" customFormat="1" ht="45" customHeight="1" hidden="1">
      <c r="A12" s="613"/>
      <c r="B12" s="613"/>
      <c r="C12" s="630">
        <v>4390</v>
      </c>
      <c r="D12" s="477" t="s">
        <v>703</v>
      </c>
      <c r="E12" s="529">
        <f t="shared" si="0"/>
        <v>0</v>
      </c>
      <c r="F12" s="472">
        <f t="shared" si="2"/>
        <v>0</v>
      </c>
      <c r="G12" s="472">
        <f t="shared" si="3"/>
        <v>0</v>
      </c>
      <c r="H12" s="478"/>
      <c r="I12" s="472">
        <f t="shared" si="4"/>
        <v>0</v>
      </c>
      <c r="J12" s="478"/>
      <c r="K12" s="478"/>
      <c r="L12" s="478"/>
      <c r="M12" s="478"/>
      <c r="N12" s="478"/>
      <c r="O12" s="478"/>
      <c r="P12" s="478"/>
      <c r="Q12" s="478"/>
      <c r="R12" s="478"/>
      <c r="S12" s="472">
        <f t="shared" si="6"/>
        <v>0</v>
      </c>
      <c r="T12" s="478"/>
      <c r="U12" s="478"/>
      <c r="V12" s="478"/>
    </row>
    <row r="13" spans="1:22" s="473" customFormat="1" ht="15.75">
      <c r="A13" s="611" t="s">
        <v>406</v>
      </c>
      <c r="B13" s="611"/>
      <c r="C13" s="628"/>
      <c r="D13" s="471" t="s">
        <v>407</v>
      </c>
      <c r="E13" s="529">
        <f t="shared" si="0"/>
        <v>334680</v>
      </c>
      <c r="F13" s="472">
        <f t="shared" si="2"/>
        <v>334680</v>
      </c>
      <c r="G13" s="472">
        <f t="shared" si="3"/>
        <v>0</v>
      </c>
      <c r="H13" s="472">
        <f>H14+H16</f>
        <v>0</v>
      </c>
      <c r="I13" s="472">
        <f t="shared" si="4"/>
        <v>0</v>
      </c>
      <c r="J13" s="472">
        <f>SUM(J14+J16)</f>
        <v>0</v>
      </c>
      <c r="K13" s="472">
        <f aca="true" t="shared" si="7" ref="K13:R13">K14+K16</f>
        <v>0</v>
      </c>
      <c r="L13" s="472">
        <f t="shared" si="7"/>
        <v>0</v>
      </c>
      <c r="M13" s="472">
        <f t="shared" si="7"/>
        <v>0</v>
      </c>
      <c r="N13" s="472">
        <f t="shared" si="7"/>
        <v>285000</v>
      </c>
      <c r="O13" s="472">
        <f t="shared" si="7"/>
        <v>49680</v>
      </c>
      <c r="P13" s="472">
        <f>P14+P16</f>
        <v>0</v>
      </c>
      <c r="Q13" s="472">
        <f t="shared" si="7"/>
        <v>0</v>
      </c>
      <c r="R13" s="472">
        <f t="shared" si="7"/>
        <v>0</v>
      </c>
      <c r="S13" s="472">
        <f t="shared" si="6"/>
        <v>0</v>
      </c>
      <c r="T13" s="472">
        <f>T14+T16</f>
        <v>0</v>
      </c>
      <c r="U13" s="472">
        <f>U14+U16</f>
        <v>0</v>
      </c>
      <c r="V13" s="472">
        <f>V14+V16</f>
        <v>0</v>
      </c>
    </row>
    <row r="14" spans="1:22" s="476" customFormat="1" ht="15.75">
      <c r="A14" s="612"/>
      <c r="B14" s="612" t="s">
        <v>408</v>
      </c>
      <c r="C14" s="629"/>
      <c r="D14" s="474" t="s">
        <v>409</v>
      </c>
      <c r="E14" s="529">
        <f t="shared" si="0"/>
        <v>285000</v>
      </c>
      <c r="F14" s="472">
        <f t="shared" si="2"/>
        <v>285000</v>
      </c>
      <c r="G14" s="472">
        <f t="shared" si="3"/>
        <v>0</v>
      </c>
      <c r="H14" s="475">
        <f aca="true" t="shared" si="8" ref="H14:V14">SUM(H15)</f>
        <v>0</v>
      </c>
      <c r="I14" s="472">
        <f t="shared" si="4"/>
        <v>0</v>
      </c>
      <c r="J14" s="475">
        <f t="shared" si="8"/>
        <v>0</v>
      </c>
      <c r="K14" s="475">
        <f t="shared" si="8"/>
        <v>0</v>
      </c>
      <c r="L14" s="475">
        <f t="shared" si="8"/>
        <v>0</v>
      </c>
      <c r="M14" s="475">
        <f t="shared" si="8"/>
        <v>0</v>
      </c>
      <c r="N14" s="475">
        <f t="shared" si="8"/>
        <v>285000</v>
      </c>
      <c r="O14" s="475">
        <f t="shared" si="8"/>
        <v>0</v>
      </c>
      <c r="P14" s="475">
        <f t="shared" si="8"/>
        <v>0</v>
      </c>
      <c r="Q14" s="475">
        <f t="shared" si="8"/>
        <v>0</v>
      </c>
      <c r="R14" s="475">
        <f t="shared" si="8"/>
        <v>0</v>
      </c>
      <c r="S14" s="472">
        <f t="shared" si="6"/>
        <v>0</v>
      </c>
      <c r="T14" s="475">
        <f t="shared" si="8"/>
        <v>0</v>
      </c>
      <c r="U14" s="475">
        <f t="shared" si="8"/>
        <v>0</v>
      </c>
      <c r="V14" s="475">
        <f t="shared" si="8"/>
        <v>0</v>
      </c>
    </row>
    <row r="15" spans="1:22" s="468" customFormat="1" ht="30">
      <c r="A15" s="614"/>
      <c r="B15" s="614"/>
      <c r="C15" s="631">
        <v>3030</v>
      </c>
      <c r="D15" s="479" t="s">
        <v>410</v>
      </c>
      <c r="E15" s="529">
        <f t="shared" si="0"/>
        <v>285000</v>
      </c>
      <c r="F15" s="472">
        <f t="shared" si="2"/>
        <v>285000</v>
      </c>
      <c r="G15" s="472">
        <f t="shared" si="3"/>
        <v>0</v>
      </c>
      <c r="H15" s="478"/>
      <c r="I15" s="472">
        <f t="shared" si="4"/>
        <v>0</v>
      </c>
      <c r="J15" s="478"/>
      <c r="K15" s="478"/>
      <c r="L15" s="478"/>
      <c r="M15" s="478"/>
      <c r="N15" s="478">
        <v>285000</v>
      </c>
      <c r="O15" s="478"/>
      <c r="P15" s="478"/>
      <c r="Q15" s="478"/>
      <c r="R15" s="478"/>
      <c r="S15" s="472">
        <f t="shared" si="6"/>
        <v>0</v>
      </c>
      <c r="T15" s="478"/>
      <c r="U15" s="478"/>
      <c r="V15" s="478"/>
    </row>
    <row r="16" spans="1:22" s="476" customFormat="1" ht="31.5">
      <c r="A16" s="612"/>
      <c r="B16" s="612" t="s">
        <v>411</v>
      </c>
      <c r="C16" s="629"/>
      <c r="D16" s="271" t="s">
        <v>412</v>
      </c>
      <c r="E16" s="529">
        <f t="shared" si="0"/>
        <v>49680</v>
      </c>
      <c r="F16" s="472">
        <f t="shared" si="2"/>
        <v>49680</v>
      </c>
      <c r="G16" s="472">
        <f t="shared" si="3"/>
        <v>0</v>
      </c>
      <c r="H16" s="475">
        <f aca="true" t="shared" si="9" ref="H16:V16">SUM(H17)</f>
        <v>0</v>
      </c>
      <c r="I16" s="472">
        <f t="shared" si="4"/>
        <v>0</v>
      </c>
      <c r="J16" s="475"/>
      <c r="K16" s="475">
        <f t="shared" si="9"/>
        <v>0</v>
      </c>
      <c r="L16" s="475">
        <f t="shared" si="9"/>
        <v>0</v>
      </c>
      <c r="M16" s="475">
        <f t="shared" si="9"/>
        <v>0</v>
      </c>
      <c r="N16" s="475">
        <f t="shared" si="9"/>
        <v>0</v>
      </c>
      <c r="O16" s="475">
        <f t="shared" si="9"/>
        <v>49680</v>
      </c>
      <c r="P16" s="475">
        <f t="shared" si="9"/>
        <v>0</v>
      </c>
      <c r="Q16" s="475">
        <f t="shared" si="9"/>
        <v>0</v>
      </c>
      <c r="R16" s="475">
        <f t="shared" si="9"/>
        <v>0</v>
      </c>
      <c r="S16" s="472">
        <f t="shared" si="6"/>
        <v>0</v>
      </c>
      <c r="T16" s="475">
        <f t="shared" si="9"/>
        <v>0</v>
      </c>
      <c r="U16" s="475">
        <f t="shared" si="9"/>
        <v>0</v>
      </c>
      <c r="V16" s="475">
        <f t="shared" si="9"/>
        <v>0</v>
      </c>
    </row>
    <row r="17" spans="1:22" s="468" customFormat="1" ht="96" customHeight="1">
      <c r="A17" s="613"/>
      <c r="B17" s="613"/>
      <c r="C17" s="630">
        <v>2830</v>
      </c>
      <c r="D17" s="477" t="s">
        <v>413</v>
      </c>
      <c r="E17" s="529">
        <f t="shared" si="0"/>
        <v>49680</v>
      </c>
      <c r="F17" s="472">
        <f t="shared" si="2"/>
        <v>49680</v>
      </c>
      <c r="G17" s="472">
        <f t="shared" si="3"/>
        <v>0</v>
      </c>
      <c r="H17" s="478"/>
      <c r="I17" s="472">
        <f t="shared" si="4"/>
        <v>0</v>
      </c>
      <c r="J17" s="478"/>
      <c r="K17" s="478"/>
      <c r="L17" s="478"/>
      <c r="M17" s="478"/>
      <c r="N17" s="478"/>
      <c r="O17" s="478">
        <v>49680</v>
      </c>
      <c r="P17" s="478"/>
      <c r="Q17" s="478"/>
      <c r="R17" s="478"/>
      <c r="S17" s="472">
        <f t="shared" si="6"/>
        <v>0</v>
      </c>
      <c r="T17" s="478"/>
      <c r="U17" s="478"/>
      <c r="V17" s="478"/>
    </row>
    <row r="18" spans="1:22" s="473" customFormat="1" ht="31.5">
      <c r="A18" s="611">
        <v>600</v>
      </c>
      <c r="B18" s="611"/>
      <c r="C18" s="628"/>
      <c r="D18" s="320" t="s">
        <v>414</v>
      </c>
      <c r="E18" s="529">
        <f t="shared" si="0"/>
        <v>15071168</v>
      </c>
      <c r="F18" s="472">
        <f t="shared" si="2"/>
        <v>3663918</v>
      </c>
      <c r="G18" s="472">
        <f t="shared" si="3"/>
        <v>3646918</v>
      </c>
      <c r="H18" s="472">
        <f aca="true" t="shared" si="10" ref="H18:V18">SUM(H19)</f>
        <v>2731938</v>
      </c>
      <c r="I18" s="472">
        <f t="shared" si="4"/>
        <v>914980</v>
      </c>
      <c r="J18" s="472">
        <f>SUM(J19)</f>
        <v>715000</v>
      </c>
      <c r="K18" s="472">
        <f t="shared" si="10"/>
        <v>54100</v>
      </c>
      <c r="L18" s="472">
        <f t="shared" si="10"/>
        <v>140880</v>
      </c>
      <c r="M18" s="472">
        <f t="shared" si="10"/>
        <v>5000</v>
      </c>
      <c r="N18" s="472">
        <f t="shared" si="10"/>
        <v>17000</v>
      </c>
      <c r="O18" s="472">
        <f t="shared" si="10"/>
        <v>0</v>
      </c>
      <c r="P18" s="472">
        <f t="shared" si="10"/>
        <v>0</v>
      </c>
      <c r="Q18" s="472">
        <f t="shared" si="10"/>
        <v>0</v>
      </c>
      <c r="R18" s="472">
        <f t="shared" si="10"/>
        <v>0</v>
      </c>
      <c r="S18" s="472">
        <f t="shared" si="6"/>
        <v>11407250</v>
      </c>
      <c r="T18" s="472">
        <f t="shared" si="10"/>
        <v>11407250</v>
      </c>
      <c r="U18" s="472">
        <f t="shared" si="10"/>
        <v>3533596</v>
      </c>
      <c r="V18" s="472">
        <f t="shared" si="10"/>
        <v>0</v>
      </c>
    </row>
    <row r="19" spans="1:22" s="476" customFormat="1" ht="31.5">
      <c r="A19" s="612"/>
      <c r="B19" s="612">
        <v>60014</v>
      </c>
      <c r="C19" s="629"/>
      <c r="D19" s="271" t="s">
        <v>415</v>
      </c>
      <c r="E19" s="529">
        <f t="shared" si="0"/>
        <v>15071168</v>
      </c>
      <c r="F19" s="472">
        <f t="shared" si="2"/>
        <v>3663918</v>
      </c>
      <c r="G19" s="472">
        <f t="shared" si="3"/>
        <v>3646918</v>
      </c>
      <c r="H19" s="475">
        <f>SUM(H20:H46)</f>
        <v>2731938</v>
      </c>
      <c r="I19" s="472">
        <f t="shared" si="4"/>
        <v>914980</v>
      </c>
      <c r="J19" s="475">
        <f>SUM(J20:J46)</f>
        <v>715000</v>
      </c>
      <c r="K19" s="475">
        <f aca="true" t="shared" si="11" ref="K19:R19">SUM(K20:K46)</f>
        <v>54100</v>
      </c>
      <c r="L19" s="475">
        <f t="shared" si="11"/>
        <v>140880</v>
      </c>
      <c r="M19" s="475">
        <f>SUM(M20:M46)</f>
        <v>5000</v>
      </c>
      <c r="N19" s="475">
        <f>SUM(N20:N46)</f>
        <v>17000</v>
      </c>
      <c r="O19" s="475">
        <f t="shared" si="11"/>
        <v>0</v>
      </c>
      <c r="P19" s="475">
        <f>SUM(P20:P46)</f>
        <v>0</v>
      </c>
      <c r="Q19" s="475">
        <f t="shared" si="11"/>
        <v>0</v>
      </c>
      <c r="R19" s="475">
        <f t="shared" si="11"/>
        <v>0</v>
      </c>
      <c r="S19" s="472">
        <f t="shared" si="6"/>
        <v>11407250</v>
      </c>
      <c r="T19" s="475">
        <f>SUM(T20:T46)</f>
        <v>11407250</v>
      </c>
      <c r="U19" s="475">
        <f>SUM(U20:U46)</f>
        <v>3533596</v>
      </c>
      <c r="V19" s="475">
        <f>SUM(V20:V46)</f>
        <v>0</v>
      </c>
    </row>
    <row r="20" spans="1:22" s="468" customFormat="1" ht="30">
      <c r="A20" s="611"/>
      <c r="B20" s="611"/>
      <c r="C20" s="630">
        <v>3020</v>
      </c>
      <c r="D20" s="477" t="s">
        <v>416</v>
      </c>
      <c r="E20" s="529">
        <f t="shared" si="0"/>
        <v>17000</v>
      </c>
      <c r="F20" s="472">
        <f t="shared" si="2"/>
        <v>17000</v>
      </c>
      <c r="G20" s="472">
        <f t="shared" si="3"/>
        <v>0</v>
      </c>
      <c r="H20" s="478"/>
      <c r="I20" s="472">
        <f t="shared" si="4"/>
        <v>0</v>
      </c>
      <c r="J20" s="478"/>
      <c r="K20" s="478"/>
      <c r="L20" s="478"/>
      <c r="M20" s="478"/>
      <c r="N20" s="478">
        <v>17000</v>
      </c>
      <c r="O20" s="478"/>
      <c r="P20" s="478"/>
      <c r="Q20" s="478"/>
      <c r="R20" s="478"/>
      <c r="S20" s="472">
        <f t="shared" si="6"/>
        <v>0</v>
      </c>
      <c r="T20" s="478"/>
      <c r="U20" s="478"/>
      <c r="V20" s="478"/>
    </row>
    <row r="21" spans="1:22" s="468" customFormat="1" ht="30">
      <c r="A21" s="611"/>
      <c r="B21" s="611"/>
      <c r="C21" s="434">
        <v>4010</v>
      </c>
      <c r="D21" s="477" t="s">
        <v>417</v>
      </c>
      <c r="E21" s="529">
        <f t="shared" si="0"/>
        <v>715000</v>
      </c>
      <c r="F21" s="472">
        <f t="shared" si="2"/>
        <v>715000</v>
      </c>
      <c r="G21" s="472">
        <f t="shared" si="3"/>
        <v>715000</v>
      </c>
      <c r="H21" s="478"/>
      <c r="I21" s="472">
        <f t="shared" si="4"/>
        <v>715000</v>
      </c>
      <c r="J21" s="478">
        <f>684000+31000</f>
        <v>715000</v>
      </c>
      <c r="K21" s="478"/>
      <c r="L21" s="478"/>
      <c r="M21" s="478"/>
      <c r="N21" s="478"/>
      <c r="O21" s="478"/>
      <c r="P21" s="478"/>
      <c r="Q21" s="478"/>
      <c r="R21" s="478"/>
      <c r="S21" s="472">
        <f t="shared" si="6"/>
        <v>0</v>
      </c>
      <c r="T21" s="478"/>
      <c r="U21" s="478"/>
      <c r="V21" s="478"/>
    </row>
    <row r="22" spans="1:22" s="468" customFormat="1" ht="30">
      <c r="A22" s="611"/>
      <c r="B22" s="611"/>
      <c r="C22" s="630">
        <v>4040</v>
      </c>
      <c r="D22" s="477" t="s">
        <v>418</v>
      </c>
      <c r="E22" s="529">
        <f t="shared" si="0"/>
        <v>54100</v>
      </c>
      <c r="F22" s="472">
        <f t="shared" si="2"/>
        <v>54100</v>
      </c>
      <c r="G22" s="472">
        <f t="shared" si="3"/>
        <v>54100</v>
      </c>
      <c r="H22" s="478"/>
      <c r="I22" s="472">
        <f t="shared" si="4"/>
        <v>54100</v>
      </c>
      <c r="J22" s="478"/>
      <c r="K22" s="478">
        <f>54100</f>
        <v>54100</v>
      </c>
      <c r="L22" s="478"/>
      <c r="M22" s="478"/>
      <c r="N22" s="478"/>
      <c r="O22" s="478"/>
      <c r="P22" s="478"/>
      <c r="Q22" s="478"/>
      <c r="R22" s="478"/>
      <c r="S22" s="472">
        <f t="shared" si="6"/>
        <v>0</v>
      </c>
      <c r="T22" s="478"/>
      <c r="U22" s="478"/>
      <c r="V22" s="478"/>
    </row>
    <row r="23" spans="1:22" s="468" customFormat="1" ht="45">
      <c r="A23" s="611"/>
      <c r="B23" s="611"/>
      <c r="C23" s="630">
        <v>4110</v>
      </c>
      <c r="D23" s="477" t="s">
        <v>419</v>
      </c>
      <c r="E23" s="529">
        <f t="shared" si="0"/>
        <v>122020</v>
      </c>
      <c r="F23" s="472">
        <f t="shared" si="2"/>
        <v>122020</v>
      </c>
      <c r="G23" s="472">
        <f t="shared" si="3"/>
        <v>122020</v>
      </c>
      <c r="H23" s="478"/>
      <c r="I23" s="472">
        <f t="shared" si="4"/>
        <v>122020</v>
      </c>
      <c r="J23" s="478"/>
      <c r="K23" s="478"/>
      <c r="L23" s="478">
        <v>122020</v>
      </c>
      <c r="M23" s="478"/>
      <c r="N23" s="478"/>
      <c r="O23" s="478"/>
      <c r="P23" s="478"/>
      <c r="Q23" s="478"/>
      <c r="R23" s="478"/>
      <c r="S23" s="472">
        <f t="shared" si="6"/>
        <v>0</v>
      </c>
      <c r="T23" s="478"/>
      <c r="U23" s="478"/>
      <c r="V23" s="478"/>
    </row>
    <row r="24" spans="1:22" s="468" customFormat="1" ht="30">
      <c r="A24" s="611"/>
      <c r="B24" s="611"/>
      <c r="C24" s="630">
        <v>4120</v>
      </c>
      <c r="D24" s="477" t="s">
        <v>420</v>
      </c>
      <c r="E24" s="529">
        <f t="shared" si="0"/>
        <v>18860</v>
      </c>
      <c r="F24" s="472">
        <f t="shared" si="2"/>
        <v>18860</v>
      </c>
      <c r="G24" s="472">
        <f t="shared" si="3"/>
        <v>18860</v>
      </c>
      <c r="H24" s="478"/>
      <c r="I24" s="472">
        <f t="shared" si="4"/>
        <v>18860</v>
      </c>
      <c r="J24" s="478"/>
      <c r="K24" s="478"/>
      <c r="L24" s="478">
        <v>18860</v>
      </c>
      <c r="M24" s="478"/>
      <c r="N24" s="478"/>
      <c r="O24" s="478"/>
      <c r="P24" s="478"/>
      <c r="Q24" s="478"/>
      <c r="R24" s="478"/>
      <c r="S24" s="472">
        <f t="shared" si="6"/>
        <v>0</v>
      </c>
      <c r="T24" s="478"/>
      <c r="U24" s="478"/>
      <c r="V24" s="478"/>
    </row>
    <row r="25" spans="1:22" s="468" customFormat="1" ht="30.75" customHeight="1">
      <c r="A25" s="611"/>
      <c r="B25" s="611"/>
      <c r="C25" s="630">
        <v>4170</v>
      </c>
      <c r="D25" s="477" t="s">
        <v>421</v>
      </c>
      <c r="E25" s="529">
        <f t="shared" si="0"/>
        <v>5000</v>
      </c>
      <c r="F25" s="472">
        <f t="shared" si="2"/>
        <v>5000</v>
      </c>
      <c r="G25" s="472">
        <f t="shared" si="3"/>
        <v>5000</v>
      </c>
      <c r="H25" s="478"/>
      <c r="I25" s="472">
        <f t="shared" si="4"/>
        <v>5000</v>
      </c>
      <c r="J25" s="478"/>
      <c r="K25" s="478"/>
      <c r="L25" s="478"/>
      <c r="M25" s="478">
        <v>5000</v>
      </c>
      <c r="N25" s="478"/>
      <c r="O25" s="478"/>
      <c r="P25" s="478"/>
      <c r="Q25" s="478"/>
      <c r="R25" s="478"/>
      <c r="S25" s="472">
        <f t="shared" si="6"/>
        <v>0</v>
      </c>
      <c r="T25" s="478"/>
      <c r="U25" s="478"/>
      <c r="V25" s="478"/>
    </row>
    <row r="26" spans="1:22" s="468" customFormat="1" ht="30">
      <c r="A26" s="611"/>
      <c r="B26" s="611"/>
      <c r="C26" s="630">
        <v>4210</v>
      </c>
      <c r="D26" s="477" t="s">
        <v>422</v>
      </c>
      <c r="E26" s="529">
        <f t="shared" si="0"/>
        <v>186000</v>
      </c>
      <c r="F26" s="472">
        <f t="shared" si="2"/>
        <v>186000</v>
      </c>
      <c r="G26" s="472">
        <f t="shared" si="3"/>
        <v>186000</v>
      </c>
      <c r="H26" s="478">
        <v>186000</v>
      </c>
      <c r="I26" s="472">
        <f t="shared" si="4"/>
        <v>0</v>
      </c>
      <c r="J26" s="478"/>
      <c r="K26" s="478"/>
      <c r="L26" s="478"/>
      <c r="M26" s="478"/>
      <c r="N26" s="478"/>
      <c r="O26" s="478"/>
      <c r="P26" s="478"/>
      <c r="Q26" s="478"/>
      <c r="R26" s="478"/>
      <c r="S26" s="472">
        <f t="shared" si="6"/>
        <v>0</v>
      </c>
      <c r="T26" s="478"/>
      <c r="U26" s="478"/>
      <c r="V26" s="478"/>
    </row>
    <row r="27" spans="1:22" s="468" customFormat="1" ht="15.75">
      <c r="A27" s="611"/>
      <c r="B27" s="611"/>
      <c r="C27" s="630">
        <v>4260</v>
      </c>
      <c r="D27" s="477" t="s">
        <v>423</v>
      </c>
      <c r="E27" s="529">
        <f t="shared" si="0"/>
        <v>21600</v>
      </c>
      <c r="F27" s="472">
        <f t="shared" si="2"/>
        <v>21600</v>
      </c>
      <c r="G27" s="472">
        <f t="shared" si="3"/>
        <v>21600</v>
      </c>
      <c r="H27" s="478">
        <v>21600</v>
      </c>
      <c r="I27" s="472">
        <f t="shared" si="4"/>
        <v>0</v>
      </c>
      <c r="J27" s="478"/>
      <c r="K27" s="478"/>
      <c r="L27" s="478"/>
      <c r="M27" s="478"/>
      <c r="N27" s="478"/>
      <c r="O27" s="478"/>
      <c r="P27" s="478"/>
      <c r="Q27" s="478"/>
      <c r="R27" s="478"/>
      <c r="S27" s="472">
        <f t="shared" si="6"/>
        <v>0</v>
      </c>
      <c r="T27" s="478"/>
      <c r="U27" s="478"/>
      <c r="V27" s="478"/>
    </row>
    <row r="28" spans="1:22" s="468" customFormat="1" ht="30">
      <c r="A28" s="611"/>
      <c r="B28" s="611"/>
      <c r="C28" s="630">
        <v>4270</v>
      </c>
      <c r="D28" s="477" t="s">
        <v>424</v>
      </c>
      <c r="E28" s="529">
        <f t="shared" si="0"/>
        <v>553538</v>
      </c>
      <c r="F28" s="472">
        <f t="shared" si="2"/>
        <v>553538</v>
      </c>
      <c r="G28" s="472">
        <f t="shared" si="3"/>
        <v>553538</v>
      </c>
      <c r="H28" s="478">
        <v>553538</v>
      </c>
      <c r="I28" s="472">
        <f t="shared" si="4"/>
        <v>0</v>
      </c>
      <c r="J28" s="478"/>
      <c r="K28" s="478"/>
      <c r="L28" s="478"/>
      <c r="M28" s="478"/>
      <c r="N28" s="478"/>
      <c r="O28" s="478"/>
      <c r="P28" s="478"/>
      <c r="Q28" s="478"/>
      <c r="R28" s="478"/>
      <c r="S28" s="472">
        <f t="shared" si="6"/>
        <v>0</v>
      </c>
      <c r="T28" s="478"/>
      <c r="U28" s="478"/>
      <c r="V28" s="478"/>
    </row>
    <row r="29" spans="1:22" s="468" customFormat="1" ht="15.75">
      <c r="A29" s="611"/>
      <c r="B29" s="611"/>
      <c r="C29" s="630">
        <v>4280</v>
      </c>
      <c r="D29" s="477" t="s">
        <v>425</v>
      </c>
      <c r="E29" s="529">
        <f t="shared" si="0"/>
        <v>900</v>
      </c>
      <c r="F29" s="472">
        <f t="shared" si="2"/>
        <v>900</v>
      </c>
      <c r="G29" s="472">
        <f t="shared" si="3"/>
        <v>900</v>
      </c>
      <c r="H29" s="478">
        <v>900</v>
      </c>
      <c r="I29" s="472">
        <f t="shared" si="4"/>
        <v>0</v>
      </c>
      <c r="J29" s="478"/>
      <c r="K29" s="478"/>
      <c r="L29" s="478"/>
      <c r="M29" s="478"/>
      <c r="N29" s="478"/>
      <c r="O29" s="478"/>
      <c r="P29" s="478"/>
      <c r="Q29" s="478"/>
      <c r="R29" s="478"/>
      <c r="S29" s="472">
        <f t="shared" si="6"/>
        <v>0</v>
      </c>
      <c r="T29" s="478"/>
      <c r="U29" s="478"/>
      <c r="V29" s="478"/>
    </row>
    <row r="30" spans="1:22" s="468" customFormat="1" ht="30">
      <c r="A30" s="611"/>
      <c r="B30" s="611"/>
      <c r="C30" s="630">
        <v>4300</v>
      </c>
      <c r="D30" s="477" t="s">
        <v>405</v>
      </c>
      <c r="E30" s="529">
        <f t="shared" si="0"/>
        <v>1890000</v>
      </c>
      <c r="F30" s="472">
        <f t="shared" si="2"/>
        <v>1890000</v>
      </c>
      <c r="G30" s="472">
        <f t="shared" si="3"/>
        <v>1890000</v>
      </c>
      <c r="H30" s="478">
        <v>1890000</v>
      </c>
      <c r="I30" s="472">
        <f t="shared" si="4"/>
        <v>0</v>
      </c>
      <c r="J30" s="478"/>
      <c r="K30" s="478"/>
      <c r="L30" s="478"/>
      <c r="M30" s="478"/>
      <c r="N30" s="478"/>
      <c r="O30" s="478"/>
      <c r="P30" s="478"/>
      <c r="Q30" s="478"/>
      <c r="R30" s="478"/>
      <c r="S30" s="472">
        <f t="shared" si="6"/>
        <v>0</v>
      </c>
      <c r="T30" s="478"/>
      <c r="U30" s="478"/>
      <c r="V30" s="478"/>
    </row>
    <row r="31" spans="1:22" s="468" customFormat="1" ht="30">
      <c r="A31" s="611"/>
      <c r="B31" s="611"/>
      <c r="C31" s="630">
        <v>4350</v>
      </c>
      <c r="D31" s="477" t="s">
        <v>426</v>
      </c>
      <c r="E31" s="529">
        <f t="shared" si="0"/>
        <v>1500</v>
      </c>
      <c r="F31" s="472">
        <f t="shared" si="2"/>
        <v>1500</v>
      </c>
      <c r="G31" s="472">
        <f t="shared" si="3"/>
        <v>1500</v>
      </c>
      <c r="H31" s="478">
        <v>1500</v>
      </c>
      <c r="I31" s="472">
        <f t="shared" si="4"/>
        <v>0</v>
      </c>
      <c r="J31" s="478"/>
      <c r="K31" s="478"/>
      <c r="L31" s="478"/>
      <c r="M31" s="478"/>
      <c r="N31" s="478"/>
      <c r="O31" s="478"/>
      <c r="P31" s="478"/>
      <c r="Q31" s="478"/>
      <c r="R31" s="478"/>
      <c r="S31" s="472">
        <f t="shared" si="6"/>
        <v>0</v>
      </c>
      <c r="T31" s="478"/>
      <c r="U31" s="478"/>
      <c r="V31" s="478"/>
    </row>
    <row r="32" spans="1:22" s="468" customFormat="1" ht="34.5" customHeight="1">
      <c r="A32" s="611"/>
      <c r="B32" s="611"/>
      <c r="C32" s="630">
        <v>4360</v>
      </c>
      <c r="D32" s="477" t="s">
        <v>712</v>
      </c>
      <c r="E32" s="529">
        <f t="shared" si="0"/>
        <v>6600</v>
      </c>
      <c r="F32" s="472">
        <f t="shared" si="2"/>
        <v>6600</v>
      </c>
      <c r="G32" s="472">
        <f t="shared" si="3"/>
        <v>6600</v>
      </c>
      <c r="H32" s="478">
        <v>6600</v>
      </c>
      <c r="I32" s="472">
        <f t="shared" si="4"/>
        <v>0</v>
      </c>
      <c r="J32" s="478"/>
      <c r="K32" s="478"/>
      <c r="L32" s="478"/>
      <c r="M32" s="478"/>
      <c r="N32" s="478"/>
      <c r="O32" s="478"/>
      <c r="P32" s="478"/>
      <c r="Q32" s="478"/>
      <c r="R32" s="478"/>
      <c r="S32" s="472">
        <f t="shared" si="6"/>
        <v>0</v>
      </c>
      <c r="T32" s="478"/>
      <c r="U32" s="478"/>
      <c r="V32" s="478"/>
    </row>
    <row r="33" spans="1:22" s="468" customFormat="1" ht="34.5" customHeight="1">
      <c r="A33" s="611"/>
      <c r="B33" s="611"/>
      <c r="C33" s="630">
        <v>4370</v>
      </c>
      <c r="D33" s="477" t="s">
        <v>713</v>
      </c>
      <c r="E33" s="529">
        <f t="shared" si="0"/>
        <v>6300</v>
      </c>
      <c r="F33" s="472">
        <f t="shared" si="2"/>
        <v>6300</v>
      </c>
      <c r="G33" s="472">
        <f t="shared" si="3"/>
        <v>6300</v>
      </c>
      <c r="H33" s="478">
        <v>6300</v>
      </c>
      <c r="I33" s="472">
        <f t="shared" si="4"/>
        <v>0</v>
      </c>
      <c r="J33" s="478"/>
      <c r="K33" s="478"/>
      <c r="L33" s="478"/>
      <c r="M33" s="478"/>
      <c r="N33" s="478"/>
      <c r="O33" s="478"/>
      <c r="P33" s="478"/>
      <c r="Q33" s="478"/>
      <c r="R33" s="478"/>
      <c r="S33" s="472">
        <f t="shared" si="6"/>
        <v>0</v>
      </c>
      <c r="T33" s="478"/>
      <c r="U33" s="478"/>
      <c r="V33" s="478"/>
    </row>
    <row r="34" spans="1:22" s="468" customFormat="1" ht="45" customHeight="1" hidden="1">
      <c r="A34" s="611"/>
      <c r="B34" s="611"/>
      <c r="C34" s="630">
        <v>4390</v>
      </c>
      <c r="D34" s="477" t="s">
        <v>703</v>
      </c>
      <c r="E34" s="529">
        <f t="shared" si="0"/>
        <v>0</v>
      </c>
      <c r="F34" s="472">
        <f t="shared" si="2"/>
        <v>0</v>
      </c>
      <c r="G34" s="472">
        <f t="shared" si="3"/>
        <v>0</v>
      </c>
      <c r="H34" s="478"/>
      <c r="I34" s="472">
        <f t="shared" si="4"/>
        <v>0</v>
      </c>
      <c r="J34" s="478"/>
      <c r="K34" s="478"/>
      <c r="L34" s="478"/>
      <c r="M34" s="478"/>
      <c r="N34" s="478"/>
      <c r="O34" s="478"/>
      <c r="P34" s="478"/>
      <c r="Q34" s="478"/>
      <c r="R34" s="478"/>
      <c r="S34" s="472">
        <f t="shared" si="6"/>
        <v>0</v>
      </c>
      <c r="T34" s="478"/>
      <c r="U34" s="478"/>
      <c r="V34" s="478"/>
    </row>
    <row r="35" spans="1:22" s="468" customFormat="1" ht="30">
      <c r="A35" s="611"/>
      <c r="B35" s="611"/>
      <c r="C35" s="630">
        <v>4410</v>
      </c>
      <c r="D35" s="477" t="s">
        <v>430</v>
      </c>
      <c r="E35" s="529">
        <f t="shared" si="0"/>
        <v>3700</v>
      </c>
      <c r="F35" s="472">
        <f t="shared" si="2"/>
        <v>3700</v>
      </c>
      <c r="G35" s="472">
        <f t="shared" si="3"/>
        <v>3700</v>
      </c>
      <c r="H35" s="478">
        <v>3700</v>
      </c>
      <c r="I35" s="472">
        <f t="shared" si="4"/>
        <v>0</v>
      </c>
      <c r="J35" s="478"/>
      <c r="K35" s="478"/>
      <c r="L35" s="478"/>
      <c r="M35" s="478"/>
      <c r="N35" s="478"/>
      <c r="O35" s="478"/>
      <c r="P35" s="478"/>
      <c r="Q35" s="478"/>
      <c r="R35" s="478"/>
      <c r="S35" s="472">
        <f t="shared" si="6"/>
        <v>0</v>
      </c>
      <c r="T35" s="478"/>
      <c r="U35" s="478"/>
      <c r="V35" s="478"/>
    </row>
    <row r="36" spans="1:22" s="468" customFormat="1" ht="15.75">
      <c r="A36" s="611"/>
      <c r="B36" s="611"/>
      <c r="C36" s="630">
        <v>4430</v>
      </c>
      <c r="D36" s="477" t="s">
        <v>431</v>
      </c>
      <c r="E36" s="529">
        <f t="shared" si="0"/>
        <v>18300</v>
      </c>
      <c r="F36" s="472">
        <f t="shared" si="2"/>
        <v>18300</v>
      </c>
      <c r="G36" s="472">
        <f t="shared" si="3"/>
        <v>18300</v>
      </c>
      <c r="H36" s="478">
        <v>18300</v>
      </c>
      <c r="I36" s="472">
        <f t="shared" si="4"/>
        <v>0</v>
      </c>
      <c r="J36" s="478"/>
      <c r="K36" s="478"/>
      <c r="L36" s="478"/>
      <c r="M36" s="478"/>
      <c r="N36" s="478"/>
      <c r="O36" s="478"/>
      <c r="P36" s="478"/>
      <c r="Q36" s="478"/>
      <c r="R36" s="478"/>
      <c r="S36" s="472">
        <f t="shared" si="6"/>
        <v>0</v>
      </c>
      <c r="T36" s="478"/>
      <c r="U36" s="478"/>
      <c r="V36" s="478"/>
    </row>
    <row r="37" spans="1:22" s="468" customFormat="1" ht="45">
      <c r="A37" s="611"/>
      <c r="B37" s="611"/>
      <c r="C37" s="630">
        <v>4440</v>
      </c>
      <c r="D37" s="477" t="s">
        <v>432</v>
      </c>
      <c r="E37" s="529">
        <f t="shared" si="0"/>
        <v>25000</v>
      </c>
      <c r="F37" s="472">
        <f t="shared" si="2"/>
        <v>25000</v>
      </c>
      <c r="G37" s="472">
        <f t="shared" si="3"/>
        <v>25000</v>
      </c>
      <c r="H37" s="478">
        <v>25000</v>
      </c>
      <c r="I37" s="472">
        <f t="shared" si="4"/>
        <v>0</v>
      </c>
      <c r="J37" s="478"/>
      <c r="K37" s="478"/>
      <c r="L37" s="478"/>
      <c r="M37" s="478"/>
      <c r="N37" s="478"/>
      <c r="O37" s="478"/>
      <c r="P37" s="478"/>
      <c r="Q37" s="478"/>
      <c r="R37" s="478"/>
      <c r="S37" s="472">
        <f t="shared" si="6"/>
        <v>0</v>
      </c>
      <c r="T37" s="478"/>
      <c r="U37" s="478"/>
      <c r="V37" s="478"/>
    </row>
    <row r="38" spans="1:22" s="468" customFormat="1" ht="30">
      <c r="A38" s="611"/>
      <c r="B38" s="611"/>
      <c r="C38" s="630">
        <v>4480</v>
      </c>
      <c r="D38" s="477" t="s">
        <v>433</v>
      </c>
      <c r="E38" s="529">
        <f t="shared" si="0"/>
        <v>7500</v>
      </c>
      <c r="F38" s="472">
        <f t="shared" si="2"/>
        <v>7500</v>
      </c>
      <c r="G38" s="472">
        <f t="shared" si="3"/>
        <v>7500</v>
      </c>
      <c r="H38" s="478">
        <v>7500</v>
      </c>
      <c r="I38" s="472">
        <f t="shared" si="4"/>
        <v>0</v>
      </c>
      <c r="J38" s="478"/>
      <c r="K38" s="478"/>
      <c r="L38" s="478"/>
      <c r="M38" s="478"/>
      <c r="N38" s="478"/>
      <c r="O38" s="478"/>
      <c r="P38" s="478"/>
      <c r="Q38" s="478"/>
      <c r="R38" s="478"/>
      <c r="S38" s="472">
        <f t="shared" si="6"/>
        <v>0</v>
      </c>
      <c r="T38" s="478"/>
      <c r="U38" s="478"/>
      <c r="V38" s="478"/>
    </row>
    <row r="39" spans="1:22" s="468" customFormat="1" ht="45">
      <c r="A39" s="611"/>
      <c r="B39" s="611"/>
      <c r="C39" s="630">
        <v>4700</v>
      </c>
      <c r="D39" s="477" t="s">
        <v>708</v>
      </c>
      <c r="E39" s="529">
        <f t="shared" si="0"/>
        <v>5000</v>
      </c>
      <c r="F39" s="472">
        <f t="shared" si="2"/>
        <v>5000</v>
      </c>
      <c r="G39" s="472">
        <f t="shared" si="3"/>
        <v>5000</v>
      </c>
      <c r="H39" s="478">
        <v>5000</v>
      </c>
      <c r="I39" s="472">
        <f t="shared" si="4"/>
        <v>0</v>
      </c>
      <c r="J39" s="478"/>
      <c r="K39" s="478"/>
      <c r="L39" s="478"/>
      <c r="M39" s="478"/>
      <c r="N39" s="478"/>
      <c r="O39" s="478"/>
      <c r="P39" s="478"/>
      <c r="Q39" s="478"/>
      <c r="R39" s="478"/>
      <c r="S39" s="472">
        <f t="shared" si="6"/>
        <v>0</v>
      </c>
      <c r="T39" s="478"/>
      <c r="U39" s="478"/>
      <c r="V39" s="478"/>
    </row>
    <row r="40" spans="1:22" s="468" customFormat="1" ht="30">
      <c r="A40" s="611"/>
      <c r="B40" s="611"/>
      <c r="C40" s="630">
        <v>4740</v>
      </c>
      <c r="D40" s="477" t="s">
        <v>434</v>
      </c>
      <c r="E40" s="529">
        <f t="shared" si="0"/>
        <v>1000</v>
      </c>
      <c r="F40" s="472">
        <f t="shared" si="2"/>
        <v>1000</v>
      </c>
      <c r="G40" s="472">
        <f t="shared" si="3"/>
        <v>1000</v>
      </c>
      <c r="H40" s="478">
        <v>1000</v>
      </c>
      <c r="I40" s="472">
        <f t="shared" si="4"/>
        <v>0</v>
      </c>
      <c r="J40" s="478"/>
      <c r="K40" s="478"/>
      <c r="L40" s="478"/>
      <c r="M40" s="478"/>
      <c r="N40" s="478"/>
      <c r="O40" s="478"/>
      <c r="P40" s="478"/>
      <c r="Q40" s="478"/>
      <c r="R40" s="478"/>
      <c r="S40" s="472">
        <f t="shared" si="6"/>
        <v>0</v>
      </c>
      <c r="T40" s="478"/>
      <c r="U40" s="478"/>
      <c r="V40" s="478"/>
    </row>
    <row r="41" spans="1:22" s="468" customFormat="1" ht="30">
      <c r="A41" s="611"/>
      <c r="B41" s="611"/>
      <c r="C41" s="630">
        <v>4750</v>
      </c>
      <c r="D41" s="477" t="s">
        <v>435</v>
      </c>
      <c r="E41" s="529">
        <f t="shared" si="0"/>
        <v>5000</v>
      </c>
      <c r="F41" s="472">
        <f t="shared" si="2"/>
        <v>5000</v>
      </c>
      <c r="G41" s="472">
        <f t="shared" si="3"/>
        <v>5000</v>
      </c>
      <c r="H41" s="478">
        <v>5000</v>
      </c>
      <c r="I41" s="472">
        <f t="shared" si="4"/>
        <v>0</v>
      </c>
      <c r="J41" s="478"/>
      <c r="K41" s="478"/>
      <c r="L41" s="478"/>
      <c r="M41" s="478"/>
      <c r="N41" s="478"/>
      <c r="O41" s="478"/>
      <c r="P41" s="478"/>
      <c r="Q41" s="478"/>
      <c r="R41" s="478"/>
      <c r="S41" s="472">
        <f t="shared" si="6"/>
        <v>0</v>
      </c>
      <c r="T41" s="478"/>
      <c r="U41" s="478"/>
      <c r="V41" s="478"/>
    </row>
    <row r="42" spans="1:22" s="468" customFormat="1" ht="72">
      <c r="A42" s="611"/>
      <c r="B42" s="611"/>
      <c r="C42" s="434">
        <v>6610</v>
      </c>
      <c r="D42" s="651" t="s">
        <v>338</v>
      </c>
      <c r="E42" s="529">
        <f>F42+S42</f>
        <v>87500</v>
      </c>
      <c r="F42" s="472">
        <f>G42+N42+O42+P42+Q42+R42</f>
        <v>0</v>
      </c>
      <c r="G42" s="472">
        <f>H42+I42</f>
        <v>0</v>
      </c>
      <c r="H42" s="478"/>
      <c r="I42" s="472">
        <f>SUM(J42:M42)</f>
        <v>0</v>
      </c>
      <c r="J42" s="478"/>
      <c r="K42" s="478"/>
      <c r="L42" s="478"/>
      <c r="M42" s="478"/>
      <c r="N42" s="478"/>
      <c r="O42" s="478"/>
      <c r="P42" s="478"/>
      <c r="Q42" s="478"/>
      <c r="R42" s="478"/>
      <c r="S42" s="472">
        <f>T42+V42</f>
        <v>87500</v>
      </c>
      <c r="T42" s="478">
        <v>87500</v>
      </c>
      <c r="U42" s="478"/>
      <c r="V42" s="478"/>
    </row>
    <row r="43" spans="1:22" s="468" customFormat="1" ht="30">
      <c r="A43" s="611"/>
      <c r="B43" s="611"/>
      <c r="C43" s="434">
        <v>6050</v>
      </c>
      <c r="D43" s="480" t="s">
        <v>436</v>
      </c>
      <c r="E43" s="529">
        <f t="shared" si="0"/>
        <v>7786154</v>
      </c>
      <c r="F43" s="472">
        <f t="shared" si="2"/>
        <v>0</v>
      </c>
      <c r="G43" s="472">
        <f t="shared" si="3"/>
        <v>0</v>
      </c>
      <c r="H43" s="478"/>
      <c r="I43" s="472">
        <f t="shared" si="4"/>
        <v>0</v>
      </c>
      <c r="J43" s="478"/>
      <c r="K43" s="478"/>
      <c r="L43" s="478"/>
      <c r="M43" s="478"/>
      <c r="N43" s="478"/>
      <c r="O43" s="478"/>
      <c r="P43" s="478"/>
      <c r="Q43" s="478"/>
      <c r="R43" s="478"/>
      <c r="S43" s="472">
        <f t="shared" si="6"/>
        <v>7786154</v>
      </c>
      <c r="T43" s="478">
        <v>7786154</v>
      </c>
      <c r="U43" s="478"/>
      <c r="V43" s="478"/>
    </row>
    <row r="44" spans="1:22" s="468" customFormat="1" ht="30">
      <c r="A44" s="611"/>
      <c r="B44" s="611"/>
      <c r="C44" s="434">
        <v>6058</v>
      </c>
      <c r="D44" s="480" t="s">
        <v>436</v>
      </c>
      <c r="E44" s="529">
        <f t="shared" si="0"/>
        <v>0</v>
      </c>
      <c r="F44" s="472">
        <f t="shared" si="2"/>
        <v>0</v>
      </c>
      <c r="G44" s="472">
        <f t="shared" si="3"/>
        <v>0</v>
      </c>
      <c r="H44" s="478"/>
      <c r="I44" s="472">
        <f t="shared" si="4"/>
        <v>0</v>
      </c>
      <c r="J44" s="478"/>
      <c r="K44" s="478"/>
      <c r="L44" s="478"/>
      <c r="M44" s="478"/>
      <c r="N44" s="478"/>
      <c r="O44" s="478"/>
      <c r="P44" s="478"/>
      <c r="Q44" s="478"/>
      <c r="R44" s="478"/>
      <c r="S44" s="472">
        <f t="shared" si="6"/>
        <v>0</v>
      </c>
      <c r="T44" s="478"/>
      <c r="U44" s="478"/>
      <c r="V44" s="478"/>
    </row>
    <row r="45" spans="1:22" s="468" customFormat="1" ht="30">
      <c r="A45" s="611"/>
      <c r="B45" s="611"/>
      <c r="C45" s="434">
        <v>6059</v>
      </c>
      <c r="D45" s="480" t="s">
        <v>436</v>
      </c>
      <c r="E45" s="529">
        <f t="shared" si="0"/>
        <v>3533596</v>
      </c>
      <c r="F45" s="472">
        <f t="shared" si="2"/>
        <v>0</v>
      </c>
      <c r="G45" s="472">
        <f t="shared" si="3"/>
        <v>0</v>
      </c>
      <c r="H45" s="478"/>
      <c r="I45" s="472">
        <f t="shared" si="4"/>
        <v>0</v>
      </c>
      <c r="J45" s="478"/>
      <c r="K45" s="478"/>
      <c r="L45" s="478"/>
      <c r="M45" s="478"/>
      <c r="N45" s="478"/>
      <c r="O45" s="478"/>
      <c r="P45" s="478"/>
      <c r="Q45" s="478"/>
      <c r="R45" s="478"/>
      <c r="S45" s="472">
        <f t="shared" si="6"/>
        <v>3533596</v>
      </c>
      <c r="T45" s="478">
        <f>SUM(U45)</f>
        <v>3533596</v>
      </c>
      <c r="U45" s="478">
        <v>3533596</v>
      </c>
      <c r="V45" s="478"/>
    </row>
    <row r="46" spans="1:22" s="468" customFormat="1" ht="45">
      <c r="A46" s="611"/>
      <c r="B46" s="611"/>
      <c r="C46" s="434">
        <v>6060</v>
      </c>
      <c r="D46" s="480" t="s">
        <v>37</v>
      </c>
      <c r="E46" s="529">
        <f t="shared" si="0"/>
        <v>0</v>
      </c>
      <c r="F46" s="472">
        <f t="shared" si="2"/>
        <v>0</v>
      </c>
      <c r="G46" s="472">
        <f t="shared" si="3"/>
        <v>0</v>
      </c>
      <c r="H46" s="478"/>
      <c r="I46" s="472">
        <f t="shared" si="4"/>
        <v>0</v>
      </c>
      <c r="J46" s="478"/>
      <c r="K46" s="478"/>
      <c r="L46" s="478"/>
      <c r="M46" s="478"/>
      <c r="N46" s="478"/>
      <c r="O46" s="478"/>
      <c r="P46" s="478"/>
      <c r="Q46" s="478"/>
      <c r="R46" s="478"/>
      <c r="S46" s="472">
        <f t="shared" si="6"/>
        <v>0</v>
      </c>
      <c r="T46" s="478"/>
      <c r="U46" s="478"/>
      <c r="V46" s="478"/>
    </row>
    <row r="47" spans="1:22" s="473" customFormat="1" ht="31.5">
      <c r="A47" s="611">
        <v>700</v>
      </c>
      <c r="B47" s="611"/>
      <c r="C47" s="628"/>
      <c r="D47" s="320" t="s">
        <v>437</v>
      </c>
      <c r="E47" s="529">
        <f t="shared" si="0"/>
        <v>775900</v>
      </c>
      <c r="F47" s="472">
        <f t="shared" si="2"/>
        <v>651300</v>
      </c>
      <c r="G47" s="472">
        <f t="shared" si="3"/>
        <v>651300</v>
      </c>
      <c r="H47" s="472">
        <f aca="true" t="shared" si="12" ref="H47:V47">SUM(H48)</f>
        <v>651300</v>
      </c>
      <c r="I47" s="472">
        <f t="shared" si="4"/>
        <v>0</v>
      </c>
      <c r="J47" s="472">
        <f t="shared" si="12"/>
        <v>0</v>
      </c>
      <c r="K47" s="472">
        <f t="shared" si="12"/>
        <v>0</v>
      </c>
      <c r="L47" s="472">
        <f t="shared" si="12"/>
        <v>0</v>
      </c>
      <c r="M47" s="472">
        <f t="shared" si="12"/>
        <v>0</v>
      </c>
      <c r="N47" s="472">
        <f t="shared" si="12"/>
        <v>0</v>
      </c>
      <c r="O47" s="472">
        <f t="shared" si="12"/>
        <v>0</v>
      </c>
      <c r="P47" s="472">
        <f t="shared" si="12"/>
        <v>0</v>
      </c>
      <c r="Q47" s="472">
        <f t="shared" si="12"/>
        <v>0</v>
      </c>
      <c r="R47" s="472">
        <f t="shared" si="12"/>
        <v>0</v>
      </c>
      <c r="S47" s="472">
        <f t="shared" si="6"/>
        <v>124600</v>
      </c>
      <c r="T47" s="472">
        <f t="shared" si="12"/>
        <v>124600</v>
      </c>
      <c r="U47" s="472">
        <f t="shared" si="12"/>
        <v>0</v>
      </c>
      <c r="V47" s="472">
        <f t="shared" si="12"/>
        <v>0</v>
      </c>
    </row>
    <row r="48" spans="1:22" s="476" customFormat="1" ht="31.5">
      <c r="A48" s="612"/>
      <c r="B48" s="612">
        <v>70005</v>
      </c>
      <c r="C48" s="629"/>
      <c r="D48" s="271" t="s">
        <v>438</v>
      </c>
      <c r="E48" s="529">
        <f t="shared" si="0"/>
        <v>775900</v>
      </c>
      <c r="F48" s="472">
        <f t="shared" si="2"/>
        <v>651300</v>
      </c>
      <c r="G48" s="472">
        <f t="shared" si="3"/>
        <v>651300</v>
      </c>
      <c r="H48" s="475">
        <f>SUM(H49:H64)</f>
        <v>651300</v>
      </c>
      <c r="I48" s="472">
        <f t="shared" si="4"/>
        <v>0</v>
      </c>
      <c r="J48" s="475">
        <f>SUM(J49:J64)</f>
        <v>0</v>
      </c>
      <c r="K48" s="475">
        <f aca="true" t="shared" si="13" ref="K48:R48">SUM(K49:K64)</f>
        <v>0</v>
      </c>
      <c r="L48" s="475">
        <f t="shared" si="13"/>
        <v>0</v>
      </c>
      <c r="M48" s="475">
        <f t="shared" si="13"/>
        <v>0</v>
      </c>
      <c r="N48" s="475">
        <f t="shared" si="13"/>
        <v>0</v>
      </c>
      <c r="O48" s="475">
        <f t="shared" si="13"/>
        <v>0</v>
      </c>
      <c r="P48" s="475">
        <f>SUM(P49:P64)</f>
        <v>0</v>
      </c>
      <c r="Q48" s="475">
        <f t="shared" si="13"/>
        <v>0</v>
      </c>
      <c r="R48" s="475">
        <f t="shared" si="13"/>
        <v>0</v>
      </c>
      <c r="S48" s="472">
        <f t="shared" si="6"/>
        <v>124600</v>
      </c>
      <c r="T48" s="475">
        <f>SUM(T49:T64)</f>
        <v>124600</v>
      </c>
      <c r="U48" s="475">
        <f>SUM(U49:U64)</f>
        <v>0</v>
      </c>
      <c r="V48" s="475">
        <f>SUM(V49:V64)</f>
        <v>0</v>
      </c>
    </row>
    <row r="49" spans="1:22" s="468" customFormat="1" ht="15.75">
      <c r="A49" s="611"/>
      <c r="B49" s="611"/>
      <c r="C49" s="630">
        <v>4260</v>
      </c>
      <c r="D49" s="477" t="s">
        <v>423</v>
      </c>
      <c r="E49" s="529">
        <f t="shared" si="0"/>
        <v>200000</v>
      </c>
      <c r="F49" s="472">
        <f t="shared" si="2"/>
        <v>200000</v>
      </c>
      <c r="G49" s="472">
        <f t="shared" si="3"/>
        <v>200000</v>
      </c>
      <c r="H49" s="478">
        <v>200000</v>
      </c>
      <c r="I49" s="472">
        <f t="shared" si="4"/>
        <v>0</v>
      </c>
      <c r="J49" s="478"/>
      <c r="K49" s="478"/>
      <c r="L49" s="478"/>
      <c r="M49" s="478"/>
      <c r="N49" s="478"/>
      <c r="O49" s="478"/>
      <c r="P49" s="478"/>
      <c r="Q49" s="478"/>
      <c r="R49" s="478"/>
      <c r="S49" s="472">
        <f t="shared" si="6"/>
        <v>0</v>
      </c>
      <c r="T49" s="478"/>
      <c r="U49" s="478"/>
      <c r="V49" s="478"/>
    </row>
    <row r="50" spans="1:22" s="468" customFormat="1" ht="30">
      <c r="A50" s="613"/>
      <c r="B50" s="613"/>
      <c r="C50" s="630">
        <v>4270</v>
      </c>
      <c r="D50" s="477" t="s">
        <v>439</v>
      </c>
      <c r="E50" s="529">
        <f t="shared" si="0"/>
        <v>12200</v>
      </c>
      <c r="F50" s="472">
        <f t="shared" si="2"/>
        <v>12200</v>
      </c>
      <c r="G50" s="472">
        <f t="shared" si="3"/>
        <v>12200</v>
      </c>
      <c r="H50" s="478">
        <v>12200</v>
      </c>
      <c r="I50" s="472">
        <f t="shared" si="4"/>
        <v>0</v>
      </c>
      <c r="J50" s="478"/>
      <c r="K50" s="478"/>
      <c r="L50" s="478"/>
      <c r="M50" s="478"/>
      <c r="N50" s="478"/>
      <c r="O50" s="478"/>
      <c r="P50" s="478"/>
      <c r="Q50" s="478"/>
      <c r="R50" s="478"/>
      <c r="S50" s="472">
        <f t="shared" si="6"/>
        <v>0</v>
      </c>
      <c r="T50" s="478"/>
      <c r="U50" s="478"/>
      <c r="V50" s="478"/>
    </row>
    <row r="51" spans="1:22" s="468" customFormat="1" ht="30">
      <c r="A51" s="613"/>
      <c r="B51" s="613"/>
      <c r="C51" s="630">
        <v>4300</v>
      </c>
      <c r="D51" s="477" t="s">
        <v>405</v>
      </c>
      <c r="E51" s="529">
        <f t="shared" si="0"/>
        <v>38400</v>
      </c>
      <c r="F51" s="472">
        <f t="shared" si="2"/>
        <v>38400</v>
      </c>
      <c r="G51" s="472">
        <f t="shared" si="3"/>
        <v>38400</v>
      </c>
      <c r="H51" s="478">
        <v>38400</v>
      </c>
      <c r="I51" s="472">
        <f t="shared" si="4"/>
        <v>0</v>
      </c>
      <c r="J51" s="478"/>
      <c r="K51" s="478"/>
      <c r="L51" s="478"/>
      <c r="M51" s="478"/>
      <c r="N51" s="478"/>
      <c r="O51" s="478"/>
      <c r="P51" s="478"/>
      <c r="Q51" s="478"/>
      <c r="R51" s="478"/>
      <c r="S51" s="472">
        <f t="shared" si="6"/>
        <v>0</v>
      </c>
      <c r="T51" s="478"/>
      <c r="U51" s="478"/>
      <c r="V51" s="478"/>
    </row>
    <row r="52" spans="1:22" s="468" customFormat="1" ht="30">
      <c r="A52" s="613"/>
      <c r="B52" s="613"/>
      <c r="C52" s="630">
        <v>4350</v>
      </c>
      <c r="D52" s="477" t="s">
        <v>276</v>
      </c>
      <c r="E52" s="529">
        <f t="shared" si="0"/>
        <v>4000</v>
      </c>
      <c r="F52" s="472">
        <f t="shared" si="2"/>
        <v>4000</v>
      </c>
      <c r="G52" s="472">
        <f t="shared" si="3"/>
        <v>4000</v>
      </c>
      <c r="H52" s="478">
        <v>4000</v>
      </c>
      <c r="I52" s="472">
        <f t="shared" si="4"/>
        <v>0</v>
      </c>
      <c r="J52" s="478"/>
      <c r="K52" s="478"/>
      <c r="L52" s="478"/>
      <c r="M52" s="478"/>
      <c r="N52" s="478"/>
      <c r="O52" s="478"/>
      <c r="P52" s="478"/>
      <c r="Q52" s="478"/>
      <c r="R52" s="478"/>
      <c r="S52" s="472">
        <f t="shared" si="6"/>
        <v>0</v>
      </c>
      <c r="T52" s="478"/>
      <c r="U52" s="478"/>
      <c r="V52" s="478"/>
    </row>
    <row r="53" spans="1:22" s="468" customFormat="1" ht="45">
      <c r="A53" s="613"/>
      <c r="B53" s="613"/>
      <c r="C53" s="630">
        <v>4380</v>
      </c>
      <c r="D53" s="477" t="s">
        <v>844</v>
      </c>
      <c r="E53" s="529">
        <f>F53+S53</f>
        <v>28700</v>
      </c>
      <c r="F53" s="472">
        <f>G53+N53+O53+P53+Q53+R53</f>
        <v>28700</v>
      </c>
      <c r="G53" s="472">
        <f>H53+I53</f>
        <v>28700</v>
      </c>
      <c r="H53" s="478">
        <v>28700</v>
      </c>
      <c r="I53" s="472">
        <f>SUM(J53:M53)</f>
        <v>0</v>
      </c>
      <c r="J53" s="478"/>
      <c r="K53" s="478"/>
      <c r="L53" s="478"/>
      <c r="M53" s="478"/>
      <c r="N53" s="478"/>
      <c r="O53" s="478"/>
      <c r="P53" s="478"/>
      <c r="Q53" s="478"/>
      <c r="R53" s="478"/>
      <c r="S53" s="472">
        <f>T53+V53</f>
        <v>0</v>
      </c>
      <c r="T53" s="478"/>
      <c r="U53" s="478"/>
      <c r="V53" s="478"/>
    </row>
    <row r="54" spans="1:22" s="468" customFormat="1" ht="75.75" customHeight="1">
      <c r="A54" s="613"/>
      <c r="B54" s="613"/>
      <c r="C54" s="630">
        <v>4390</v>
      </c>
      <c r="D54" s="477" t="s">
        <v>703</v>
      </c>
      <c r="E54" s="529">
        <f t="shared" si="0"/>
        <v>108500</v>
      </c>
      <c r="F54" s="472">
        <f t="shared" si="2"/>
        <v>108500</v>
      </c>
      <c r="G54" s="472">
        <f t="shared" si="3"/>
        <v>108500</v>
      </c>
      <c r="H54" s="478">
        <v>108500</v>
      </c>
      <c r="I54" s="472">
        <f t="shared" si="4"/>
        <v>0</v>
      </c>
      <c r="J54" s="478"/>
      <c r="K54" s="478"/>
      <c r="L54" s="478"/>
      <c r="M54" s="478"/>
      <c r="N54" s="478"/>
      <c r="O54" s="478"/>
      <c r="P54" s="478"/>
      <c r="Q54" s="478"/>
      <c r="R54" s="478"/>
      <c r="S54" s="472">
        <f t="shared" si="6"/>
        <v>0</v>
      </c>
      <c r="T54" s="478"/>
      <c r="U54" s="478"/>
      <c r="V54" s="478"/>
    </row>
    <row r="55" spans="1:22" s="468" customFormat="1" ht="75">
      <c r="A55" s="613"/>
      <c r="B55" s="613"/>
      <c r="C55" s="630">
        <v>4400</v>
      </c>
      <c r="D55" s="477" t="s">
        <v>25</v>
      </c>
      <c r="E55" s="529">
        <f t="shared" si="0"/>
        <v>200000</v>
      </c>
      <c r="F55" s="472">
        <f t="shared" si="2"/>
        <v>200000</v>
      </c>
      <c r="G55" s="472">
        <f t="shared" si="3"/>
        <v>200000</v>
      </c>
      <c r="H55" s="478">
        <v>200000</v>
      </c>
      <c r="I55" s="472">
        <f t="shared" si="4"/>
        <v>0</v>
      </c>
      <c r="J55" s="478"/>
      <c r="K55" s="478"/>
      <c r="L55" s="478"/>
      <c r="M55" s="478"/>
      <c r="N55" s="478"/>
      <c r="O55" s="478"/>
      <c r="P55" s="478"/>
      <c r="Q55" s="478"/>
      <c r="R55" s="478"/>
      <c r="S55" s="472">
        <f t="shared" si="6"/>
        <v>0</v>
      </c>
      <c r="T55" s="478"/>
      <c r="U55" s="478"/>
      <c r="V55" s="478"/>
    </row>
    <row r="56" spans="1:22" s="468" customFormat="1" ht="30">
      <c r="A56" s="613"/>
      <c r="B56" s="613"/>
      <c r="C56" s="630">
        <v>4480</v>
      </c>
      <c r="D56" s="477" t="s">
        <v>433</v>
      </c>
      <c r="E56" s="529">
        <f t="shared" si="0"/>
        <v>1500</v>
      </c>
      <c r="F56" s="472">
        <f t="shared" si="2"/>
        <v>1500</v>
      </c>
      <c r="G56" s="472">
        <f t="shared" si="3"/>
        <v>1500</v>
      </c>
      <c r="H56" s="478">
        <v>1500</v>
      </c>
      <c r="I56" s="472">
        <f t="shared" si="4"/>
        <v>0</v>
      </c>
      <c r="J56" s="478"/>
      <c r="K56" s="478"/>
      <c r="L56" s="478"/>
      <c r="M56" s="478"/>
      <c r="N56" s="478"/>
      <c r="O56" s="478"/>
      <c r="P56" s="478"/>
      <c r="Q56" s="478"/>
      <c r="R56" s="478"/>
      <c r="S56" s="472">
        <f t="shared" si="6"/>
        <v>0</v>
      </c>
      <c r="T56" s="478"/>
      <c r="U56" s="478"/>
      <c r="V56" s="478"/>
    </row>
    <row r="57" spans="1:22" s="468" customFormat="1" ht="15.75" customHeight="1" hidden="1">
      <c r="A57" s="613"/>
      <c r="B57" s="613"/>
      <c r="C57" s="630">
        <v>4580</v>
      </c>
      <c r="D57" s="477" t="s">
        <v>18</v>
      </c>
      <c r="E57" s="529">
        <f t="shared" si="0"/>
        <v>0</v>
      </c>
      <c r="F57" s="472">
        <f t="shared" si="2"/>
        <v>0</v>
      </c>
      <c r="G57" s="472">
        <f t="shared" si="3"/>
        <v>0</v>
      </c>
      <c r="H57" s="478"/>
      <c r="I57" s="472">
        <f t="shared" si="4"/>
        <v>0</v>
      </c>
      <c r="J57" s="478"/>
      <c r="K57" s="478"/>
      <c r="L57" s="478"/>
      <c r="M57" s="478"/>
      <c r="N57" s="478"/>
      <c r="O57" s="478"/>
      <c r="P57" s="478"/>
      <c r="Q57" s="478"/>
      <c r="R57" s="478"/>
      <c r="S57" s="472">
        <f t="shared" si="6"/>
        <v>0</v>
      </c>
      <c r="T57" s="478"/>
      <c r="U57" s="478"/>
      <c r="V57" s="478"/>
    </row>
    <row r="58" spans="1:22" s="468" customFormat="1" ht="15.75" customHeight="1" hidden="1">
      <c r="A58" s="613"/>
      <c r="B58" s="613"/>
      <c r="C58" s="630">
        <v>4580</v>
      </c>
      <c r="D58" s="477" t="s">
        <v>18</v>
      </c>
      <c r="E58" s="529">
        <f t="shared" si="0"/>
        <v>0</v>
      </c>
      <c r="F58" s="472">
        <f t="shared" si="2"/>
        <v>0</v>
      </c>
      <c r="G58" s="472">
        <f t="shared" si="3"/>
        <v>0</v>
      </c>
      <c r="H58" s="478"/>
      <c r="I58" s="472">
        <f t="shared" si="4"/>
        <v>0</v>
      </c>
      <c r="J58" s="478"/>
      <c r="K58" s="478"/>
      <c r="L58" s="478"/>
      <c r="M58" s="478"/>
      <c r="N58" s="478"/>
      <c r="O58" s="478"/>
      <c r="P58" s="478"/>
      <c r="Q58" s="478"/>
      <c r="R58" s="478"/>
      <c r="S58" s="472">
        <f t="shared" si="6"/>
        <v>0</v>
      </c>
      <c r="T58" s="478"/>
      <c r="U58" s="478"/>
      <c r="V58" s="478"/>
    </row>
    <row r="59" spans="1:22" s="468" customFormat="1" ht="45">
      <c r="A59" s="613"/>
      <c r="B59" s="613"/>
      <c r="C59" s="630">
        <v>4590</v>
      </c>
      <c r="D59" s="477" t="s">
        <v>113</v>
      </c>
      <c r="E59" s="529">
        <f t="shared" si="0"/>
        <v>30000</v>
      </c>
      <c r="F59" s="472">
        <f t="shared" si="2"/>
        <v>30000</v>
      </c>
      <c r="G59" s="472">
        <f t="shared" si="3"/>
        <v>30000</v>
      </c>
      <c r="H59" s="478">
        <v>30000</v>
      </c>
      <c r="I59" s="472">
        <f t="shared" si="4"/>
        <v>0</v>
      </c>
      <c r="J59" s="478"/>
      <c r="K59" s="478"/>
      <c r="L59" s="478"/>
      <c r="M59" s="478"/>
      <c r="N59" s="478"/>
      <c r="O59" s="478"/>
      <c r="P59" s="478"/>
      <c r="Q59" s="478"/>
      <c r="R59" s="478"/>
      <c r="S59" s="472">
        <f t="shared" si="6"/>
        <v>0</v>
      </c>
      <c r="T59" s="478"/>
      <c r="U59" s="478"/>
      <c r="V59" s="478"/>
    </row>
    <row r="60" spans="1:22" s="468" customFormat="1" ht="47.25">
      <c r="A60" s="613"/>
      <c r="B60" s="613"/>
      <c r="C60" s="630">
        <v>4610</v>
      </c>
      <c r="D60" s="481" t="s">
        <v>440</v>
      </c>
      <c r="E60" s="529">
        <f t="shared" si="0"/>
        <v>26000</v>
      </c>
      <c r="F60" s="472">
        <f t="shared" si="2"/>
        <v>26000</v>
      </c>
      <c r="G60" s="472">
        <f t="shared" si="3"/>
        <v>26000</v>
      </c>
      <c r="H60" s="478">
        <v>26000</v>
      </c>
      <c r="I60" s="472">
        <f t="shared" si="4"/>
        <v>0</v>
      </c>
      <c r="J60" s="478"/>
      <c r="K60" s="478"/>
      <c r="L60" s="478"/>
      <c r="M60" s="478"/>
      <c r="N60" s="478"/>
      <c r="O60" s="478"/>
      <c r="P60" s="478"/>
      <c r="Q60" s="478"/>
      <c r="R60" s="478"/>
      <c r="S60" s="472">
        <f t="shared" si="6"/>
        <v>0</v>
      </c>
      <c r="T60" s="478"/>
      <c r="U60" s="478"/>
      <c r="V60" s="478"/>
    </row>
    <row r="61" spans="1:22" s="468" customFormat="1" ht="47.25">
      <c r="A61" s="613"/>
      <c r="B61" s="613"/>
      <c r="C61" s="630">
        <v>4700</v>
      </c>
      <c r="D61" s="481" t="s">
        <v>708</v>
      </c>
      <c r="E61" s="529">
        <f>F61+S61</f>
        <v>2000</v>
      </c>
      <c r="F61" s="472">
        <f>G61+N61+O61+P61+Q61+R61</f>
        <v>2000</v>
      </c>
      <c r="G61" s="472">
        <f>H61+I61</f>
        <v>2000</v>
      </c>
      <c r="H61" s="478">
        <v>2000</v>
      </c>
      <c r="I61" s="472">
        <f>SUM(J61:M61)</f>
        <v>0</v>
      </c>
      <c r="J61" s="478"/>
      <c r="K61" s="478"/>
      <c r="L61" s="478"/>
      <c r="M61" s="478"/>
      <c r="N61" s="478"/>
      <c r="O61" s="478"/>
      <c r="P61" s="478"/>
      <c r="Q61" s="478"/>
      <c r="R61" s="478"/>
      <c r="S61" s="472">
        <f>T61+V61</f>
        <v>0</v>
      </c>
      <c r="T61" s="478"/>
      <c r="U61" s="478"/>
      <c r="V61" s="478"/>
    </row>
    <row r="62" spans="1:22" s="468" customFormat="1" ht="30">
      <c r="A62" s="611"/>
      <c r="B62" s="611"/>
      <c r="C62" s="434">
        <v>6050</v>
      </c>
      <c r="D62" s="480" t="s">
        <v>436</v>
      </c>
      <c r="E62" s="529">
        <f t="shared" si="0"/>
        <v>124600</v>
      </c>
      <c r="F62" s="472">
        <f t="shared" si="2"/>
        <v>0</v>
      </c>
      <c r="G62" s="472">
        <f t="shared" si="3"/>
        <v>0</v>
      </c>
      <c r="H62" s="478"/>
      <c r="I62" s="472">
        <f t="shared" si="4"/>
        <v>0</v>
      </c>
      <c r="J62" s="478"/>
      <c r="K62" s="478"/>
      <c r="L62" s="478"/>
      <c r="M62" s="478"/>
      <c r="N62" s="478"/>
      <c r="O62" s="478"/>
      <c r="P62" s="478"/>
      <c r="Q62" s="478"/>
      <c r="R62" s="478"/>
      <c r="S62" s="472">
        <f t="shared" si="6"/>
        <v>124600</v>
      </c>
      <c r="T62" s="478">
        <v>124600</v>
      </c>
      <c r="U62" s="478"/>
      <c r="V62" s="478"/>
    </row>
    <row r="63" spans="1:22" s="468" customFormat="1" ht="45">
      <c r="A63" s="611"/>
      <c r="B63" s="611"/>
      <c r="C63" s="434">
        <v>6060</v>
      </c>
      <c r="D63" s="480" t="s">
        <v>819</v>
      </c>
      <c r="E63" s="529">
        <f t="shared" si="0"/>
        <v>0</v>
      </c>
      <c r="F63" s="472">
        <f t="shared" si="2"/>
        <v>0</v>
      </c>
      <c r="G63" s="472">
        <f t="shared" si="3"/>
        <v>0</v>
      </c>
      <c r="H63" s="478"/>
      <c r="I63" s="472">
        <f t="shared" si="4"/>
        <v>0</v>
      </c>
      <c r="J63" s="478"/>
      <c r="K63" s="478"/>
      <c r="L63" s="478"/>
      <c r="M63" s="478"/>
      <c r="N63" s="478"/>
      <c r="O63" s="478"/>
      <c r="P63" s="478"/>
      <c r="Q63" s="478"/>
      <c r="R63" s="478"/>
      <c r="S63" s="472">
        <f t="shared" si="6"/>
        <v>0</v>
      </c>
      <c r="T63" s="478"/>
      <c r="U63" s="478"/>
      <c r="V63" s="478"/>
    </row>
    <row r="64" spans="1:22" s="468" customFormat="1" ht="45" customHeight="1" hidden="1">
      <c r="A64" s="611"/>
      <c r="B64" s="611"/>
      <c r="C64" s="434">
        <v>6060</v>
      </c>
      <c r="D64" s="480" t="s">
        <v>85</v>
      </c>
      <c r="E64" s="529">
        <f t="shared" si="0"/>
        <v>0</v>
      </c>
      <c r="F64" s="472">
        <f t="shared" si="2"/>
        <v>0</v>
      </c>
      <c r="G64" s="472">
        <f t="shared" si="3"/>
        <v>0</v>
      </c>
      <c r="H64" s="478"/>
      <c r="I64" s="472">
        <f t="shared" si="4"/>
        <v>0</v>
      </c>
      <c r="J64" s="478"/>
      <c r="K64" s="478"/>
      <c r="L64" s="478"/>
      <c r="M64" s="478"/>
      <c r="N64" s="478"/>
      <c r="O64" s="478"/>
      <c r="P64" s="478"/>
      <c r="Q64" s="478"/>
      <c r="R64" s="478"/>
      <c r="S64" s="472">
        <f t="shared" si="6"/>
        <v>0</v>
      </c>
      <c r="T64" s="478"/>
      <c r="U64" s="478"/>
      <c r="V64" s="478"/>
    </row>
    <row r="65" spans="1:22" s="473" customFormat="1" ht="31.5">
      <c r="A65" s="611">
        <v>710</v>
      </c>
      <c r="B65" s="611"/>
      <c r="C65" s="628"/>
      <c r="D65" s="320" t="s">
        <v>449</v>
      </c>
      <c r="E65" s="529">
        <f t="shared" si="0"/>
        <v>658663</v>
      </c>
      <c r="F65" s="472">
        <f t="shared" si="2"/>
        <v>658663</v>
      </c>
      <c r="G65" s="472">
        <f t="shared" si="3"/>
        <v>658133</v>
      </c>
      <c r="H65" s="472">
        <f>SUM(H66+H68+H70+H96)</f>
        <v>194733</v>
      </c>
      <c r="I65" s="472">
        <f t="shared" si="4"/>
        <v>463400</v>
      </c>
      <c r="J65" s="472">
        <f aca="true" t="shared" si="14" ref="J65:R65">SUM(J66+J68+J70+J96)</f>
        <v>361450</v>
      </c>
      <c r="K65" s="472">
        <f t="shared" si="14"/>
        <v>28000</v>
      </c>
      <c r="L65" s="472">
        <f t="shared" si="14"/>
        <v>71250</v>
      </c>
      <c r="M65" s="472">
        <f t="shared" si="14"/>
        <v>2700</v>
      </c>
      <c r="N65" s="472">
        <f t="shared" si="14"/>
        <v>530</v>
      </c>
      <c r="O65" s="472">
        <f t="shared" si="14"/>
        <v>0</v>
      </c>
      <c r="P65" s="472">
        <f>SUM(P66+P68+P70+P96)</f>
        <v>0</v>
      </c>
      <c r="Q65" s="472">
        <f t="shared" si="14"/>
        <v>0</v>
      </c>
      <c r="R65" s="472">
        <f t="shared" si="14"/>
        <v>0</v>
      </c>
      <c r="S65" s="472">
        <f t="shared" si="6"/>
        <v>0</v>
      </c>
      <c r="T65" s="472">
        <f>SUM(T66+T68+T70+T96)</f>
        <v>0</v>
      </c>
      <c r="U65" s="472">
        <f>SUM(U66+U68+U70+U96)</f>
        <v>0</v>
      </c>
      <c r="V65" s="472">
        <f>SUM(V66+V68+V70+V96)</f>
        <v>0</v>
      </c>
    </row>
    <row r="66" spans="1:22" s="476" customFormat="1" ht="47.25">
      <c r="A66" s="612"/>
      <c r="B66" s="612">
        <v>71013</v>
      </c>
      <c r="C66" s="629"/>
      <c r="D66" s="271" t="s">
        <v>515</v>
      </c>
      <c r="E66" s="529">
        <f t="shared" si="0"/>
        <v>70000</v>
      </c>
      <c r="F66" s="472">
        <f t="shared" si="2"/>
        <v>70000</v>
      </c>
      <c r="G66" s="472">
        <f t="shared" si="3"/>
        <v>70000</v>
      </c>
      <c r="H66" s="475">
        <f aca="true" t="shared" si="15" ref="H66:V66">SUM(H67)</f>
        <v>70000</v>
      </c>
      <c r="I66" s="472">
        <f t="shared" si="4"/>
        <v>0</v>
      </c>
      <c r="J66" s="475">
        <f t="shared" si="15"/>
        <v>0</v>
      </c>
      <c r="K66" s="475">
        <f t="shared" si="15"/>
        <v>0</v>
      </c>
      <c r="L66" s="475">
        <f t="shared" si="15"/>
        <v>0</v>
      </c>
      <c r="M66" s="475">
        <f t="shared" si="15"/>
        <v>0</v>
      </c>
      <c r="N66" s="475">
        <f t="shared" si="15"/>
        <v>0</v>
      </c>
      <c r="O66" s="475">
        <f t="shared" si="15"/>
        <v>0</v>
      </c>
      <c r="P66" s="475">
        <f t="shared" si="15"/>
        <v>0</v>
      </c>
      <c r="Q66" s="475">
        <f t="shared" si="15"/>
        <v>0</v>
      </c>
      <c r="R66" s="475">
        <f t="shared" si="15"/>
        <v>0</v>
      </c>
      <c r="S66" s="472">
        <f t="shared" si="6"/>
        <v>0</v>
      </c>
      <c r="T66" s="475">
        <f t="shared" si="15"/>
        <v>0</v>
      </c>
      <c r="U66" s="475">
        <f t="shared" si="15"/>
        <v>0</v>
      </c>
      <c r="V66" s="475">
        <f t="shared" si="15"/>
        <v>0</v>
      </c>
    </row>
    <row r="67" spans="1:22" s="468" customFormat="1" ht="30">
      <c r="A67" s="613"/>
      <c r="B67" s="613"/>
      <c r="C67" s="630">
        <v>4300</v>
      </c>
      <c r="D67" s="477" t="s">
        <v>405</v>
      </c>
      <c r="E67" s="529">
        <f t="shared" si="0"/>
        <v>70000</v>
      </c>
      <c r="F67" s="472">
        <f t="shared" si="2"/>
        <v>70000</v>
      </c>
      <c r="G67" s="472">
        <f t="shared" si="3"/>
        <v>70000</v>
      </c>
      <c r="H67" s="478">
        <v>70000</v>
      </c>
      <c r="I67" s="472">
        <f t="shared" si="4"/>
        <v>0</v>
      </c>
      <c r="J67" s="478"/>
      <c r="K67" s="478"/>
      <c r="L67" s="478"/>
      <c r="M67" s="478"/>
      <c r="N67" s="478"/>
      <c r="O67" s="478"/>
      <c r="P67" s="478"/>
      <c r="Q67" s="478"/>
      <c r="R67" s="478"/>
      <c r="S67" s="472">
        <f t="shared" si="6"/>
        <v>0</v>
      </c>
      <c r="T67" s="478"/>
      <c r="U67" s="478"/>
      <c r="V67" s="478"/>
    </row>
    <row r="68" spans="1:22" s="476" customFormat="1" ht="47.25">
      <c r="A68" s="612"/>
      <c r="B68" s="612">
        <v>71014</v>
      </c>
      <c r="C68" s="629"/>
      <c r="D68" s="271" t="s">
        <v>516</v>
      </c>
      <c r="E68" s="529">
        <f t="shared" si="0"/>
        <v>4900</v>
      </c>
      <c r="F68" s="472">
        <f t="shared" si="2"/>
        <v>4900</v>
      </c>
      <c r="G68" s="472">
        <f t="shared" si="3"/>
        <v>4900</v>
      </c>
      <c r="H68" s="475">
        <f aca="true" t="shared" si="16" ref="H68:V68">SUM(H69:H69)</f>
        <v>4900</v>
      </c>
      <c r="I68" s="472">
        <f t="shared" si="4"/>
        <v>0</v>
      </c>
      <c r="J68" s="475">
        <f t="shared" si="16"/>
        <v>0</v>
      </c>
      <c r="K68" s="475">
        <f t="shared" si="16"/>
        <v>0</v>
      </c>
      <c r="L68" s="475">
        <f t="shared" si="16"/>
        <v>0</v>
      </c>
      <c r="M68" s="475">
        <f t="shared" si="16"/>
        <v>0</v>
      </c>
      <c r="N68" s="475">
        <f t="shared" si="16"/>
        <v>0</v>
      </c>
      <c r="O68" s="475">
        <f t="shared" si="16"/>
        <v>0</v>
      </c>
      <c r="P68" s="475">
        <f t="shared" si="16"/>
        <v>0</v>
      </c>
      <c r="Q68" s="475">
        <f t="shared" si="16"/>
        <v>0</v>
      </c>
      <c r="R68" s="475">
        <f t="shared" si="16"/>
        <v>0</v>
      </c>
      <c r="S68" s="472">
        <f t="shared" si="6"/>
        <v>0</v>
      </c>
      <c r="T68" s="475">
        <f t="shared" si="16"/>
        <v>0</v>
      </c>
      <c r="U68" s="475">
        <f t="shared" si="16"/>
        <v>0</v>
      </c>
      <c r="V68" s="475">
        <f t="shared" si="16"/>
        <v>0</v>
      </c>
    </row>
    <row r="69" spans="1:22" s="468" customFormat="1" ht="45">
      <c r="A69" s="613"/>
      <c r="B69" s="613"/>
      <c r="C69" s="630">
        <v>4390</v>
      </c>
      <c r="D69" s="477" t="s">
        <v>703</v>
      </c>
      <c r="E69" s="529">
        <f t="shared" si="0"/>
        <v>4900</v>
      </c>
      <c r="F69" s="472">
        <f t="shared" si="2"/>
        <v>4900</v>
      </c>
      <c r="G69" s="472">
        <f t="shared" si="3"/>
        <v>4900</v>
      </c>
      <c r="H69" s="478">
        <v>4900</v>
      </c>
      <c r="I69" s="472">
        <f t="shared" si="4"/>
        <v>0</v>
      </c>
      <c r="J69" s="478"/>
      <c r="K69" s="478"/>
      <c r="L69" s="478"/>
      <c r="M69" s="478"/>
      <c r="N69" s="478"/>
      <c r="O69" s="478"/>
      <c r="P69" s="478"/>
      <c r="Q69" s="478"/>
      <c r="R69" s="478"/>
      <c r="S69" s="472">
        <f t="shared" si="6"/>
        <v>0</v>
      </c>
      <c r="T69" s="478"/>
      <c r="U69" s="478"/>
      <c r="V69" s="478"/>
    </row>
    <row r="70" spans="1:22" s="476" customFormat="1" ht="15.75">
      <c r="A70" s="612"/>
      <c r="B70" s="612">
        <v>71015</v>
      </c>
      <c r="C70" s="629"/>
      <c r="D70" s="271" t="s">
        <v>517</v>
      </c>
      <c r="E70" s="529">
        <f t="shared" si="0"/>
        <v>579763</v>
      </c>
      <c r="F70" s="472">
        <f t="shared" si="2"/>
        <v>579763</v>
      </c>
      <c r="G70" s="472">
        <f t="shared" si="3"/>
        <v>579233</v>
      </c>
      <c r="H70" s="475">
        <f>SUM(H71:H95)</f>
        <v>115833</v>
      </c>
      <c r="I70" s="472">
        <f t="shared" si="4"/>
        <v>463400</v>
      </c>
      <c r="J70" s="475">
        <f aca="true" t="shared" si="17" ref="J70:R70">SUM(J71:J95)</f>
        <v>361450</v>
      </c>
      <c r="K70" s="475">
        <f t="shared" si="17"/>
        <v>28000</v>
      </c>
      <c r="L70" s="475">
        <f t="shared" si="17"/>
        <v>71250</v>
      </c>
      <c r="M70" s="475">
        <f t="shared" si="17"/>
        <v>2700</v>
      </c>
      <c r="N70" s="475">
        <f t="shared" si="17"/>
        <v>530</v>
      </c>
      <c r="O70" s="475">
        <f t="shared" si="17"/>
        <v>0</v>
      </c>
      <c r="P70" s="475">
        <f>SUM(P71:P95)</f>
        <v>0</v>
      </c>
      <c r="Q70" s="475">
        <f t="shared" si="17"/>
        <v>0</v>
      </c>
      <c r="R70" s="475">
        <f t="shared" si="17"/>
        <v>0</v>
      </c>
      <c r="S70" s="472">
        <f t="shared" si="6"/>
        <v>0</v>
      </c>
      <c r="T70" s="475">
        <f>SUM(T71:T95)</f>
        <v>0</v>
      </c>
      <c r="U70" s="475">
        <f>SUM(U71:U95)</f>
        <v>0</v>
      </c>
      <c r="V70" s="475">
        <f>SUM(V71:V95)</f>
        <v>0</v>
      </c>
    </row>
    <row r="71" spans="1:22" s="468" customFormat="1" ht="45">
      <c r="A71" s="611"/>
      <c r="B71" s="611"/>
      <c r="C71" s="630">
        <v>3020</v>
      </c>
      <c r="D71" s="477" t="s">
        <v>709</v>
      </c>
      <c r="E71" s="529">
        <f t="shared" si="0"/>
        <v>530</v>
      </c>
      <c r="F71" s="472">
        <f t="shared" si="2"/>
        <v>530</v>
      </c>
      <c r="G71" s="472">
        <f t="shared" si="3"/>
        <v>0</v>
      </c>
      <c r="H71" s="478"/>
      <c r="I71" s="472">
        <f t="shared" si="4"/>
        <v>0</v>
      </c>
      <c r="J71" s="478"/>
      <c r="K71" s="478"/>
      <c r="L71" s="478"/>
      <c r="M71" s="478"/>
      <c r="N71" s="478">
        <v>530</v>
      </c>
      <c r="O71" s="478"/>
      <c r="P71" s="478"/>
      <c r="Q71" s="478"/>
      <c r="R71" s="478"/>
      <c r="S71" s="472">
        <f t="shared" si="6"/>
        <v>0</v>
      </c>
      <c r="T71" s="478"/>
      <c r="U71" s="478"/>
      <c r="V71" s="478"/>
    </row>
    <row r="72" spans="1:22" s="468" customFormat="1" ht="30">
      <c r="A72" s="611"/>
      <c r="B72" s="611"/>
      <c r="C72" s="434">
        <v>4010</v>
      </c>
      <c r="D72" s="477" t="s">
        <v>417</v>
      </c>
      <c r="E72" s="529">
        <f t="shared" si="0"/>
        <v>93300</v>
      </c>
      <c r="F72" s="472">
        <f t="shared" si="2"/>
        <v>93300</v>
      </c>
      <c r="G72" s="472">
        <f t="shared" si="3"/>
        <v>93300</v>
      </c>
      <c r="H72" s="478"/>
      <c r="I72" s="472">
        <f t="shared" si="4"/>
        <v>93300</v>
      </c>
      <c r="J72" s="478">
        <v>93300</v>
      </c>
      <c r="K72" s="478"/>
      <c r="L72" s="478"/>
      <c r="M72" s="478"/>
      <c r="N72" s="478"/>
      <c r="O72" s="478"/>
      <c r="P72" s="478"/>
      <c r="Q72" s="478"/>
      <c r="R72" s="478"/>
      <c r="S72" s="472">
        <f t="shared" si="6"/>
        <v>0</v>
      </c>
      <c r="T72" s="478"/>
      <c r="U72" s="478"/>
      <c r="V72" s="478"/>
    </row>
    <row r="73" spans="1:22" s="468" customFormat="1" ht="45">
      <c r="A73" s="611"/>
      <c r="B73" s="611"/>
      <c r="C73" s="434">
        <v>4020</v>
      </c>
      <c r="D73" s="477" t="s">
        <v>775</v>
      </c>
      <c r="E73" s="529">
        <f t="shared" si="0"/>
        <v>268150</v>
      </c>
      <c r="F73" s="472">
        <f t="shared" si="2"/>
        <v>268150</v>
      </c>
      <c r="G73" s="472">
        <f t="shared" si="3"/>
        <v>268150</v>
      </c>
      <c r="H73" s="478"/>
      <c r="I73" s="472">
        <f t="shared" si="4"/>
        <v>268150</v>
      </c>
      <c r="J73" s="478">
        <v>268150</v>
      </c>
      <c r="K73" s="478"/>
      <c r="L73" s="478"/>
      <c r="M73" s="478"/>
      <c r="N73" s="478"/>
      <c r="O73" s="478"/>
      <c r="P73" s="478"/>
      <c r="Q73" s="478"/>
      <c r="R73" s="478"/>
      <c r="S73" s="472">
        <f t="shared" si="6"/>
        <v>0</v>
      </c>
      <c r="T73" s="478"/>
      <c r="U73" s="478"/>
      <c r="V73" s="478"/>
    </row>
    <row r="74" spans="1:22" s="468" customFormat="1" ht="30">
      <c r="A74" s="611"/>
      <c r="B74" s="611"/>
      <c r="C74" s="630">
        <v>4040</v>
      </c>
      <c r="D74" s="477" t="s">
        <v>418</v>
      </c>
      <c r="E74" s="529">
        <f t="shared" si="0"/>
        <v>28000</v>
      </c>
      <c r="F74" s="472">
        <f t="shared" si="2"/>
        <v>28000</v>
      </c>
      <c r="G74" s="472">
        <f t="shared" si="3"/>
        <v>28000</v>
      </c>
      <c r="H74" s="478"/>
      <c r="I74" s="472">
        <f t="shared" si="4"/>
        <v>28000</v>
      </c>
      <c r="J74" s="478"/>
      <c r="K74" s="478">
        <v>28000</v>
      </c>
      <c r="L74" s="478"/>
      <c r="M74" s="478"/>
      <c r="N74" s="478"/>
      <c r="O74" s="478"/>
      <c r="P74" s="478"/>
      <c r="Q74" s="478"/>
      <c r="R74" s="478"/>
      <c r="S74" s="472">
        <f t="shared" si="6"/>
        <v>0</v>
      </c>
      <c r="T74" s="478"/>
      <c r="U74" s="478"/>
      <c r="V74" s="478"/>
    </row>
    <row r="75" spans="1:22" s="468" customFormat="1" ht="45">
      <c r="A75" s="611"/>
      <c r="B75" s="611"/>
      <c r="C75" s="630">
        <v>4110</v>
      </c>
      <c r="D75" s="477" t="s">
        <v>419</v>
      </c>
      <c r="E75" s="529">
        <f t="shared" si="0"/>
        <v>61730</v>
      </c>
      <c r="F75" s="472">
        <f t="shared" si="2"/>
        <v>61730</v>
      </c>
      <c r="G75" s="472">
        <f t="shared" si="3"/>
        <v>61730</v>
      </c>
      <c r="H75" s="478"/>
      <c r="I75" s="472">
        <f t="shared" si="4"/>
        <v>61730</v>
      </c>
      <c r="J75" s="478"/>
      <c r="K75" s="478"/>
      <c r="L75" s="478">
        <v>61730</v>
      </c>
      <c r="M75" s="478"/>
      <c r="N75" s="478"/>
      <c r="O75" s="478"/>
      <c r="P75" s="478"/>
      <c r="Q75" s="478"/>
      <c r="R75" s="478"/>
      <c r="S75" s="472">
        <f t="shared" si="6"/>
        <v>0</v>
      </c>
      <c r="T75" s="478"/>
      <c r="U75" s="478"/>
      <c r="V75" s="478"/>
    </row>
    <row r="76" spans="1:22" s="468" customFormat="1" ht="30">
      <c r="A76" s="611"/>
      <c r="B76" s="611"/>
      <c r="C76" s="630">
        <v>4120</v>
      </c>
      <c r="D76" s="477" t="s">
        <v>420</v>
      </c>
      <c r="E76" s="529">
        <f aca="true" t="shared" si="18" ref="E76:E140">F76+S76</f>
        <v>9520</v>
      </c>
      <c r="F76" s="472">
        <f t="shared" si="2"/>
        <v>9520</v>
      </c>
      <c r="G76" s="472">
        <f t="shared" si="3"/>
        <v>9520</v>
      </c>
      <c r="H76" s="478"/>
      <c r="I76" s="472">
        <f t="shared" si="4"/>
        <v>9520</v>
      </c>
      <c r="J76" s="478"/>
      <c r="K76" s="478"/>
      <c r="L76" s="478">
        <v>9520</v>
      </c>
      <c r="M76" s="478"/>
      <c r="N76" s="478"/>
      <c r="O76" s="478"/>
      <c r="P76" s="478"/>
      <c r="Q76" s="478"/>
      <c r="R76" s="478"/>
      <c r="S76" s="472">
        <f t="shared" si="6"/>
        <v>0</v>
      </c>
      <c r="T76" s="478"/>
      <c r="U76" s="478"/>
      <c r="V76" s="478"/>
    </row>
    <row r="77" spans="1:22" s="468" customFormat="1" ht="30">
      <c r="A77" s="615"/>
      <c r="B77" s="611"/>
      <c r="C77" s="630">
        <v>4170</v>
      </c>
      <c r="D77" s="477" t="s">
        <v>518</v>
      </c>
      <c r="E77" s="529">
        <f t="shared" si="18"/>
        <v>2700</v>
      </c>
      <c r="F77" s="472">
        <f aca="true" t="shared" si="19" ref="F77:F141">G77+N77+O77+P77+Q77+R77</f>
        <v>2700</v>
      </c>
      <c r="G77" s="472">
        <f aca="true" t="shared" si="20" ref="G77:G141">H77+I77</f>
        <v>2700</v>
      </c>
      <c r="H77" s="478"/>
      <c r="I77" s="472">
        <f aca="true" t="shared" si="21" ref="I77:I141">SUM(J77:M77)</f>
        <v>2700</v>
      </c>
      <c r="J77" s="478"/>
      <c r="K77" s="478"/>
      <c r="L77" s="478"/>
      <c r="M77" s="478">
        <v>2700</v>
      </c>
      <c r="N77" s="478"/>
      <c r="O77" s="478"/>
      <c r="P77" s="478"/>
      <c r="Q77" s="478"/>
      <c r="R77" s="478"/>
      <c r="S77" s="472">
        <f aca="true" t="shared" si="22" ref="S77:S141">T77+V77</f>
        <v>0</v>
      </c>
      <c r="T77" s="478"/>
      <c r="U77" s="478"/>
      <c r="V77" s="478"/>
    </row>
    <row r="78" spans="1:22" s="468" customFormat="1" ht="30">
      <c r="A78" s="611"/>
      <c r="B78" s="611"/>
      <c r="C78" s="630">
        <v>4210</v>
      </c>
      <c r="D78" s="477" t="s">
        <v>422</v>
      </c>
      <c r="E78" s="529">
        <f t="shared" si="18"/>
        <v>23233</v>
      </c>
      <c r="F78" s="472">
        <f t="shared" si="19"/>
        <v>23233</v>
      </c>
      <c r="G78" s="472">
        <f t="shared" si="20"/>
        <v>23233</v>
      </c>
      <c r="H78" s="478">
        <v>23233</v>
      </c>
      <c r="I78" s="472">
        <f t="shared" si="21"/>
        <v>0</v>
      </c>
      <c r="J78" s="478"/>
      <c r="K78" s="478"/>
      <c r="L78" s="478"/>
      <c r="M78" s="478"/>
      <c r="N78" s="478"/>
      <c r="O78" s="478"/>
      <c r="P78" s="478"/>
      <c r="Q78" s="478"/>
      <c r="R78" s="478"/>
      <c r="S78" s="472">
        <f t="shared" si="22"/>
        <v>0</v>
      </c>
      <c r="T78" s="478"/>
      <c r="U78" s="478"/>
      <c r="V78" s="478"/>
    </row>
    <row r="79" spans="1:22" s="468" customFormat="1" ht="15.75">
      <c r="A79" s="611"/>
      <c r="B79" s="611"/>
      <c r="C79" s="630">
        <v>4260</v>
      </c>
      <c r="D79" s="477" t="s">
        <v>423</v>
      </c>
      <c r="E79" s="529">
        <f t="shared" si="18"/>
        <v>12500</v>
      </c>
      <c r="F79" s="472">
        <f t="shared" si="19"/>
        <v>12500</v>
      </c>
      <c r="G79" s="472">
        <f t="shared" si="20"/>
        <v>12500</v>
      </c>
      <c r="H79" s="478">
        <v>12500</v>
      </c>
      <c r="I79" s="472">
        <f t="shared" si="21"/>
        <v>0</v>
      </c>
      <c r="J79" s="478"/>
      <c r="K79" s="478"/>
      <c r="L79" s="478"/>
      <c r="M79" s="478"/>
      <c r="N79" s="478"/>
      <c r="O79" s="478"/>
      <c r="P79" s="478"/>
      <c r="Q79" s="478"/>
      <c r="R79" s="478"/>
      <c r="S79" s="472">
        <f t="shared" si="22"/>
        <v>0</v>
      </c>
      <c r="T79" s="478"/>
      <c r="U79" s="478"/>
      <c r="V79" s="478"/>
    </row>
    <row r="80" spans="1:22" s="468" customFormat="1" ht="30">
      <c r="A80" s="611"/>
      <c r="B80" s="611"/>
      <c r="C80" s="630">
        <v>4270</v>
      </c>
      <c r="D80" s="477" t="s">
        <v>439</v>
      </c>
      <c r="E80" s="529">
        <f t="shared" si="18"/>
        <v>1150</v>
      </c>
      <c r="F80" s="472">
        <f t="shared" si="19"/>
        <v>1150</v>
      </c>
      <c r="G80" s="472">
        <f t="shared" si="20"/>
        <v>1150</v>
      </c>
      <c r="H80" s="478">
        <v>1150</v>
      </c>
      <c r="I80" s="472">
        <f t="shared" si="21"/>
        <v>0</v>
      </c>
      <c r="J80" s="478"/>
      <c r="K80" s="478"/>
      <c r="L80" s="478"/>
      <c r="M80" s="478"/>
      <c r="N80" s="478"/>
      <c r="O80" s="478"/>
      <c r="P80" s="478"/>
      <c r="Q80" s="478"/>
      <c r="R80" s="478"/>
      <c r="S80" s="472">
        <f t="shared" si="22"/>
        <v>0</v>
      </c>
      <c r="T80" s="478"/>
      <c r="U80" s="478"/>
      <c r="V80" s="478"/>
    </row>
    <row r="81" spans="1:22" s="468" customFormat="1" ht="15.75">
      <c r="A81" s="611"/>
      <c r="B81" s="611"/>
      <c r="C81" s="630">
        <v>4280</v>
      </c>
      <c r="D81" s="477" t="s">
        <v>519</v>
      </c>
      <c r="E81" s="529">
        <f t="shared" si="18"/>
        <v>200</v>
      </c>
      <c r="F81" s="472">
        <f t="shared" si="19"/>
        <v>200</v>
      </c>
      <c r="G81" s="472">
        <f t="shared" si="20"/>
        <v>200</v>
      </c>
      <c r="H81" s="478">
        <v>200</v>
      </c>
      <c r="I81" s="472">
        <f t="shared" si="21"/>
        <v>0</v>
      </c>
      <c r="J81" s="478"/>
      <c r="K81" s="478"/>
      <c r="L81" s="478"/>
      <c r="M81" s="478"/>
      <c r="N81" s="478"/>
      <c r="O81" s="478"/>
      <c r="P81" s="478"/>
      <c r="Q81" s="478"/>
      <c r="R81" s="478"/>
      <c r="S81" s="472">
        <f t="shared" si="22"/>
        <v>0</v>
      </c>
      <c r="T81" s="478"/>
      <c r="U81" s="478"/>
      <c r="V81" s="478"/>
    </row>
    <row r="82" spans="1:22" s="468" customFormat="1" ht="33.75" customHeight="1">
      <c r="A82" s="611"/>
      <c r="B82" s="611"/>
      <c r="C82" s="630">
        <v>4300</v>
      </c>
      <c r="D82" s="477" t="s">
        <v>520</v>
      </c>
      <c r="E82" s="529">
        <f t="shared" si="18"/>
        <v>46843</v>
      </c>
      <c r="F82" s="472">
        <f t="shared" si="19"/>
        <v>46843</v>
      </c>
      <c r="G82" s="472">
        <f t="shared" si="20"/>
        <v>46843</v>
      </c>
      <c r="H82" s="478">
        <v>46843</v>
      </c>
      <c r="I82" s="472">
        <f t="shared" si="21"/>
        <v>0</v>
      </c>
      <c r="J82" s="478"/>
      <c r="K82" s="478"/>
      <c r="L82" s="478"/>
      <c r="M82" s="478"/>
      <c r="N82" s="478"/>
      <c r="O82" s="478"/>
      <c r="P82" s="478"/>
      <c r="Q82" s="478"/>
      <c r="R82" s="478"/>
      <c r="S82" s="472">
        <f t="shared" si="22"/>
        <v>0</v>
      </c>
      <c r="T82" s="478"/>
      <c r="U82" s="478"/>
      <c r="V82" s="478"/>
    </row>
    <row r="83" spans="1:22" s="468" customFormat="1" ht="30">
      <c r="A83" s="611"/>
      <c r="B83" s="611"/>
      <c r="C83" s="630">
        <v>4350</v>
      </c>
      <c r="D83" s="477" t="s">
        <v>276</v>
      </c>
      <c r="E83" s="529">
        <f t="shared" si="18"/>
        <v>700</v>
      </c>
      <c r="F83" s="472">
        <f t="shared" si="19"/>
        <v>700</v>
      </c>
      <c r="G83" s="472">
        <f t="shared" si="20"/>
        <v>700</v>
      </c>
      <c r="H83" s="478">
        <v>700</v>
      </c>
      <c r="I83" s="472">
        <f t="shared" si="21"/>
        <v>0</v>
      </c>
      <c r="J83" s="478"/>
      <c r="K83" s="478"/>
      <c r="L83" s="478"/>
      <c r="M83" s="478"/>
      <c r="N83" s="478"/>
      <c r="O83" s="478"/>
      <c r="P83" s="478"/>
      <c r="Q83" s="478"/>
      <c r="R83" s="478"/>
      <c r="S83" s="472">
        <f t="shared" si="22"/>
        <v>0</v>
      </c>
      <c r="T83" s="478"/>
      <c r="U83" s="478"/>
      <c r="V83" s="478"/>
    </row>
    <row r="84" spans="1:22" s="468" customFormat="1" ht="45">
      <c r="A84" s="611"/>
      <c r="B84" s="611"/>
      <c r="C84" s="630">
        <v>4360</v>
      </c>
      <c r="D84" s="477" t="s">
        <v>704</v>
      </c>
      <c r="E84" s="529">
        <f t="shared" si="18"/>
        <v>1200</v>
      </c>
      <c r="F84" s="472">
        <f t="shared" si="19"/>
        <v>1200</v>
      </c>
      <c r="G84" s="472">
        <f t="shared" si="20"/>
        <v>1200</v>
      </c>
      <c r="H84" s="478">
        <v>1200</v>
      </c>
      <c r="I84" s="472">
        <f t="shared" si="21"/>
        <v>0</v>
      </c>
      <c r="J84" s="478"/>
      <c r="K84" s="478"/>
      <c r="L84" s="478"/>
      <c r="M84" s="478"/>
      <c r="N84" s="478"/>
      <c r="O84" s="478"/>
      <c r="P84" s="478"/>
      <c r="Q84" s="478"/>
      <c r="R84" s="478"/>
      <c r="S84" s="472">
        <f t="shared" si="22"/>
        <v>0</v>
      </c>
      <c r="T84" s="478"/>
      <c r="U84" s="478"/>
      <c r="V84" s="478"/>
    </row>
    <row r="85" spans="1:22" s="468" customFormat="1" ht="45">
      <c r="A85" s="611"/>
      <c r="B85" s="611"/>
      <c r="C85" s="630">
        <v>4370</v>
      </c>
      <c r="D85" s="477" t="s">
        <v>705</v>
      </c>
      <c r="E85" s="529">
        <f t="shared" si="18"/>
        <v>4800</v>
      </c>
      <c r="F85" s="472">
        <f t="shared" si="19"/>
        <v>4800</v>
      </c>
      <c r="G85" s="472">
        <f t="shared" si="20"/>
        <v>4800</v>
      </c>
      <c r="H85" s="478">
        <v>4800</v>
      </c>
      <c r="I85" s="472">
        <f t="shared" si="21"/>
        <v>0</v>
      </c>
      <c r="J85" s="478"/>
      <c r="K85" s="478"/>
      <c r="L85" s="478"/>
      <c r="M85" s="478"/>
      <c r="N85" s="478"/>
      <c r="O85" s="478"/>
      <c r="P85" s="478"/>
      <c r="Q85" s="478"/>
      <c r="R85" s="478"/>
      <c r="S85" s="472">
        <f t="shared" si="22"/>
        <v>0</v>
      </c>
      <c r="T85" s="478"/>
      <c r="U85" s="478"/>
      <c r="V85" s="478"/>
    </row>
    <row r="86" spans="1:22" s="468" customFormat="1" ht="75">
      <c r="A86" s="611"/>
      <c r="B86" s="611"/>
      <c r="C86" s="630">
        <v>4400</v>
      </c>
      <c r="D86" s="477" t="s">
        <v>25</v>
      </c>
      <c r="E86" s="529">
        <f t="shared" si="18"/>
        <v>4700</v>
      </c>
      <c r="F86" s="472">
        <f t="shared" si="19"/>
        <v>4700</v>
      </c>
      <c r="G86" s="472">
        <f t="shared" si="20"/>
        <v>4700</v>
      </c>
      <c r="H86" s="478">
        <v>4700</v>
      </c>
      <c r="I86" s="472">
        <f t="shared" si="21"/>
        <v>0</v>
      </c>
      <c r="J86" s="478"/>
      <c r="K86" s="478"/>
      <c r="L86" s="478"/>
      <c r="M86" s="478"/>
      <c r="N86" s="478"/>
      <c r="O86" s="478"/>
      <c r="P86" s="478"/>
      <c r="Q86" s="478"/>
      <c r="R86" s="478"/>
      <c r="S86" s="472">
        <f t="shared" si="22"/>
        <v>0</v>
      </c>
      <c r="T86" s="478"/>
      <c r="U86" s="478"/>
      <c r="V86" s="478"/>
    </row>
    <row r="87" spans="1:22" s="468" customFormat="1" ht="30">
      <c r="A87" s="611"/>
      <c r="B87" s="611"/>
      <c r="C87" s="630">
        <v>4410</v>
      </c>
      <c r="D87" s="477" t="s">
        <v>430</v>
      </c>
      <c r="E87" s="529">
        <f t="shared" si="18"/>
        <v>3000</v>
      </c>
      <c r="F87" s="472">
        <f t="shared" si="19"/>
        <v>3000</v>
      </c>
      <c r="G87" s="472">
        <f t="shared" si="20"/>
        <v>3000</v>
      </c>
      <c r="H87" s="478">
        <v>3000</v>
      </c>
      <c r="I87" s="472">
        <f t="shared" si="21"/>
        <v>0</v>
      </c>
      <c r="J87" s="478"/>
      <c r="K87" s="478"/>
      <c r="L87" s="478"/>
      <c r="M87" s="478"/>
      <c r="N87" s="478"/>
      <c r="O87" s="478"/>
      <c r="P87" s="478"/>
      <c r="Q87" s="478"/>
      <c r="R87" s="478"/>
      <c r="S87" s="472">
        <f t="shared" si="22"/>
        <v>0</v>
      </c>
      <c r="T87" s="478"/>
      <c r="U87" s="478"/>
      <c r="V87" s="478"/>
    </row>
    <row r="88" spans="1:22" s="468" customFormat="1" ht="15.75">
      <c r="A88" s="611"/>
      <c r="B88" s="611"/>
      <c r="C88" s="630">
        <v>4430</v>
      </c>
      <c r="D88" s="477" t="s">
        <v>431</v>
      </c>
      <c r="E88" s="529">
        <f t="shared" si="18"/>
        <v>3350</v>
      </c>
      <c r="F88" s="472">
        <f t="shared" si="19"/>
        <v>3350</v>
      </c>
      <c r="G88" s="472">
        <f t="shared" si="20"/>
        <v>3350</v>
      </c>
      <c r="H88" s="478">
        <v>3350</v>
      </c>
      <c r="I88" s="472">
        <f t="shared" si="21"/>
        <v>0</v>
      </c>
      <c r="J88" s="478"/>
      <c r="K88" s="478"/>
      <c r="L88" s="478"/>
      <c r="M88" s="478"/>
      <c r="N88" s="478"/>
      <c r="O88" s="478"/>
      <c r="P88" s="478"/>
      <c r="Q88" s="478"/>
      <c r="R88" s="478"/>
      <c r="S88" s="472">
        <f t="shared" si="22"/>
        <v>0</v>
      </c>
      <c r="T88" s="478"/>
      <c r="U88" s="478"/>
      <c r="V88" s="478"/>
    </row>
    <row r="89" spans="1:22" s="468" customFormat="1" ht="57.75" customHeight="1">
      <c r="A89" s="611"/>
      <c r="B89" s="611"/>
      <c r="C89" s="630">
        <v>4440</v>
      </c>
      <c r="D89" s="477" t="s">
        <v>432</v>
      </c>
      <c r="E89" s="529">
        <f t="shared" si="18"/>
        <v>8907</v>
      </c>
      <c r="F89" s="472">
        <f t="shared" si="19"/>
        <v>8907</v>
      </c>
      <c r="G89" s="472">
        <f t="shared" si="20"/>
        <v>8907</v>
      </c>
      <c r="H89" s="478">
        <v>8907</v>
      </c>
      <c r="I89" s="472">
        <f t="shared" si="21"/>
        <v>0</v>
      </c>
      <c r="J89" s="478"/>
      <c r="K89" s="478"/>
      <c r="L89" s="478"/>
      <c r="M89" s="478"/>
      <c r="N89" s="478"/>
      <c r="O89" s="478"/>
      <c r="P89" s="478"/>
      <c r="Q89" s="478"/>
      <c r="R89" s="478"/>
      <c r="S89" s="472">
        <f t="shared" si="22"/>
        <v>0</v>
      </c>
      <c r="T89" s="478"/>
      <c r="U89" s="478"/>
      <c r="V89" s="478"/>
    </row>
    <row r="90" spans="1:22" s="468" customFormat="1" ht="30">
      <c r="A90" s="611"/>
      <c r="B90" s="611"/>
      <c r="C90" s="630">
        <v>4480</v>
      </c>
      <c r="D90" s="477" t="s">
        <v>568</v>
      </c>
      <c r="E90" s="529">
        <f t="shared" si="18"/>
        <v>1300</v>
      </c>
      <c r="F90" s="472">
        <f t="shared" si="19"/>
        <v>1300</v>
      </c>
      <c r="G90" s="472">
        <f t="shared" si="20"/>
        <v>1300</v>
      </c>
      <c r="H90" s="478">
        <v>1300</v>
      </c>
      <c r="I90" s="472">
        <f t="shared" si="21"/>
        <v>0</v>
      </c>
      <c r="J90" s="478"/>
      <c r="K90" s="478"/>
      <c r="L90" s="478"/>
      <c r="M90" s="478"/>
      <c r="N90" s="478"/>
      <c r="O90" s="478"/>
      <c r="P90" s="478"/>
      <c r="Q90" s="478"/>
      <c r="R90" s="478"/>
      <c r="S90" s="472">
        <f t="shared" si="22"/>
        <v>0</v>
      </c>
      <c r="T90" s="478"/>
      <c r="U90" s="478"/>
      <c r="V90" s="478"/>
    </row>
    <row r="91" spans="1:22" s="468" customFormat="1" ht="30">
      <c r="A91" s="611"/>
      <c r="B91" s="611"/>
      <c r="C91" s="630">
        <v>4550</v>
      </c>
      <c r="D91" s="477" t="s">
        <v>820</v>
      </c>
      <c r="E91" s="529">
        <f t="shared" si="18"/>
        <v>800</v>
      </c>
      <c r="F91" s="472">
        <f t="shared" si="19"/>
        <v>800</v>
      </c>
      <c r="G91" s="472">
        <f t="shared" si="20"/>
        <v>800</v>
      </c>
      <c r="H91" s="478">
        <v>800</v>
      </c>
      <c r="I91" s="472">
        <f t="shared" si="21"/>
        <v>0</v>
      </c>
      <c r="J91" s="478"/>
      <c r="K91" s="478"/>
      <c r="L91" s="478"/>
      <c r="M91" s="478"/>
      <c r="N91" s="478"/>
      <c r="O91" s="478"/>
      <c r="P91" s="478"/>
      <c r="Q91" s="478"/>
      <c r="R91" s="478"/>
      <c r="S91" s="472">
        <f t="shared" si="22"/>
        <v>0</v>
      </c>
      <c r="T91" s="478"/>
      <c r="U91" s="478"/>
      <c r="V91" s="478"/>
    </row>
    <row r="92" spans="1:22" s="468" customFormat="1" ht="60">
      <c r="A92" s="611"/>
      <c r="B92" s="611"/>
      <c r="C92" s="630">
        <v>4740</v>
      </c>
      <c r="D92" s="477" t="s">
        <v>521</v>
      </c>
      <c r="E92" s="529">
        <f t="shared" si="18"/>
        <v>550</v>
      </c>
      <c r="F92" s="472">
        <f t="shared" si="19"/>
        <v>550</v>
      </c>
      <c r="G92" s="472">
        <f t="shared" si="20"/>
        <v>550</v>
      </c>
      <c r="H92" s="478">
        <v>550</v>
      </c>
      <c r="I92" s="472">
        <f t="shared" si="21"/>
        <v>0</v>
      </c>
      <c r="J92" s="478"/>
      <c r="K92" s="478"/>
      <c r="L92" s="478"/>
      <c r="M92" s="478"/>
      <c r="N92" s="478"/>
      <c r="O92" s="478"/>
      <c r="P92" s="478"/>
      <c r="Q92" s="478"/>
      <c r="R92" s="478"/>
      <c r="S92" s="472">
        <f t="shared" si="22"/>
        <v>0</v>
      </c>
      <c r="T92" s="478"/>
      <c r="U92" s="478"/>
      <c r="V92" s="478"/>
    </row>
    <row r="93" spans="1:22" s="468" customFormat="1" ht="45">
      <c r="A93" s="611"/>
      <c r="B93" s="611"/>
      <c r="C93" s="630">
        <v>4700</v>
      </c>
      <c r="D93" s="477" t="s">
        <v>708</v>
      </c>
      <c r="E93" s="529">
        <f t="shared" si="18"/>
        <v>200</v>
      </c>
      <c r="F93" s="472">
        <f t="shared" si="19"/>
        <v>200</v>
      </c>
      <c r="G93" s="472">
        <f t="shared" si="20"/>
        <v>200</v>
      </c>
      <c r="H93" s="478">
        <v>200</v>
      </c>
      <c r="I93" s="472">
        <f t="shared" si="21"/>
        <v>0</v>
      </c>
      <c r="J93" s="478"/>
      <c r="K93" s="478"/>
      <c r="L93" s="478"/>
      <c r="M93" s="478"/>
      <c r="N93" s="478"/>
      <c r="O93" s="478"/>
      <c r="P93" s="478"/>
      <c r="Q93" s="478"/>
      <c r="R93" s="478"/>
      <c r="S93" s="472">
        <f t="shared" si="22"/>
        <v>0</v>
      </c>
      <c r="T93" s="478"/>
      <c r="U93" s="478"/>
      <c r="V93" s="478"/>
    </row>
    <row r="94" spans="1:22" s="468" customFormat="1" ht="45">
      <c r="A94" s="611"/>
      <c r="B94" s="611"/>
      <c r="C94" s="630">
        <v>4750</v>
      </c>
      <c r="D94" s="477" t="s">
        <v>522</v>
      </c>
      <c r="E94" s="529">
        <f t="shared" si="18"/>
        <v>2400</v>
      </c>
      <c r="F94" s="472">
        <f t="shared" si="19"/>
        <v>2400</v>
      </c>
      <c r="G94" s="472">
        <f t="shared" si="20"/>
        <v>2400</v>
      </c>
      <c r="H94" s="478">
        <v>2400</v>
      </c>
      <c r="I94" s="472">
        <f t="shared" si="21"/>
        <v>0</v>
      </c>
      <c r="J94" s="478"/>
      <c r="K94" s="478"/>
      <c r="L94" s="478"/>
      <c r="M94" s="478"/>
      <c r="N94" s="478"/>
      <c r="O94" s="478"/>
      <c r="P94" s="478"/>
      <c r="Q94" s="478"/>
      <c r="R94" s="478"/>
      <c r="S94" s="472">
        <f t="shared" si="22"/>
        <v>0</v>
      </c>
      <c r="T94" s="478"/>
      <c r="U94" s="478"/>
      <c r="V94" s="478"/>
    </row>
    <row r="95" spans="1:22" s="468" customFormat="1" ht="45" customHeight="1" hidden="1">
      <c r="A95" s="611"/>
      <c r="B95" s="611"/>
      <c r="C95" s="630">
        <v>4610</v>
      </c>
      <c r="D95" s="480" t="s">
        <v>533</v>
      </c>
      <c r="E95" s="529">
        <f t="shared" si="18"/>
        <v>0</v>
      </c>
      <c r="F95" s="472">
        <f t="shared" si="19"/>
        <v>0</v>
      </c>
      <c r="G95" s="472">
        <f t="shared" si="20"/>
        <v>0</v>
      </c>
      <c r="H95" s="478"/>
      <c r="I95" s="472">
        <f t="shared" si="21"/>
        <v>0</v>
      </c>
      <c r="J95" s="478"/>
      <c r="K95" s="478"/>
      <c r="L95" s="478"/>
      <c r="M95" s="478"/>
      <c r="N95" s="478"/>
      <c r="O95" s="478"/>
      <c r="P95" s="478"/>
      <c r="Q95" s="478"/>
      <c r="R95" s="478"/>
      <c r="S95" s="472">
        <f t="shared" si="22"/>
        <v>0</v>
      </c>
      <c r="T95" s="478">
        <v>0</v>
      </c>
      <c r="U95" s="478">
        <v>0</v>
      </c>
      <c r="V95" s="478">
        <v>0</v>
      </c>
    </row>
    <row r="96" spans="1:22" s="476" customFormat="1" ht="15.75">
      <c r="A96" s="612"/>
      <c r="B96" s="612">
        <v>71095</v>
      </c>
      <c r="C96" s="629"/>
      <c r="D96" s="271" t="s">
        <v>523</v>
      </c>
      <c r="E96" s="529">
        <f t="shared" si="18"/>
        <v>4000</v>
      </c>
      <c r="F96" s="472">
        <f t="shared" si="19"/>
        <v>4000</v>
      </c>
      <c r="G96" s="472">
        <f t="shared" si="20"/>
        <v>4000</v>
      </c>
      <c r="H96" s="475">
        <f aca="true" t="shared" si="23" ref="H96:V96">SUM(H97:H97)</f>
        <v>4000</v>
      </c>
      <c r="I96" s="472">
        <f t="shared" si="21"/>
        <v>0</v>
      </c>
      <c r="J96" s="475">
        <f>SUM(J97:J97)</f>
        <v>0</v>
      </c>
      <c r="K96" s="475">
        <f t="shared" si="23"/>
        <v>0</v>
      </c>
      <c r="L96" s="475">
        <f t="shared" si="23"/>
        <v>0</v>
      </c>
      <c r="M96" s="475">
        <f t="shared" si="23"/>
        <v>0</v>
      </c>
      <c r="N96" s="475">
        <f t="shared" si="23"/>
        <v>0</v>
      </c>
      <c r="O96" s="475">
        <f t="shared" si="23"/>
        <v>0</v>
      </c>
      <c r="P96" s="475">
        <f t="shared" si="23"/>
        <v>0</v>
      </c>
      <c r="Q96" s="475">
        <f t="shared" si="23"/>
        <v>0</v>
      </c>
      <c r="R96" s="475">
        <f t="shared" si="23"/>
        <v>0</v>
      </c>
      <c r="S96" s="472">
        <f t="shared" si="22"/>
        <v>0</v>
      </c>
      <c r="T96" s="475">
        <f t="shared" si="23"/>
        <v>0</v>
      </c>
      <c r="U96" s="475">
        <f t="shared" si="23"/>
        <v>0</v>
      </c>
      <c r="V96" s="475">
        <f t="shared" si="23"/>
        <v>0</v>
      </c>
    </row>
    <row r="97" spans="1:22" s="468" customFormat="1" ht="30">
      <c r="A97" s="613"/>
      <c r="B97" s="613"/>
      <c r="C97" s="630">
        <v>4300</v>
      </c>
      <c r="D97" s="477" t="s">
        <v>405</v>
      </c>
      <c r="E97" s="529">
        <f t="shared" si="18"/>
        <v>4000</v>
      </c>
      <c r="F97" s="472">
        <f t="shared" si="19"/>
        <v>4000</v>
      </c>
      <c r="G97" s="472">
        <f t="shared" si="20"/>
        <v>4000</v>
      </c>
      <c r="H97" s="478">
        <v>4000</v>
      </c>
      <c r="I97" s="472">
        <f t="shared" si="21"/>
        <v>0</v>
      </c>
      <c r="J97" s="478"/>
      <c r="K97" s="478"/>
      <c r="L97" s="478"/>
      <c r="M97" s="478"/>
      <c r="N97" s="478"/>
      <c r="O97" s="478"/>
      <c r="P97" s="478"/>
      <c r="Q97" s="478"/>
      <c r="R97" s="478"/>
      <c r="S97" s="472">
        <f t="shared" si="22"/>
        <v>0</v>
      </c>
      <c r="T97" s="478"/>
      <c r="U97" s="478"/>
      <c r="V97" s="478"/>
    </row>
    <row r="98" spans="1:22" s="473" customFormat="1" ht="31.5">
      <c r="A98" s="616">
        <v>750</v>
      </c>
      <c r="B98" s="616"/>
      <c r="C98" s="632"/>
      <c r="D98" s="482" t="s">
        <v>524</v>
      </c>
      <c r="E98" s="529">
        <f t="shared" si="18"/>
        <v>8259111</v>
      </c>
      <c r="F98" s="472">
        <f t="shared" si="19"/>
        <v>8062611</v>
      </c>
      <c r="G98" s="472">
        <f t="shared" si="20"/>
        <v>7669941</v>
      </c>
      <c r="H98" s="472">
        <f>SUM(H102+H120+H130+H162+H177+H99)</f>
        <v>2839876</v>
      </c>
      <c r="I98" s="472">
        <f t="shared" si="21"/>
        <v>4830065</v>
      </c>
      <c r="J98" s="472">
        <f aca="true" t="shared" si="24" ref="J98:R98">SUM(J102+J120+J130+J162+J177+J99)</f>
        <v>3850946</v>
      </c>
      <c r="K98" s="472">
        <f t="shared" si="24"/>
        <v>282000</v>
      </c>
      <c r="L98" s="472">
        <f t="shared" si="24"/>
        <v>674159</v>
      </c>
      <c r="M98" s="472">
        <f t="shared" si="24"/>
        <v>22960</v>
      </c>
      <c r="N98" s="472">
        <f t="shared" si="24"/>
        <v>392670</v>
      </c>
      <c r="O98" s="472">
        <f t="shared" si="24"/>
        <v>0</v>
      </c>
      <c r="P98" s="472">
        <f>SUM(P102+P120+P130+P162+P177+P99)</f>
        <v>0</v>
      </c>
      <c r="Q98" s="472">
        <f t="shared" si="24"/>
        <v>0</v>
      </c>
      <c r="R98" s="472">
        <f t="shared" si="24"/>
        <v>0</v>
      </c>
      <c r="S98" s="472">
        <f t="shared" si="22"/>
        <v>196500</v>
      </c>
      <c r="T98" s="472">
        <f>SUM(T102+T120+T130+T162+T177+T99)</f>
        <v>196500</v>
      </c>
      <c r="U98" s="472">
        <f>SUM(U102+U120+U130+U162+U177+U99)</f>
        <v>0</v>
      </c>
      <c r="V98" s="472">
        <f>SUM(V102+V120+V130+V162+V177+V99)</f>
        <v>0</v>
      </c>
    </row>
    <row r="99" spans="1:22" s="476" customFormat="1" ht="48" customHeight="1" hidden="1">
      <c r="A99" s="617"/>
      <c r="B99" s="617">
        <v>75001</v>
      </c>
      <c r="C99" s="633"/>
      <c r="D99" s="483" t="s">
        <v>277</v>
      </c>
      <c r="E99" s="529">
        <f t="shared" si="18"/>
        <v>0</v>
      </c>
      <c r="F99" s="472">
        <f t="shared" si="19"/>
        <v>0</v>
      </c>
      <c r="G99" s="472">
        <f t="shared" si="20"/>
        <v>0</v>
      </c>
      <c r="H99" s="475">
        <f>SUM(H100:H101)</f>
        <v>0</v>
      </c>
      <c r="I99" s="472">
        <f t="shared" si="21"/>
        <v>0</v>
      </c>
      <c r="J99" s="475">
        <f>SUM(J100:J101)</f>
        <v>0</v>
      </c>
      <c r="K99" s="475">
        <f aca="true" t="shared" si="25" ref="K99:R99">SUM(K100:K101)</f>
        <v>0</v>
      </c>
      <c r="L99" s="475">
        <f t="shared" si="25"/>
        <v>0</v>
      </c>
      <c r="M99" s="475"/>
      <c r="N99" s="475"/>
      <c r="O99" s="475">
        <f t="shared" si="25"/>
        <v>0</v>
      </c>
      <c r="P99" s="475">
        <f>SUM(P100:P101)</f>
        <v>0</v>
      </c>
      <c r="Q99" s="475">
        <f t="shared" si="25"/>
        <v>0</v>
      </c>
      <c r="R99" s="475">
        <f t="shared" si="25"/>
        <v>0</v>
      </c>
      <c r="S99" s="472">
        <f t="shared" si="22"/>
        <v>0</v>
      </c>
      <c r="T99" s="475">
        <f>SUM(T100:T101)</f>
        <v>0</v>
      </c>
      <c r="U99" s="475">
        <f>SUM(U100:U101)</f>
        <v>0</v>
      </c>
      <c r="V99" s="475">
        <f>SUM(V100:V101)</f>
        <v>0</v>
      </c>
    </row>
    <row r="100" spans="1:22" s="468" customFormat="1" ht="120" customHeight="1" hidden="1">
      <c r="A100" s="611"/>
      <c r="B100" s="611"/>
      <c r="C100" s="630">
        <v>2320</v>
      </c>
      <c r="D100" s="477" t="s">
        <v>586</v>
      </c>
      <c r="E100" s="529">
        <f t="shared" si="18"/>
        <v>0</v>
      </c>
      <c r="F100" s="472">
        <f t="shared" si="19"/>
        <v>0</v>
      </c>
      <c r="G100" s="472">
        <f t="shared" si="20"/>
        <v>0</v>
      </c>
      <c r="H100" s="478"/>
      <c r="I100" s="472">
        <f t="shared" si="21"/>
        <v>0</v>
      </c>
      <c r="J100" s="478"/>
      <c r="K100" s="478"/>
      <c r="L100" s="478"/>
      <c r="M100" s="478"/>
      <c r="N100" s="478"/>
      <c r="O100" s="478"/>
      <c r="P100" s="478"/>
      <c r="Q100" s="478"/>
      <c r="R100" s="478"/>
      <c r="S100" s="472">
        <f t="shared" si="22"/>
        <v>0</v>
      </c>
      <c r="T100" s="478"/>
      <c r="U100" s="478"/>
      <c r="V100" s="478"/>
    </row>
    <row r="101" spans="1:22" s="468" customFormat="1" ht="30" customHeight="1" hidden="1">
      <c r="A101" s="613"/>
      <c r="B101" s="613"/>
      <c r="C101" s="630">
        <v>4309</v>
      </c>
      <c r="D101" s="477" t="s">
        <v>405</v>
      </c>
      <c r="E101" s="529">
        <f t="shared" si="18"/>
        <v>0</v>
      </c>
      <c r="F101" s="472">
        <f t="shared" si="19"/>
        <v>0</v>
      </c>
      <c r="G101" s="472">
        <f t="shared" si="20"/>
        <v>0</v>
      </c>
      <c r="H101" s="478"/>
      <c r="I101" s="472">
        <f t="shared" si="21"/>
        <v>0</v>
      </c>
      <c r="J101" s="478"/>
      <c r="K101" s="478"/>
      <c r="L101" s="478"/>
      <c r="M101" s="478"/>
      <c r="N101" s="478"/>
      <c r="O101" s="478"/>
      <c r="P101" s="478"/>
      <c r="Q101" s="478"/>
      <c r="R101" s="478"/>
      <c r="S101" s="472">
        <f t="shared" si="22"/>
        <v>0</v>
      </c>
      <c r="T101" s="478"/>
      <c r="U101" s="478"/>
      <c r="V101" s="478"/>
    </row>
    <row r="102" spans="1:22" s="476" customFormat="1" ht="15.75">
      <c r="A102" s="617"/>
      <c r="B102" s="617">
        <v>75011</v>
      </c>
      <c r="C102" s="633"/>
      <c r="D102" s="483" t="s">
        <v>525</v>
      </c>
      <c r="E102" s="529">
        <f t="shared" si="18"/>
        <v>576412</v>
      </c>
      <c r="F102" s="472">
        <f t="shared" si="19"/>
        <v>576412</v>
      </c>
      <c r="G102" s="472">
        <f t="shared" si="20"/>
        <v>576412</v>
      </c>
      <c r="H102" s="475">
        <f>SUM(H103:H119)</f>
        <v>16506</v>
      </c>
      <c r="I102" s="472">
        <f t="shared" si="21"/>
        <v>559906</v>
      </c>
      <c r="J102" s="475">
        <f aca="true" t="shared" si="26" ref="J102:R102">SUM(J103:J119)</f>
        <v>438490</v>
      </c>
      <c r="K102" s="475">
        <f t="shared" si="26"/>
        <v>33000</v>
      </c>
      <c r="L102" s="475">
        <f t="shared" si="26"/>
        <v>82716</v>
      </c>
      <c r="M102" s="475">
        <f t="shared" si="26"/>
        <v>5700</v>
      </c>
      <c r="N102" s="475">
        <f t="shared" si="26"/>
        <v>0</v>
      </c>
      <c r="O102" s="475">
        <f t="shared" si="26"/>
        <v>0</v>
      </c>
      <c r="P102" s="475">
        <f>SUM(P103:P119)</f>
        <v>0</v>
      </c>
      <c r="Q102" s="475">
        <f t="shared" si="26"/>
        <v>0</v>
      </c>
      <c r="R102" s="475">
        <f t="shared" si="26"/>
        <v>0</v>
      </c>
      <c r="S102" s="472">
        <f t="shared" si="22"/>
        <v>0</v>
      </c>
      <c r="T102" s="475">
        <f>SUM(T103:T119)</f>
        <v>0</v>
      </c>
      <c r="U102" s="475">
        <f>SUM(U103:U119)</f>
        <v>0</v>
      </c>
      <c r="V102" s="475">
        <f>SUM(V103:V119)</f>
        <v>0</v>
      </c>
    </row>
    <row r="103" spans="1:22" s="468" customFormat="1" ht="45" customHeight="1" hidden="1">
      <c r="A103" s="611"/>
      <c r="B103" s="611"/>
      <c r="C103" s="630">
        <v>3020</v>
      </c>
      <c r="D103" s="477" t="s">
        <v>709</v>
      </c>
      <c r="E103" s="529">
        <f t="shared" si="18"/>
        <v>0</v>
      </c>
      <c r="F103" s="472">
        <f t="shared" si="19"/>
        <v>0</v>
      </c>
      <c r="G103" s="472">
        <f t="shared" si="20"/>
        <v>0</v>
      </c>
      <c r="H103" s="478"/>
      <c r="I103" s="472">
        <f t="shared" si="21"/>
        <v>0</v>
      </c>
      <c r="J103" s="478"/>
      <c r="K103" s="478"/>
      <c r="L103" s="478"/>
      <c r="M103" s="478"/>
      <c r="N103" s="478"/>
      <c r="O103" s="478"/>
      <c r="P103" s="478"/>
      <c r="Q103" s="478"/>
      <c r="R103" s="478"/>
      <c r="S103" s="472">
        <f t="shared" si="22"/>
        <v>0</v>
      </c>
      <c r="T103" s="478"/>
      <c r="U103" s="478"/>
      <c r="V103" s="478"/>
    </row>
    <row r="104" spans="1:22" s="468" customFormat="1" ht="30">
      <c r="A104" s="611"/>
      <c r="B104" s="611"/>
      <c r="C104" s="434">
        <v>4010</v>
      </c>
      <c r="D104" s="477" t="s">
        <v>417</v>
      </c>
      <c r="E104" s="529">
        <f t="shared" si="18"/>
        <v>438490</v>
      </c>
      <c r="F104" s="472">
        <f t="shared" si="19"/>
        <v>438490</v>
      </c>
      <c r="G104" s="472">
        <f t="shared" si="20"/>
        <v>438490</v>
      </c>
      <c r="H104" s="478"/>
      <c r="I104" s="472">
        <f t="shared" si="21"/>
        <v>438490</v>
      </c>
      <c r="J104" s="478">
        <v>438490</v>
      </c>
      <c r="K104" s="478"/>
      <c r="L104" s="478"/>
      <c r="M104" s="478"/>
      <c r="N104" s="478"/>
      <c r="O104" s="478"/>
      <c r="P104" s="478"/>
      <c r="Q104" s="478"/>
      <c r="R104" s="478"/>
      <c r="S104" s="472">
        <f t="shared" si="22"/>
        <v>0</v>
      </c>
      <c r="T104" s="478"/>
      <c r="U104" s="478"/>
      <c r="V104" s="478"/>
    </row>
    <row r="105" spans="1:22" s="468" customFormat="1" ht="33" customHeight="1">
      <c r="A105" s="615"/>
      <c r="B105" s="611"/>
      <c r="C105" s="630">
        <v>4170</v>
      </c>
      <c r="D105" s="477" t="s">
        <v>518</v>
      </c>
      <c r="E105" s="529">
        <f t="shared" si="18"/>
        <v>0</v>
      </c>
      <c r="F105" s="472">
        <f t="shared" si="19"/>
        <v>0</v>
      </c>
      <c r="G105" s="472">
        <f t="shared" si="20"/>
        <v>0</v>
      </c>
      <c r="H105" s="478"/>
      <c r="I105" s="472">
        <f t="shared" si="21"/>
        <v>0</v>
      </c>
      <c r="J105" s="478"/>
      <c r="K105" s="478"/>
      <c r="L105" s="478"/>
      <c r="M105" s="478"/>
      <c r="N105" s="478"/>
      <c r="O105" s="478"/>
      <c r="P105" s="478"/>
      <c r="Q105" s="478"/>
      <c r="R105" s="478"/>
      <c r="S105" s="472">
        <f t="shared" si="22"/>
        <v>0</v>
      </c>
      <c r="T105" s="478"/>
      <c r="U105" s="478"/>
      <c r="V105" s="478"/>
    </row>
    <row r="106" spans="1:22" s="468" customFormat="1" ht="30">
      <c r="A106" s="611"/>
      <c r="B106" s="611"/>
      <c r="C106" s="630">
        <v>4040</v>
      </c>
      <c r="D106" s="477" t="s">
        <v>418</v>
      </c>
      <c r="E106" s="529">
        <f t="shared" si="18"/>
        <v>33000</v>
      </c>
      <c r="F106" s="472">
        <f t="shared" si="19"/>
        <v>33000</v>
      </c>
      <c r="G106" s="472">
        <f t="shared" si="20"/>
        <v>33000</v>
      </c>
      <c r="H106" s="478"/>
      <c r="I106" s="472">
        <f t="shared" si="21"/>
        <v>33000</v>
      </c>
      <c r="J106" s="478"/>
      <c r="K106" s="478">
        <v>33000</v>
      </c>
      <c r="L106" s="478"/>
      <c r="M106" s="478"/>
      <c r="N106" s="478"/>
      <c r="O106" s="478"/>
      <c r="P106" s="478"/>
      <c r="Q106" s="478"/>
      <c r="R106" s="478"/>
      <c r="S106" s="472">
        <f t="shared" si="22"/>
        <v>0</v>
      </c>
      <c r="T106" s="478"/>
      <c r="U106" s="478"/>
      <c r="V106" s="478"/>
    </row>
    <row r="107" spans="1:22" s="468" customFormat="1" ht="45">
      <c r="A107" s="611"/>
      <c r="B107" s="611"/>
      <c r="C107" s="630">
        <v>4110</v>
      </c>
      <c r="D107" s="477" t="s">
        <v>419</v>
      </c>
      <c r="E107" s="529">
        <f t="shared" si="18"/>
        <v>71012</v>
      </c>
      <c r="F107" s="472">
        <f t="shared" si="19"/>
        <v>71012</v>
      </c>
      <c r="G107" s="472">
        <f t="shared" si="20"/>
        <v>71012</v>
      </c>
      <c r="H107" s="478"/>
      <c r="I107" s="472">
        <f t="shared" si="21"/>
        <v>71012</v>
      </c>
      <c r="J107" s="478"/>
      <c r="K107" s="478"/>
      <c r="L107" s="478">
        <v>71012</v>
      </c>
      <c r="M107" s="478"/>
      <c r="N107" s="478"/>
      <c r="O107" s="478"/>
      <c r="P107" s="478"/>
      <c r="Q107" s="478"/>
      <c r="R107" s="478"/>
      <c r="S107" s="472">
        <f t="shared" si="22"/>
        <v>0</v>
      </c>
      <c r="T107" s="478"/>
      <c r="U107" s="478"/>
      <c r="V107" s="478"/>
    </row>
    <row r="108" spans="1:22" s="468" customFormat="1" ht="30">
      <c r="A108" s="611"/>
      <c r="B108" s="611"/>
      <c r="C108" s="630">
        <v>4120</v>
      </c>
      <c r="D108" s="477" t="s">
        <v>420</v>
      </c>
      <c r="E108" s="529">
        <f t="shared" si="18"/>
        <v>11704</v>
      </c>
      <c r="F108" s="472">
        <f t="shared" si="19"/>
        <v>11704</v>
      </c>
      <c r="G108" s="472">
        <f t="shared" si="20"/>
        <v>11704</v>
      </c>
      <c r="H108" s="478"/>
      <c r="I108" s="472">
        <f t="shared" si="21"/>
        <v>11704</v>
      </c>
      <c r="J108" s="478"/>
      <c r="K108" s="478"/>
      <c r="L108" s="478">
        <v>11704</v>
      </c>
      <c r="M108" s="478"/>
      <c r="N108" s="478"/>
      <c r="O108" s="478"/>
      <c r="P108" s="478"/>
      <c r="Q108" s="478"/>
      <c r="R108" s="478"/>
      <c r="S108" s="472">
        <f t="shared" si="22"/>
        <v>0</v>
      </c>
      <c r="T108" s="478"/>
      <c r="U108" s="478"/>
      <c r="V108" s="478"/>
    </row>
    <row r="109" spans="1:22" s="468" customFormat="1" ht="30">
      <c r="A109" s="615"/>
      <c r="B109" s="611"/>
      <c r="C109" s="630">
        <v>4170</v>
      </c>
      <c r="D109" s="477" t="s">
        <v>518</v>
      </c>
      <c r="E109" s="529">
        <f t="shared" si="18"/>
        <v>5700</v>
      </c>
      <c r="F109" s="472">
        <f t="shared" si="19"/>
        <v>5700</v>
      </c>
      <c r="G109" s="472">
        <f t="shared" si="20"/>
        <v>5700</v>
      </c>
      <c r="H109" s="478"/>
      <c r="I109" s="472">
        <f t="shared" si="21"/>
        <v>5700</v>
      </c>
      <c r="J109" s="478"/>
      <c r="K109" s="478"/>
      <c r="L109" s="478"/>
      <c r="M109" s="478">
        <v>5700</v>
      </c>
      <c r="N109" s="478"/>
      <c r="O109" s="478"/>
      <c r="P109" s="478"/>
      <c r="Q109" s="478"/>
      <c r="R109" s="478"/>
      <c r="S109" s="472">
        <f t="shared" si="22"/>
        <v>0</v>
      </c>
      <c r="T109" s="478"/>
      <c r="U109" s="478"/>
      <c r="V109" s="478"/>
    </row>
    <row r="110" spans="1:22" s="468" customFormat="1" ht="15.75" customHeight="1" hidden="1">
      <c r="A110" s="611"/>
      <c r="B110" s="611"/>
      <c r="C110" s="630">
        <v>4280</v>
      </c>
      <c r="D110" s="477" t="s">
        <v>526</v>
      </c>
      <c r="E110" s="529">
        <f t="shared" si="18"/>
        <v>0</v>
      </c>
      <c r="F110" s="472">
        <f t="shared" si="19"/>
        <v>0</v>
      </c>
      <c r="G110" s="472">
        <f t="shared" si="20"/>
        <v>0</v>
      </c>
      <c r="H110" s="478"/>
      <c r="I110" s="472">
        <f t="shared" si="21"/>
        <v>0</v>
      </c>
      <c r="J110" s="478"/>
      <c r="K110" s="478"/>
      <c r="L110" s="478"/>
      <c r="M110" s="478"/>
      <c r="N110" s="478"/>
      <c r="O110" s="478"/>
      <c r="P110" s="478"/>
      <c r="Q110" s="478"/>
      <c r="R110" s="478"/>
      <c r="S110" s="472">
        <f t="shared" si="22"/>
        <v>0</v>
      </c>
      <c r="T110" s="478"/>
      <c r="U110" s="478"/>
      <c r="V110" s="478"/>
    </row>
    <row r="111" spans="1:22" s="468" customFormat="1" ht="15.75" customHeight="1" hidden="1">
      <c r="A111" s="611"/>
      <c r="B111" s="611"/>
      <c r="C111" s="630">
        <v>4300</v>
      </c>
      <c r="D111" s="477" t="s">
        <v>520</v>
      </c>
      <c r="E111" s="529">
        <f t="shared" si="18"/>
        <v>0</v>
      </c>
      <c r="F111" s="472">
        <f t="shared" si="19"/>
        <v>0</v>
      </c>
      <c r="G111" s="472">
        <f t="shared" si="20"/>
        <v>0</v>
      </c>
      <c r="H111" s="478"/>
      <c r="I111" s="472">
        <f t="shared" si="21"/>
        <v>0</v>
      </c>
      <c r="J111" s="478"/>
      <c r="K111" s="478"/>
      <c r="L111" s="478"/>
      <c r="M111" s="478"/>
      <c r="N111" s="478"/>
      <c r="O111" s="478"/>
      <c r="P111" s="478"/>
      <c r="Q111" s="478"/>
      <c r="R111" s="478"/>
      <c r="S111" s="472">
        <f t="shared" si="22"/>
        <v>0</v>
      </c>
      <c r="T111" s="478"/>
      <c r="U111" s="478"/>
      <c r="V111" s="478"/>
    </row>
    <row r="112" spans="1:22" s="468" customFormat="1" ht="30" customHeight="1" hidden="1">
      <c r="A112" s="611"/>
      <c r="B112" s="611"/>
      <c r="C112" s="630">
        <v>4410</v>
      </c>
      <c r="D112" s="477" t="s">
        <v>430</v>
      </c>
      <c r="E112" s="529">
        <f t="shared" si="18"/>
        <v>0</v>
      </c>
      <c r="F112" s="472">
        <f t="shared" si="19"/>
        <v>0</v>
      </c>
      <c r="G112" s="472">
        <f t="shared" si="20"/>
        <v>0</v>
      </c>
      <c r="H112" s="478"/>
      <c r="I112" s="472">
        <f t="shared" si="21"/>
        <v>0</v>
      </c>
      <c r="J112" s="478"/>
      <c r="K112" s="478"/>
      <c r="L112" s="478"/>
      <c r="M112" s="478"/>
      <c r="N112" s="478"/>
      <c r="O112" s="478"/>
      <c r="P112" s="478"/>
      <c r="Q112" s="478"/>
      <c r="R112" s="478"/>
      <c r="S112" s="472">
        <f t="shared" si="22"/>
        <v>0</v>
      </c>
      <c r="T112" s="478"/>
      <c r="U112" s="478"/>
      <c r="V112" s="478"/>
    </row>
    <row r="113" spans="1:22" s="468" customFormat="1" ht="45">
      <c r="A113" s="611"/>
      <c r="B113" s="611"/>
      <c r="C113" s="630">
        <v>4440</v>
      </c>
      <c r="D113" s="477" t="s">
        <v>432</v>
      </c>
      <c r="E113" s="529">
        <f t="shared" si="18"/>
        <v>11526</v>
      </c>
      <c r="F113" s="472">
        <f t="shared" si="19"/>
        <v>11526</v>
      </c>
      <c r="G113" s="472">
        <f t="shared" si="20"/>
        <v>11526</v>
      </c>
      <c r="H113" s="478">
        <v>11526</v>
      </c>
      <c r="I113" s="472">
        <f t="shared" si="21"/>
        <v>0</v>
      </c>
      <c r="J113" s="478"/>
      <c r="K113" s="478"/>
      <c r="L113" s="478"/>
      <c r="M113" s="478"/>
      <c r="N113" s="478"/>
      <c r="O113" s="478"/>
      <c r="P113" s="478"/>
      <c r="Q113" s="478"/>
      <c r="R113" s="478"/>
      <c r="S113" s="472">
        <f t="shared" si="22"/>
        <v>0</v>
      </c>
      <c r="T113" s="478"/>
      <c r="U113" s="478"/>
      <c r="V113" s="478"/>
    </row>
    <row r="114" spans="1:22" s="468" customFormat="1" ht="30">
      <c r="A114" s="611"/>
      <c r="B114" s="611"/>
      <c r="C114" s="630">
        <v>4210</v>
      </c>
      <c r="D114" s="477" t="s">
        <v>547</v>
      </c>
      <c r="E114" s="529">
        <f t="shared" si="18"/>
        <v>0</v>
      </c>
      <c r="F114" s="472">
        <f t="shared" si="19"/>
        <v>0</v>
      </c>
      <c r="G114" s="472">
        <f t="shared" si="20"/>
        <v>0</v>
      </c>
      <c r="H114" s="478"/>
      <c r="I114" s="472">
        <f t="shared" si="21"/>
        <v>0</v>
      </c>
      <c r="J114" s="478"/>
      <c r="K114" s="478"/>
      <c r="L114" s="478"/>
      <c r="M114" s="478"/>
      <c r="N114" s="478"/>
      <c r="O114" s="478"/>
      <c r="P114" s="478"/>
      <c r="Q114" s="478"/>
      <c r="R114" s="478"/>
      <c r="S114" s="472">
        <f t="shared" si="22"/>
        <v>0</v>
      </c>
      <c r="T114" s="478"/>
      <c r="U114" s="478"/>
      <c r="V114" s="478"/>
    </row>
    <row r="115" spans="1:22" s="468" customFormat="1" ht="33" customHeight="1">
      <c r="A115" s="611"/>
      <c r="B115" s="611"/>
      <c r="C115" s="630">
        <v>4300</v>
      </c>
      <c r="D115" s="477" t="s">
        <v>520</v>
      </c>
      <c r="E115" s="529">
        <f t="shared" si="18"/>
        <v>980</v>
      </c>
      <c r="F115" s="472">
        <f t="shared" si="19"/>
        <v>980</v>
      </c>
      <c r="G115" s="472">
        <f t="shared" si="20"/>
        <v>980</v>
      </c>
      <c r="H115" s="478">
        <v>980</v>
      </c>
      <c r="I115" s="472">
        <f t="shared" si="21"/>
        <v>0</v>
      </c>
      <c r="J115" s="478"/>
      <c r="K115" s="478"/>
      <c r="L115" s="478"/>
      <c r="M115" s="478"/>
      <c r="N115" s="478"/>
      <c r="O115" s="478"/>
      <c r="P115" s="478"/>
      <c r="Q115" s="478"/>
      <c r="R115" s="478"/>
      <c r="S115" s="472">
        <f t="shared" si="22"/>
        <v>0</v>
      </c>
      <c r="T115" s="478"/>
      <c r="U115" s="478"/>
      <c r="V115" s="478"/>
    </row>
    <row r="116" spans="1:22" s="468" customFormat="1" ht="71.25" customHeight="1">
      <c r="A116" s="611"/>
      <c r="B116" s="611"/>
      <c r="C116" s="630">
        <v>4380</v>
      </c>
      <c r="D116" s="477" t="s">
        <v>703</v>
      </c>
      <c r="E116" s="529">
        <f t="shared" si="18"/>
        <v>0</v>
      </c>
      <c r="F116" s="472">
        <f t="shared" si="19"/>
        <v>0</v>
      </c>
      <c r="G116" s="472">
        <f t="shared" si="20"/>
        <v>0</v>
      </c>
      <c r="H116" s="478"/>
      <c r="I116" s="472">
        <f t="shared" si="21"/>
        <v>0</v>
      </c>
      <c r="J116" s="478"/>
      <c r="K116" s="478"/>
      <c r="L116" s="478"/>
      <c r="M116" s="478"/>
      <c r="N116" s="478"/>
      <c r="O116" s="478"/>
      <c r="P116" s="478"/>
      <c r="Q116" s="478"/>
      <c r="R116" s="478"/>
      <c r="S116" s="472">
        <f t="shared" si="22"/>
        <v>0</v>
      </c>
      <c r="T116" s="478"/>
      <c r="U116" s="478"/>
      <c r="V116" s="478"/>
    </row>
    <row r="117" spans="1:22" s="468" customFormat="1" ht="71.25" customHeight="1">
      <c r="A117" s="611"/>
      <c r="B117" s="611"/>
      <c r="C117" s="630">
        <v>4700</v>
      </c>
      <c r="D117" s="477" t="s">
        <v>708</v>
      </c>
      <c r="E117" s="529">
        <f>F117+S117</f>
        <v>4000</v>
      </c>
      <c r="F117" s="472">
        <f>G117+N117+O117+P117+Q117+R117</f>
        <v>4000</v>
      </c>
      <c r="G117" s="472">
        <f>H117+I117</f>
        <v>4000</v>
      </c>
      <c r="H117" s="478">
        <v>4000</v>
      </c>
      <c r="I117" s="472">
        <f>SUM(J117:M117)</f>
        <v>0</v>
      </c>
      <c r="J117" s="478"/>
      <c r="K117" s="478"/>
      <c r="L117" s="478"/>
      <c r="M117" s="478"/>
      <c r="N117" s="478"/>
      <c r="O117" s="478"/>
      <c r="P117" s="478"/>
      <c r="Q117" s="478"/>
      <c r="R117" s="478"/>
      <c r="S117" s="472">
        <f>T117+V117</f>
        <v>0</v>
      </c>
      <c r="T117" s="478"/>
      <c r="U117" s="478"/>
      <c r="V117" s="478"/>
    </row>
    <row r="118" spans="1:22" s="468" customFormat="1" ht="47.25">
      <c r="A118" s="613"/>
      <c r="B118" s="613"/>
      <c r="C118" s="630">
        <v>4610</v>
      </c>
      <c r="D118" s="481" t="s">
        <v>440</v>
      </c>
      <c r="E118" s="529">
        <f t="shared" si="18"/>
        <v>0</v>
      </c>
      <c r="F118" s="472">
        <f t="shared" si="19"/>
        <v>0</v>
      </c>
      <c r="G118" s="472">
        <f t="shared" si="20"/>
        <v>0</v>
      </c>
      <c r="H118" s="478"/>
      <c r="I118" s="472">
        <f t="shared" si="21"/>
        <v>0</v>
      </c>
      <c r="J118" s="478"/>
      <c r="K118" s="478"/>
      <c r="L118" s="478"/>
      <c r="M118" s="478"/>
      <c r="N118" s="478"/>
      <c r="O118" s="478"/>
      <c r="P118" s="478"/>
      <c r="Q118" s="478"/>
      <c r="R118" s="478"/>
      <c r="S118" s="472">
        <f t="shared" si="22"/>
        <v>0</v>
      </c>
      <c r="T118" s="478"/>
      <c r="U118" s="478"/>
      <c r="V118" s="478"/>
    </row>
    <row r="119" spans="1:22" s="468" customFormat="1" ht="49.5" customHeight="1" hidden="1">
      <c r="A119" s="611"/>
      <c r="B119" s="611"/>
      <c r="C119" s="630">
        <v>4700</v>
      </c>
      <c r="D119" s="477" t="s">
        <v>708</v>
      </c>
      <c r="E119" s="529">
        <f t="shared" si="18"/>
        <v>0</v>
      </c>
      <c r="F119" s="472">
        <f t="shared" si="19"/>
        <v>0</v>
      </c>
      <c r="G119" s="472">
        <f t="shared" si="20"/>
        <v>0</v>
      </c>
      <c r="H119" s="478"/>
      <c r="I119" s="472">
        <f t="shared" si="21"/>
        <v>0</v>
      </c>
      <c r="J119" s="478"/>
      <c r="K119" s="478"/>
      <c r="L119" s="478"/>
      <c r="M119" s="478"/>
      <c r="N119" s="478"/>
      <c r="O119" s="478"/>
      <c r="P119" s="478"/>
      <c r="Q119" s="478"/>
      <c r="R119" s="478"/>
      <c r="S119" s="472">
        <f t="shared" si="22"/>
        <v>0</v>
      </c>
      <c r="T119" s="478"/>
      <c r="U119" s="478"/>
      <c r="V119" s="478"/>
    </row>
    <row r="120" spans="1:22" s="476" customFormat="1" ht="15.75">
      <c r="A120" s="612"/>
      <c r="B120" s="612">
        <v>75019</v>
      </c>
      <c r="C120" s="629"/>
      <c r="D120" s="271" t="s">
        <v>527</v>
      </c>
      <c r="E120" s="529">
        <f t="shared" si="18"/>
        <v>405200</v>
      </c>
      <c r="F120" s="472">
        <f t="shared" si="19"/>
        <v>405200</v>
      </c>
      <c r="G120" s="472">
        <f t="shared" si="20"/>
        <v>31200</v>
      </c>
      <c r="H120" s="475">
        <f>SUM(H121:H129)</f>
        <v>31200</v>
      </c>
      <c r="I120" s="472">
        <f t="shared" si="21"/>
        <v>0</v>
      </c>
      <c r="J120" s="475">
        <f aca="true" t="shared" si="27" ref="J120:R120">SUM(J121:J129)</f>
        <v>0</v>
      </c>
      <c r="K120" s="475">
        <f t="shared" si="27"/>
        <v>0</v>
      </c>
      <c r="L120" s="475">
        <f t="shared" si="27"/>
        <v>0</v>
      </c>
      <c r="M120" s="475">
        <f t="shared" si="27"/>
        <v>0</v>
      </c>
      <c r="N120" s="475">
        <f t="shared" si="27"/>
        <v>374000</v>
      </c>
      <c r="O120" s="475">
        <f t="shared" si="27"/>
        <v>0</v>
      </c>
      <c r="P120" s="475">
        <f>SUM(P121:P129)</f>
        <v>0</v>
      </c>
      <c r="Q120" s="475">
        <f t="shared" si="27"/>
        <v>0</v>
      </c>
      <c r="R120" s="475">
        <f t="shared" si="27"/>
        <v>0</v>
      </c>
      <c r="S120" s="472">
        <f t="shared" si="22"/>
        <v>0</v>
      </c>
      <c r="T120" s="475">
        <f>SUM(T121:T127)</f>
        <v>0</v>
      </c>
      <c r="U120" s="475">
        <f>SUM(U121:U127)</f>
        <v>0</v>
      </c>
      <c r="V120" s="475">
        <f>SUM(V121:V127)</f>
        <v>0</v>
      </c>
    </row>
    <row r="121" spans="1:22" s="468" customFormat="1" ht="30">
      <c r="A121" s="613"/>
      <c r="B121" s="613"/>
      <c r="C121" s="630">
        <v>3030</v>
      </c>
      <c r="D121" s="477" t="s">
        <v>528</v>
      </c>
      <c r="E121" s="529">
        <f t="shared" si="18"/>
        <v>374000</v>
      </c>
      <c r="F121" s="472">
        <f t="shared" si="19"/>
        <v>374000</v>
      </c>
      <c r="G121" s="472">
        <f t="shared" si="20"/>
        <v>0</v>
      </c>
      <c r="H121" s="478"/>
      <c r="I121" s="472">
        <f t="shared" si="21"/>
        <v>0</v>
      </c>
      <c r="J121" s="478"/>
      <c r="K121" s="478"/>
      <c r="L121" s="478"/>
      <c r="M121" s="478"/>
      <c r="N121" s="478">
        <v>374000</v>
      </c>
      <c r="O121" s="478"/>
      <c r="P121" s="478"/>
      <c r="Q121" s="478"/>
      <c r="R121" s="478"/>
      <c r="S121" s="472">
        <f t="shared" si="22"/>
        <v>0</v>
      </c>
      <c r="T121" s="478"/>
      <c r="U121" s="478"/>
      <c r="V121" s="478"/>
    </row>
    <row r="122" spans="1:22" s="468" customFormat="1" ht="30">
      <c r="A122" s="613"/>
      <c r="B122" s="613"/>
      <c r="C122" s="630">
        <v>4210</v>
      </c>
      <c r="D122" s="477" t="s">
        <v>422</v>
      </c>
      <c r="E122" s="529">
        <f t="shared" si="18"/>
        <v>12800</v>
      </c>
      <c r="F122" s="472">
        <f t="shared" si="19"/>
        <v>12800</v>
      </c>
      <c r="G122" s="472">
        <f t="shared" si="20"/>
        <v>12800</v>
      </c>
      <c r="H122" s="478">
        <v>12800</v>
      </c>
      <c r="I122" s="472">
        <f t="shared" si="21"/>
        <v>0</v>
      </c>
      <c r="J122" s="478"/>
      <c r="K122" s="478"/>
      <c r="L122" s="478"/>
      <c r="M122" s="478"/>
      <c r="N122" s="478"/>
      <c r="O122" s="478"/>
      <c r="P122" s="478"/>
      <c r="Q122" s="478"/>
      <c r="R122" s="478"/>
      <c r="S122" s="472">
        <f t="shared" si="22"/>
        <v>0</v>
      </c>
      <c r="T122" s="478"/>
      <c r="U122" s="478"/>
      <c r="V122" s="478"/>
    </row>
    <row r="123" spans="1:22" s="468" customFormat="1" ht="42" customHeight="1">
      <c r="A123" s="613"/>
      <c r="B123" s="613"/>
      <c r="C123" s="630">
        <v>4300</v>
      </c>
      <c r="D123" s="477" t="s">
        <v>529</v>
      </c>
      <c r="E123" s="529">
        <f t="shared" si="18"/>
        <v>7300</v>
      </c>
      <c r="F123" s="472">
        <f t="shared" si="19"/>
        <v>7300</v>
      </c>
      <c r="G123" s="472">
        <f t="shared" si="20"/>
        <v>7300</v>
      </c>
      <c r="H123" s="478">
        <v>7300</v>
      </c>
      <c r="I123" s="472">
        <f t="shared" si="21"/>
        <v>0</v>
      </c>
      <c r="J123" s="478"/>
      <c r="K123" s="478"/>
      <c r="L123" s="478"/>
      <c r="M123" s="478"/>
      <c r="N123" s="478"/>
      <c r="O123" s="478"/>
      <c r="P123" s="478"/>
      <c r="Q123" s="478"/>
      <c r="R123" s="478"/>
      <c r="S123" s="472">
        <f t="shared" si="22"/>
        <v>0</v>
      </c>
      <c r="T123" s="478"/>
      <c r="U123" s="478"/>
      <c r="V123" s="478"/>
    </row>
    <row r="124" spans="1:22" s="468" customFormat="1" ht="45">
      <c r="A124" s="613"/>
      <c r="B124" s="613"/>
      <c r="C124" s="630">
        <v>4360</v>
      </c>
      <c r="D124" s="477" t="s">
        <v>19</v>
      </c>
      <c r="E124" s="529">
        <f t="shared" si="18"/>
        <v>8500</v>
      </c>
      <c r="F124" s="472">
        <f t="shared" si="19"/>
        <v>8500</v>
      </c>
      <c r="G124" s="472">
        <f t="shared" si="20"/>
        <v>8500</v>
      </c>
      <c r="H124" s="478">
        <v>8500</v>
      </c>
      <c r="I124" s="472">
        <f t="shared" si="21"/>
        <v>0</v>
      </c>
      <c r="J124" s="478"/>
      <c r="K124" s="478"/>
      <c r="L124" s="478"/>
      <c r="M124" s="478"/>
      <c r="N124" s="478"/>
      <c r="O124" s="478"/>
      <c r="P124" s="478"/>
      <c r="Q124" s="478"/>
      <c r="R124" s="478"/>
      <c r="S124" s="472">
        <f t="shared" si="22"/>
        <v>0</v>
      </c>
      <c r="T124" s="478"/>
      <c r="U124" s="478"/>
      <c r="V124" s="478"/>
    </row>
    <row r="125" spans="1:22" s="468" customFormat="1" ht="45" customHeight="1" hidden="1">
      <c r="A125" s="613"/>
      <c r="B125" s="613"/>
      <c r="C125" s="630">
        <v>4370</v>
      </c>
      <c r="D125" s="477" t="s">
        <v>705</v>
      </c>
      <c r="E125" s="529">
        <f t="shared" si="18"/>
        <v>0</v>
      </c>
      <c r="F125" s="472">
        <f t="shared" si="19"/>
        <v>0</v>
      </c>
      <c r="G125" s="472">
        <f t="shared" si="20"/>
        <v>0</v>
      </c>
      <c r="H125" s="478"/>
      <c r="I125" s="472">
        <f t="shared" si="21"/>
        <v>0</v>
      </c>
      <c r="J125" s="478"/>
      <c r="K125" s="478"/>
      <c r="L125" s="478"/>
      <c r="M125" s="478"/>
      <c r="N125" s="478"/>
      <c r="O125" s="478"/>
      <c r="P125" s="478"/>
      <c r="Q125" s="478"/>
      <c r="R125" s="478"/>
      <c r="S125" s="472">
        <f t="shared" si="22"/>
        <v>0</v>
      </c>
      <c r="T125" s="478"/>
      <c r="U125" s="478"/>
      <c r="V125" s="478"/>
    </row>
    <row r="126" spans="1:22" s="468" customFormat="1" ht="76.5" customHeight="1">
      <c r="A126" s="613"/>
      <c r="B126" s="613"/>
      <c r="C126" s="630">
        <v>4400</v>
      </c>
      <c r="D126" s="477" t="s">
        <v>25</v>
      </c>
      <c r="E126" s="529">
        <f t="shared" si="18"/>
        <v>2600</v>
      </c>
      <c r="F126" s="472">
        <f t="shared" si="19"/>
        <v>2600</v>
      </c>
      <c r="G126" s="472">
        <f t="shared" si="20"/>
        <v>2600</v>
      </c>
      <c r="H126" s="478">
        <v>2600</v>
      </c>
      <c r="I126" s="472">
        <f t="shared" si="21"/>
        <v>0</v>
      </c>
      <c r="J126" s="478"/>
      <c r="K126" s="478"/>
      <c r="L126" s="478"/>
      <c r="M126" s="478"/>
      <c r="N126" s="478"/>
      <c r="O126" s="478"/>
      <c r="P126" s="478"/>
      <c r="Q126" s="478"/>
      <c r="R126" s="478"/>
      <c r="S126" s="472">
        <f t="shared" si="22"/>
        <v>0</v>
      </c>
      <c r="T126" s="478"/>
      <c r="U126" s="478"/>
      <c r="V126" s="478"/>
    </row>
    <row r="127" spans="1:22" s="468" customFormat="1" ht="30" customHeight="1" hidden="1">
      <c r="A127" s="613"/>
      <c r="B127" s="613"/>
      <c r="C127" s="630">
        <v>4410</v>
      </c>
      <c r="D127" s="477" t="s">
        <v>430</v>
      </c>
      <c r="E127" s="529">
        <f t="shared" si="18"/>
        <v>0</v>
      </c>
      <c r="F127" s="472">
        <f t="shared" si="19"/>
        <v>0</v>
      </c>
      <c r="G127" s="472">
        <f t="shared" si="20"/>
        <v>0</v>
      </c>
      <c r="H127" s="478"/>
      <c r="I127" s="472">
        <f t="shared" si="21"/>
        <v>0</v>
      </c>
      <c r="J127" s="478"/>
      <c r="K127" s="478"/>
      <c r="L127" s="478"/>
      <c r="M127" s="478"/>
      <c r="N127" s="478"/>
      <c r="O127" s="478"/>
      <c r="P127" s="478"/>
      <c r="Q127" s="478"/>
      <c r="R127" s="478"/>
      <c r="S127" s="472">
        <f t="shared" si="22"/>
        <v>0</v>
      </c>
      <c r="T127" s="478"/>
      <c r="U127" s="478"/>
      <c r="V127" s="478"/>
    </row>
    <row r="128" spans="1:22" s="468" customFormat="1" ht="30" customHeight="1" hidden="1">
      <c r="A128" s="613"/>
      <c r="B128" s="618"/>
      <c r="C128" s="634">
        <v>4420</v>
      </c>
      <c r="D128" s="531" t="s">
        <v>21</v>
      </c>
      <c r="E128" s="529">
        <f t="shared" si="18"/>
        <v>0</v>
      </c>
      <c r="F128" s="472">
        <f t="shared" si="19"/>
        <v>0</v>
      </c>
      <c r="G128" s="472">
        <f t="shared" si="20"/>
        <v>0</v>
      </c>
      <c r="H128" s="478"/>
      <c r="I128" s="472">
        <f t="shared" si="21"/>
        <v>0</v>
      </c>
      <c r="J128" s="478"/>
      <c r="K128" s="478"/>
      <c r="L128" s="478"/>
      <c r="M128" s="478"/>
      <c r="N128" s="478"/>
      <c r="O128" s="478"/>
      <c r="P128" s="478"/>
      <c r="Q128" s="478"/>
      <c r="R128" s="478"/>
      <c r="S128" s="472">
        <f t="shared" si="22"/>
        <v>0</v>
      </c>
      <c r="T128" s="478"/>
      <c r="U128" s="478"/>
      <c r="V128" s="478"/>
    </row>
    <row r="129" spans="1:22" s="468" customFormat="1" ht="45" customHeight="1" hidden="1">
      <c r="A129" s="613"/>
      <c r="B129" s="613"/>
      <c r="C129" s="630">
        <v>4700</v>
      </c>
      <c r="D129" s="477" t="s">
        <v>708</v>
      </c>
      <c r="E129" s="529">
        <f t="shared" si="18"/>
        <v>0</v>
      </c>
      <c r="F129" s="472">
        <f t="shared" si="19"/>
        <v>0</v>
      </c>
      <c r="G129" s="472">
        <f t="shared" si="20"/>
        <v>0</v>
      </c>
      <c r="H129" s="478"/>
      <c r="I129" s="472">
        <f t="shared" si="21"/>
        <v>0</v>
      </c>
      <c r="J129" s="478"/>
      <c r="K129" s="478"/>
      <c r="L129" s="478"/>
      <c r="M129" s="478"/>
      <c r="N129" s="478"/>
      <c r="O129" s="478"/>
      <c r="P129" s="478"/>
      <c r="Q129" s="478"/>
      <c r="R129" s="478"/>
      <c r="S129" s="472">
        <f t="shared" si="22"/>
        <v>0</v>
      </c>
      <c r="T129" s="478"/>
      <c r="U129" s="478"/>
      <c r="V129" s="478"/>
    </row>
    <row r="130" spans="1:22" s="476" customFormat="1" ht="15.75">
      <c r="A130" s="612"/>
      <c r="B130" s="612">
        <v>75020</v>
      </c>
      <c r="C130" s="629"/>
      <c r="D130" s="271" t="s">
        <v>530</v>
      </c>
      <c r="E130" s="529">
        <f t="shared" si="18"/>
        <v>7153399</v>
      </c>
      <c r="F130" s="472">
        <f t="shared" si="19"/>
        <v>6956899</v>
      </c>
      <c r="G130" s="472">
        <f t="shared" si="20"/>
        <v>6949299</v>
      </c>
      <c r="H130" s="475">
        <f>SUM(H131:H161)</f>
        <v>2686640</v>
      </c>
      <c r="I130" s="472">
        <f t="shared" si="21"/>
        <v>4262659</v>
      </c>
      <c r="J130" s="475">
        <f aca="true" t="shared" si="28" ref="J130:R130">SUM(J131:J161)</f>
        <v>3412456</v>
      </c>
      <c r="K130" s="475">
        <f t="shared" si="28"/>
        <v>249000</v>
      </c>
      <c r="L130" s="475">
        <f t="shared" si="28"/>
        <v>590543</v>
      </c>
      <c r="M130" s="475">
        <f t="shared" si="28"/>
        <v>10660</v>
      </c>
      <c r="N130" s="475">
        <f t="shared" si="28"/>
        <v>7600</v>
      </c>
      <c r="O130" s="475">
        <f t="shared" si="28"/>
        <v>0</v>
      </c>
      <c r="P130" s="475">
        <f>SUM(P131:P161)</f>
        <v>0</v>
      </c>
      <c r="Q130" s="475">
        <f t="shared" si="28"/>
        <v>0</v>
      </c>
      <c r="R130" s="475">
        <f t="shared" si="28"/>
        <v>0</v>
      </c>
      <c r="S130" s="472">
        <f t="shared" si="22"/>
        <v>196500</v>
      </c>
      <c r="T130" s="475">
        <f>SUM(T131:T161)</f>
        <v>196500</v>
      </c>
      <c r="U130" s="475">
        <f>SUM(U131:U161)</f>
        <v>0</v>
      </c>
      <c r="V130" s="475">
        <f>SUM(V131:V161)</f>
        <v>0</v>
      </c>
    </row>
    <row r="131" spans="1:22" s="468" customFormat="1" ht="105">
      <c r="A131" s="613"/>
      <c r="B131" s="613"/>
      <c r="C131" s="630">
        <v>2900</v>
      </c>
      <c r="D131" s="477" t="s">
        <v>539</v>
      </c>
      <c r="E131" s="529">
        <f t="shared" si="18"/>
        <v>12300</v>
      </c>
      <c r="F131" s="472">
        <f t="shared" si="19"/>
        <v>12300</v>
      </c>
      <c r="G131" s="472">
        <f t="shared" si="20"/>
        <v>12300</v>
      </c>
      <c r="H131" s="478">
        <v>12300</v>
      </c>
      <c r="I131" s="472">
        <f t="shared" si="21"/>
        <v>0</v>
      </c>
      <c r="J131" s="478"/>
      <c r="K131" s="478"/>
      <c r="L131" s="478"/>
      <c r="M131" s="478"/>
      <c r="N131" s="478"/>
      <c r="O131" s="478"/>
      <c r="P131" s="478"/>
      <c r="Q131" s="478"/>
      <c r="R131" s="478"/>
      <c r="S131" s="472">
        <f t="shared" si="22"/>
        <v>0</v>
      </c>
      <c r="T131" s="478"/>
      <c r="U131" s="478"/>
      <c r="V131" s="478"/>
    </row>
    <row r="132" spans="1:22" s="468" customFormat="1" ht="45">
      <c r="A132" s="615"/>
      <c r="B132" s="611"/>
      <c r="C132" s="630">
        <v>3020</v>
      </c>
      <c r="D132" s="477" t="s">
        <v>709</v>
      </c>
      <c r="E132" s="529">
        <f t="shared" si="18"/>
        <v>4600</v>
      </c>
      <c r="F132" s="472">
        <f t="shared" si="19"/>
        <v>4600</v>
      </c>
      <c r="G132" s="472">
        <f t="shared" si="20"/>
        <v>0</v>
      </c>
      <c r="H132" s="478"/>
      <c r="I132" s="472">
        <f t="shared" si="21"/>
        <v>0</v>
      </c>
      <c r="J132" s="478"/>
      <c r="K132" s="478"/>
      <c r="L132" s="478"/>
      <c r="M132" s="478"/>
      <c r="N132" s="478">
        <v>4600</v>
      </c>
      <c r="O132" s="478"/>
      <c r="P132" s="478"/>
      <c r="Q132" s="478"/>
      <c r="R132" s="478"/>
      <c r="S132" s="472">
        <f t="shared" si="22"/>
        <v>0</v>
      </c>
      <c r="T132" s="478"/>
      <c r="U132" s="478"/>
      <c r="V132" s="478"/>
    </row>
    <row r="133" spans="1:22" s="468" customFormat="1" ht="15.75">
      <c r="A133" s="615"/>
      <c r="B133" s="611"/>
      <c r="C133" s="630">
        <v>3250</v>
      </c>
      <c r="D133" s="477" t="s">
        <v>540</v>
      </c>
      <c r="E133" s="529">
        <f t="shared" si="18"/>
        <v>3000</v>
      </c>
      <c r="F133" s="472">
        <f t="shared" si="19"/>
        <v>3000</v>
      </c>
      <c r="G133" s="472">
        <f t="shared" si="20"/>
        <v>0</v>
      </c>
      <c r="H133" s="641"/>
      <c r="I133" s="472">
        <f t="shared" si="21"/>
        <v>0</v>
      </c>
      <c r="J133" s="478"/>
      <c r="K133" s="478"/>
      <c r="L133" s="478"/>
      <c r="M133" s="478"/>
      <c r="N133" s="478">
        <v>3000</v>
      </c>
      <c r="O133" s="478"/>
      <c r="P133" s="478"/>
      <c r="Q133" s="478"/>
      <c r="R133" s="478"/>
      <c r="S133" s="472">
        <f t="shared" si="22"/>
        <v>0</v>
      </c>
      <c r="T133" s="478"/>
      <c r="U133" s="478"/>
      <c r="V133" s="478"/>
    </row>
    <row r="134" spans="1:22" s="468" customFormat="1" ht="30">
      <c r="A134" s="615"/>
      <c r="B134" s="611"/>
      <c r="C134" s="434">
        <v>4010</v>
      </c>
      <c r="D134" s="477" t="s">
        <v>417</v>
      </c>
      <c r="E134" s="529">
        <f t="shared" si="18"/>
        <v>3412456</v>
      </c>
      <c r="F134" s="472">
        <f t="shared" si="19"/>
        <v>3412456</v>
      </c>
      <c r="G134" s="472">
        <f t="shared" si="20"/>
        <v>3412456</v>
      </c>
      <c r="H134" s="478"/>
      <c r="I134" s="472">
        <f t="shared" si="21"/>
        <v>3412456</v>
      </c>
      <c r="J134" s="478">
        <v>3412456</v>
      </c>
      <c r="K134" s="478"/>
      <c r="L134" s="478"/>
      <c r="M134" s="478"/>
      <c r="N134" s="478"/>
      <c r="O134" s="478"/>
      <c r="P134" s="478"/>
      <c r="Q134" s="478"/>
      <c r="R134" s="478"/>
      <c r="S134" s="472">
        <f t="shared" si="22"/>
        <v>0</v>
      </c>
      <c r="T134" s="478"/>
      <c r="U134" s="478"/>
      <c r="V134" s="478"/>
    </row>
    <row r="135" spans="1:22" s="468" customFormat="1" ht="30">
      <c r="A135" s="615"/>
      <c r="B135" s="611"/>
      <c r="C135" s="630">
        <v>4040</v>
      </c>
      <c r="D135" s="477" t="s">
        <v>418</v>
      </c>
      <c r="E135" s="529">
        <f t="shared" si="18"/>
        <v>249000</v>
      </c>
      <c r="F135" s="472">
        <f t="shared" si="19"/>
        <v>249000</v>
      </c>
      <c r="G135" s="472">
        <f t="shared" si="20"/>
        <v>249000</v>
      </c>
      <c r="H135" s="478"/>
      <c r="I135" s="472">
        <f t="shared" si="21"/>
        <v>249000</v>
      </c>
      <c r="J135" s="478"/>
      <c r="K135" s="478">
        <v>249000</v>
      </c>
      <c r="L135" s="478"/>
      <c r="M135" s="478"/>
      <c r="N135" s="478"/>
      <c r="O135" s="478"/>
      <c r="P135" s="478"/>
      <c r="Q135" s="478"/>
      <c r="R135" s="478"/>
      <c r="S135" s="472">
        <f t="shared" si="22"/>
        <v>0</v>
      </c>
      <c r="T135" s="478"/>
      <c r="U135" s="478"/>
      <c r="V135" s="478"/>
    </row>
    <row r="136" spans="1:22" s="468" customFormat="1" ht="45">
      <c r="A136" s="615"/>
      <c r="B136" s="611"/>
      <c r="C136" s="630">
        <v>4110</v>
      </c>
      <c r="D136" s="477" t="s">
        <v>419</v>
      </c>
      <c r="E136" s="529">
        <f t="shared" si="18"/>
        <v>508523</v>
      </c>
      <c r="F136" s="472">
        <f t="shared" si="19"/>
        <v>508523</v>
      </c>
      <c r="G136" s="472">
        <f t="shared" si="20"/>
        <v>508523</v>
      </c>
      <c r="H136" s="478"/>
      <c r="I136" s="472">
        <f t="shared" si="21"/>
        <v>508523</v>
      </c>
      <c r="J136" s="478"/>
      <c r="K136" s="478"/>
      <c r="L136" s="512">
        <v>508523</v>
      </c>
      <c r="M136" s="512"/>
      <c r="N136" s="512"/>
      <c r="O136" s="478"/>
      <c r="P136" s="478"/>
      <c r="Q136" s="478"/>
      <c r="R136" s="478"/>
      <c r="S136" s="472">
        <f t="shared" si="22"/>
        <v>0</v>
      </c>
      <c r="T136" s="478"/>
      <c r="U136" s="478"/>
      <c r="V136" s="478"/>
    </row>
    <row r="137" spans="1:22" s="468" customFormat="1" ht="30">
      <c r="A137" s="615"/>
      <c r="B137" s="611"/>
      <c r="C137" s="630">
        <v>4120</v>
      </c>
      <c r="D137" s="477" t="s">
        <v>420</v>
      </c>
      <c r="E137" s="529">
        <f t="shared" si="18"/>
        <v>82020</v>
      </c>
      <c r="F137" s="472">
        <f t="shared" si="19"/>
        <v>82020</v>
      </c>
      <c r="G137" s="472">
        <f t="shared" si="20"/>
        <v>82020</v>
      </c>
      <c r="H137" s="478"/>
      <c r="I137" s="472">
        <f t="shared" si="21"/>
        <v>82020</v>
      </c>
      <c r="J137" s="478"/>
      <c r="K137" s="478"/>
      <c r="L137" s="512">
        <v>82020</v>
      </c>
      <c r="M137" s="512"/>
      <c r="N137" s="512"/>
      <c r="O137" s="478"/>
      <c r="P137" s="478"/>
      <c r="Q137" s="478"/>
      <c r="R137" s="478"/>
      <c r="S137" s="472">
        <f t="shared" si="22"/>
        <v>0</v>
      </c>
      <c r="T137" s="478"/>
      <c r="U137" s="478"/>
      <c r="V137" s="478"/>
    </row>
    <row r="138" spans="1:22" s="468" customFormat="1" ht="15.75" customHeight="1" hidden="1">
      <c r="A138" s="615"/>
      <c r="B138" s="611"/>
      <c r="C138" s="630">
        <v>4140</v>
      </c>
      <c r="D138" s="477" t="s">
        <v>22</v>
      </c>
      <c r="E138" s="529">
        <f t="shared" si="18"/>
        <v>0</v>
      </c>
      <c r="F138" s="472">
        <f t="shared" si="19"/>
        <v>0</v>
      </c>
      <c r="G138" s="472">
        <f t="shared" si="20"/>
        <v>0</v>
      </c>
      <c r="H138" s="478">
        <v>0</v>
      </c>
      <c r="I138" s="472">
        <f t="shared" si="21"/>
        <v>0</v>
      </c>
      <c r="J138" s="478"/>
      <c r="K138" s="478"/>
      <c r="L138" s="478"/>
      <c r="M138" s="478"/>
      <c r="N138" s="478"/>
      <c r="O138" s="478"/>
      <c r="P138" s="478"/>
      <c r="Q138" s="478"/>
      <c r="R138" s="478"/>
      <c r="S138" s="472">
        <f t="shared" si="22"/>
        <v>0</v>
      </c>
      <c r="T138" s="478"/>
      <c r="U138" s="478"/>
      <c r="V138" s="478"/>
    </row>
    <row r="139" spans="1:22" s="468" customFormat="1" ht="30">
      <c r="A139" s="615"/>
      <c r="B139" s="611"/>
      <c r="C139" s="630">
        <v>4170</v>
      </c>
      <c r="D139" s="477" t="s">
        <v>518</v>
      </c>
      <c r="E139" s="529">
        <f t="shared" si="18"/>
        <v>10660</v>
      </c>
      <c r="F139" s="472">
        <f t="shared" si="19"/>
        <v>10660</v>
      </c>
      <c r="G139" s="472">
        <f t="shared" si="20"/>
        <v>10660</v>
      </c>
      <c r="H139" s="478"/>
      <c r="I139" s="472">
        <f t="shared" si="21"/>
        <v>10660</v>
      </c>
      <c r="J139" s="478"/>
      <c r="K139" s="478"/>
      <c r="L139" s="478"/>
      <c r="M139" s="478">
        <v>10660</v>
      </c>
      <c r="N139" s="478"/>
      <c r="O139" s="478"/>
      <c r="P139" s="478"/>
      <c r="Q139" s="478"/>
      <c r="R139" s="478"/>
      <c r="S139" s="472">
        <f t="shared" si="22"/>
        <v>0</v>
      </c>
      <c r="T139" s="478"/>
      <c r="U139" s="478"/>
      <c r="V139" s="478"/>
    </row>
    <row r="140" spans="1:22" s="468" customFormat="1" ht="30">
      <c r="A140" s="615"/>
      <c r="B140" s="611"/>
      <c r="C140" s="630">
        <v>4210</v>
      </c>
      <c r="D140" s="477" t="s">
        <v>422</v>
      </c>
      <c r="E140" s="529">
        <f t="shared" si="18"/>
        <v>863740</v>
      </c>
      <c r="F140" s="472">
        <f t="shared" si="19"/>
        <v>863740</v>
      </c>
      <c r="G140" s="472">
        <f t="shared" si="20"/>
        <v>863740</v>
      </c>
      <c r="H140" s="478">
        <v>863740</v>
      </c>
      <c r="I140" s="472">
        <f t="shared" si="21"/>
        <v>0</v>
      </c>
      <c r="J140" s="478"/>
      <c r="K140" s="478"/>
      <c r="L140" s="478"/>
      <c r="M140" s="478"/>
      <c r="N140" s="478"/>
      <c r="O140" s="478"/>
      <c r="P140" s="478"/>
      <c r="Q140" s="478"/>
      <c r="R140" s="478"/>
      <c r="S140" s="472">
        <f t="shared" si="22"/>
        <v>0</v>
      </c>
      <c r="T140" s="478"/>
      <c r="U140" s="478"/>
      <c r="V140" s="478"/>
    </row>
    <row r="141" spans="1:22" s="468" customFormat="1" ht="45">
      <c r="A141" s="615"/>
      <c r="B141" s="611"/>
      <c r="C141" s="630">
        <v>4230</v>
      </c>
      <c r="D141" s="477" t="s">
        <v>737</v>
      </c>
      <c r="E141" s="529">
        <f aca="true" t="shared" si="29" ref="E141:E204">F141+S141</f>
        <v>2000</v>
      </c>
      <c r="F141" s="472">
        <f t="shared" si="19"/>
        <v>2000</v>
      </c>
      <c r="G141" s="472">
        <f t="shared" si="20"/>
        <v>2000</v>
      </c>
      <c r="H141" s="478">
        <v>2000</v>
      </c>
      <c r="I141" s="472">
        <f t="shared" si="21"/>
        <v>0</v>
      </c>
      <c r="J141" s="478"/>
      <c r="K141" s="478"/>
      <c r="L141" s="478"/>
      <c r="M141" s="478"/>
      <c r="N141" s="478"/>
      <c r="O141" s="478"/>
      <c r="P141" s="478"/>
      <c r="Q141" s="478"/>
      <c r="R141" s="478"/>
      <c r="S141" s="472">
        <f t="shared" si="22"/>
        <v>0</v>
      </c>
      <c r="T141" s="478"/>
      <c r="U141" s="478"/>
      <c r="V141" s="478"/>
    </row>
    <row r="142" spans="1:22" s="468" customFormat="1" ht="15.75">
      <c r="A142" s="615"/>
      <c r="B142" s="611"/>
      <c r="C142" s="630">
        <v>4260</v>
      </c>
      <c r="D142" s="477" t="s">
        <v>423</v>
      </c>
      <c r="E142" s="529">
        <f t="shared" si="29"/>
        <v>163000</v>
      </c>
      <c r="F142" s="472">
        <f aca="true" t="shared" si="30" ref="F142:F205">G142+N142+O142+P142+Q142+R142</f>
        <v>163000</v>
      </c>
      <c r="G142" s="472">
        <f aca="true" t="shared" si="31" ref="G142:G205">H142+I142</f>
        <v>163000</v>
      </c>
      <c r="H142" s="478">
        <v>163000</v>
      </c>
      <c r="I142" s="472">
        <f aca="true" t="shared" si="32" ref="I142:I205">SUM(J142:M142)</f>
        <v>0</v>
      </c>
      <c r="J142" s="478"/>
      <c r="K142" s="478"/>
      <c r="L142" s="478"/>
      <c r="M142" s="478"/>
      <c r="N142" s="478"/>
      <c r="O142" s="478"/>
      <c r="P142" s="478"/>
      <c r="Q142" s="478"/>
      <c r="R142" s="478"/>
      <c r="S142" s="472">
        <f aca="true" t="shared" si="33" ref="S142:S205">T142+V142</f>
        <v>0</v>
      </c>
      <c r="T142" s="478"/>
      <c r="U142" s="478"/>
      <c r="V142" s="478"/>
    </row>
    <row r="143" spans="1:22" s="468" customFormat="1" ht="30">
      <c r="A143" s="611"/>
      <c r="B143" s="611"/>
      <c r="C143" s="630">
        <v>4270</v>
      </c>
      <c r="D143" s="477" t="s">
        <v>424</v>
      </c>
      <c r="E143" s="529">
        <f t="shared" si="29"/>
        <v>42000</v>
      </c>
      <c r="F143" s="472">
        <f t="shared" si="30"/>
        <v>42000</v>
      </c>
      <c r="G143" s="472">
        <f t="shared" si="31"/>
        <v>42000</v>
      </c>
      <c r="H143" s="478">
        <v>42000</v>
      </c>
      <c r="I143" s="472">
        <f t="shared" si="32"/>
        <v>0</v>
      </c>
      <c r="J143" s="478"/>
      <c r="K143" s="478"/>
      <c r="L143" s="478"/>
      <c r="M143" s="478"/>
      <c r="N143" s="478"/>
      <c r="O143" s="478"/>
      <c r="P143" s="478"/>
      <c r="Q143" s="478"/>
      <c r="R143" s="478"/>
      <c r="S143" s="472">
        <f t="shared" si="33"/>
        <v>0</v>
      </c>
      <c r="T143" s="478"/>
      <c r="U143" s="478"/>
      <c r="V143" s="478"/>
    </row>
    <row r="144" spans="1:22" s="468" customFormat="1" ht="36.75" customHeight="1">
      <c r="A144" s="611"/>
      <c r="B144" s="611"/>
      <c r="C144" s="630">
        <v>4280</v>
      </c>
      <c r="D144" s="484" t="s">
        <v>425</v>
      </c>
      <c r="E144" s="529">
        <f t="shared" si="29"/>
        <v>2500</v>
      </c>
      <c r="F144" s="472">
        <f t="shared" si="30"/>
        <v>2500</v>
      </c>
      <c r="G144" s="472">
        <f t="shared" si="31"/>
        <v>2500</v>
      </c>
      <c r="H144" s="478">
        <v>2500</v>
      </c>
      <c r="I144" s="472">
        <f t="shared" si="32"/>
        <v>0</v>
      </c>
      <c r="J144" s="478"/>
      <c r="K144" s="478"/>
      <c r="L144" s="478"/>
      <c r="M144" s="478"/>
      <c r="N144" s="478"/>
      <c r="O144" s="478"/>
      <c r="P144" s="478"/>
      <c r="Q144" s="478"/>
      <c r="R144" s="478"/>
      <c r="S144" s="472">
        <f t="shared" si="33"/>
        <v>0</v>
      </c>
      <c r="T144" s="478"/>
      <c r="U144" s="478"/>
      <c r="V144" s="478"/>
    </row>
    <row r="145" spans="1:22" s="468" customFormat="1" ht="30">
      <c r="A145" s="611"/>
      <c r="B145" s="611"/>
      <c r="C145" s="630">
        <v>4300</v>
      </c>
      <c r="D145" s="477" t="s">
        <v>405</v>
      </c>
      <c r="E145" s="529">
        <f t="shared" si="29"/>
        <v>579524</v>
      </c>
      <c r="F145" s="472">
        <f t="shared" si="30"/>
        <v>579524</v>
      </c>
      <c r="G145" s="472">
        <f t="shared" si="31"/>
        <v>579524</v>
      </c>
      <c r="H145" s="478">
        <v>579524</v>
      </c>
      <c r="I145" s="472">
        <f t="shared" si="32"/>
        <v>0</v>
      </c>
      <c r="J145" s="478"/>
      <c r="K145" s="478"/>
      <c r="L145" s="478"/>
      <c r="M145" s="478"/>
      <c r="N145" s="478"/>
      <c r="O145" s="478"/>
      <c r="P145" s="478"/>
      <c r="Q145" s="478"/>
      <c r="R145" s="478"/>
      <c r="S145" s="472">
        <f t="shared" si="33"/>
        <v>0</v>
      </c>
      <c r="T145" s="478"/>
      <c r="U145" s="478"/>
      <c r="V145" s="478"/>
    </row>
    <row r="146" spans="1:22" s="468" customFormat="1" ht="30">
      <c r="A146" s="611"/>
      <c r="B146" s="611"/>
      <c r="C146" s="630">
        <v>4350</v>
      </c>
      <c r="D146" s="477" t="s">
        <v>426</v>
      </c>
      <c r="E146" s="529">
        <f t="shared" si="29"/>
        <v>17000</v>
      </c>
      <c r="F146" s="472">
        <f t="shared" si="30"/>
        <v>17000</v>
      </c>
      <c r="G146" s="472">
        <f t="shared" si="31"/>
        <v>17000</v>
      </c>
      <c r="H146" s="478">
        <v>17000</v>
      </c>
      <c r="I146" s="472">
        <f t="shared" si="32"/>
        <v>0</v>
      </c>
      <c r="J146" s="478"/>
      <c r="K146" s="478"/>
      <c r="L146" s="478"/>
      <c r="M146" s="478"/>
      <c r="N146" s="478"/>
      <c r="O146" s="478"/>
      <c r="P146" s="478"/>
      <c r="Q146" s="478"/>
      <c r="R146" s="478"/>
      <c r="S146" s="472">
        <f t="shared" si="33"/>
        <v>0</v>
      </c>
      <c r="T146" s="478"/>
      <c r="U146" s="478"/>
      <c r="V146" s="478"/>
    </row>
    <row r="147" spans="1:22" s="468" customFormat="1" ht="45">
      <c r="A147" s="611"/>
      <c r="B147" s="611"/>
      <c r="C147" s="630">
        <v>4360</v>
      </c>
      <c r="D147" s="477" t="s">
        <v>704</v>
      </c>
      <c r="E147" s="529">
        <f t="shared" si="29"/>
        <v>26000</v>
      </c>
      <c r="F147" s="472">
        <f t="shared" si="30"/>
        <v>26000</v>
      </c>
      <c r="G147" s="472">
        <f t="shared" si="31"/>
        <v>26000</v>
      </c>
      <c r="H147" s="478">
        <v>26000</v>
      </c>
      <c r="I147" s="472">
        <f t="shared" si="32"/>
        <v>0</v>
      </c>
      <c r="J147" s="478"/>
      <c r="K147" s="478"/>
      <c r="L147" s="478"/>
      <c r="M147" s="478"/>
      <c r="N147" s="478"/>
      <c r="O147" s="478"/>
      <c r="P147" s="478"/>
      <c r="Q147" s="478"/>
      <c r="R147" s="478"/>
      <c r="S147" s="472">
        <f t="shared" si="33"/>
        <v>0</v>
      </c>
      <c r="T147" s="478"/>
      <c r="U147" s="478"/>
      <c r="V147" s="478"/>
    </row>
    <row r="148" spans="1:22" s="468" customFormat="1" ht="45">
      <c r="A148" s="611"/>
      <c r="B148" s="611"/>
      <c r="C148" s="630">
        <v>4370</v>
      </c>
      <c r="D148" s="477" t="s">
        <v>705</v>
      </c>
      <c r="E148" s="529">
        <f t="shared" si="29"/>
        <v>54000</v>
      </c>
      <c r="F148" s="472">
        <f t="shared" si="30"/>
        <v>54000</v>
      </c>
      <c r="G148" s="472">
        <f t="shared" si="31"/>
        <v>54000</v>
      </c>
      <c r="H148" s="478">
        <v>54000</v>
      </c>
      <c r="I148" s="472">
        <f t="shared" si="32"/>
        <v>0</v>
      </c>
      <c r="J148" s="478"/>
      <c r="K148" s="478"/>
      <c r="L148" s="478"/>
      <c r="M148" s="478"/>
      <c r="N148" s="478"/>
      <c r="O148" s="478"/>
      <c r="P148" s="478"/>
      <c r="Q148" s="478"/>
      <c r="R148" s="478"/>
      <c r="S148" s="472">
        <f t="shared" si="33"/>
        <v>0</v>
      </c>
      <c r="T148" s="478"/>
      <c r="U148" s="478"/>
      <c r="V148" s="478"/>
    </row>
    <row r="149" spans="1:22" s="468" customFormat="1" ht="45">
      <c r="A149" s="611"/>
      <c r="B149" s="611"/>
      <c r="C149" s="630">
        <v>4380</v>
      </c>
      <c r="D149" s="477" t="s">
        <v>703</v>
      </c>
      <c r="E149" s="529">
        <f t="shared" si="29"/>
        <v>4000</v>
      </c>
      <c r="F149" s="472">
        <f t="shared" si="30"/>
        <v>4000</v>
      </c>
      <c r="G149" s="472">
        <f t="shared" si="31"/>
        <v>4000</v>
      </c>
      <c r="H149" s="478">
        <v>4000</v>
      </c>
      <c r="I149" s="472">
        <f t="shared" si="32"/>
        <v>0</v>
      </c>
      <c r="J149" s="478"/>
      <c r="K149" s="478"/>
      <c r="L149" s="478"/>
      <c r="M149" s="478"/>
      <c r="N149" s="478"/>
      <c r="O149" s="478"/>
      <c r="P149" s="478"/>
      <c r="Q149" s="478"/>
      <c r="R149" s="478"/>
      <c r="S149" s="472">
        <f t="shared" si="33"/>
        <v>0</v>
      </c>
      <c r="T149" s="478"/>
      <c r="U149" s="478"/>
      <c r="V149" s="478"/>
    </row>
    <row r="150" spans="1:22" s="468" customFormat="1" ht="75">
      <c r="A150" s="611"/>
      <c r="B150" s="611"/>
      <c r="C150" s="630">
        <v>4400</v>
      </c>
      <c r="D150" s="477" t="s">
        <v>25</v>
      </c>
      <c r="E150" s="529">
        <f t="shared" si="29"/>
        <v>666000</v>
      </c>
      <c r="F150" s="472">
        <f t="shared" si="30"/>
        <v>666000</v>
      </c>
      <c r="G150" s="472">
        <f t="shared" si="31"/>
        <v>666000</v>
      </c>
      <c r="H150" s="478">
        <v>666000</v>
      </c>
      <c r="I150" s="472">
        <f t="shared" si="32"/>
        <v>0</v>
      </c>
      <c r="J150" s="478"/>
      <c r="K150" s="478"/>
      <c r="L150" s="478"/>
      <c r="M150" s="478"/>
      <c r="N150" s="478"/>
      <c r="O150" s="478"/>
      <c r="P150" s="478"/>
      <c r="Q150" s="478"/>
      <c r="R150" s="478"/>
      <c r="S150" s="472">
        <f t="shared" si="33"/>
        <v>0</v>
      </c>
      <c r="T150" s="478"/>
      <c r="U150" s="478"/>
      <c r="V150" s="478"/>
    </row>
    <row r="151" spans="1:22" s="468" customFormat="1" ht="30">
      <c r="A151" s="611"/>
      <c r="B151" s="611"/>
      <c r="C151" s="630">
        <v>4410</v>
      </c>
      <c r="D151" s="477" t="s">
        <v>430</v>
      </c>
      <c r="E151" s="529">
        <f t="shared" si="29"/>
        <v>23000</v>
      </c>
      <c r="F151" s="472">
        <f t="shared" si="30"/>
        <v>23000</v>
      </c>
      <c r="G151" s="472">
        <f t="shared" si="31"/>
        <v>23000</v>
      </c>
      <c r="H151" s="478">
        <v>23000</v>
      </c>
      <c r="I151" s="472">
        <f t="shared" si="32"/>
        <v>0</v>
      </c>
      <c r="J151" s="478"/>
      <c r="K151" s="478"/>
      <c r="L151" s="478"/>
      <c r="M151" s="478"/>
      <c r="N151" s="478"/>
      <c r="O151" s="478"/>
      <c r="P151" s="478"/>
      <c r="Q151" s="478"/>
      <c r="R151" s="478"/>
      <c r="S151" s="472">
        <f t="shared" si="33"/>
        <v>0</v>
      </c>
      <c r="T151" s="478"/>
      <c r="U151" s="478"/>
      <c r="V151" s="478"/>
    </row>
    <row r="152" spans="1:22" s="468" customFormat="1" ht="30">
      <c r="A152" s="611"/>
      <c r="B152" s="611"/>
      <c r="C152" s="630">
        <v>4420</v>
      </c>
      <c r="D152" s="477" t="s">
        <v>21</v>
      </c>
      <c r="E152" s="529">
        <f t="shared" si="29"/>
        <v>4000</v>
      </c>
      <c r="F152" s="472">
        <f t="shared" si="30"/>
        <v>4000</v>
      </c>
      <c r="G152" s="472">
        <f t="shared" si="31"/>
        <v>4000</v>
      </c>
      <c r="H152" s="478">
        <v>4000</v>
      </c>
      <c r="I152" s="472">
        <f t="shared" si="32"/>
        <v>0</v>
      </c>
      <c r="J152" s="478"/>
      <c r="K152" s="478"/>
      <c r="L152" s="478"/>
      <c r="M152" s="478"/>
      <c r="N152" s="478"/>
      <c r="O152" s="478"/>
      <c r="P152" s="478"/>
      <c r="Q152" s="478"/>
      <c r="R152" s="478"/>
      <c r="S152" s="472">
        <f t="shared" si="33"/>
        <v>0</v>
      </c>
      <c r="T152" s="478"/>
      <c r="U152" s="478"/>
      <c r="V152" s="478"/>
    </row>
    <row r="153" spans="1:22" s="468" customFormat="1" ht="15.75">
      <c r="A153" s="611"/>
      <c r="B153" s="611"/>
      <c r="C153" s="630">
        <v>4430</v>
      </c>
      <c r="D153" s="477" t="s">
        <v>431</v>
      </c>
      <c r="E153" s="529">
        <f t="shared" si="29"/>
        <v>12000</v>
      </c>
      <c r="F153" s="472">
        <f t="shared" si="30"/>
        <v>12000</v>
      </c>
      <c r="G153" s="472">
        <f t="shared" si="31"/>
        <v>12000</v>
      </c>
      <c r="H153" s="478">
        <v>12000</v>
      </c>
      <c r="I153" s="472">
        <f t="shared" si="32"/>
        <v>0</v>
      </c>
      <c r="J153" s="478"/>
      <c r="K153" s="478"/>
      <c r="L153" s="478"/>
      <c r="M153" s="478"/>
      <c r="N153" s="478"/>
      <c r="O153" s="478"/>
      <c r="P153" s="478"/>
      <c r="Q153" s="478"/>
      <c r="R153" s="478"/>
      <c r="S153" s="472">
        <f t="shared" si="33"/>
        <v>0</v>
      </c>
      <c r="T153" s="478"/>
      <c r="U153" s="478"/>
      <c r="V153" s="478"/>
    </row>
    <row r="154" spans="1:22" s="468" customFormat="1" ht="45">
      <c r="A154" s="611"/>
      <c r="B154" s="611"/>
      <c r="C154" s="630">
        <v>4440</v>
      </c>
      <c r="D154" s="477" t="s">
        <v>432</v>
      </c>
      <c r="E154" s="529">
        <f t="shared" si="29"/>
        <v>87076</v>
      </c>
      <c r="F154" s="472">
        <f t="shared" si="30"/>
        <v>87076</v>
      </c>
      <c r="G154" s="472">
        <f t="shared" si="31"/>
        <v>87076</v>
      </c>
      <c r="H154" s="478">
        <v>87076</v>
      </c>
      <c r="I154" s="472">
        <f t="shared" si="32"/>
        <v>0</v>
      </c>
      <c r="J154" s="478"/>
      <c r="K154" s="478"/>
      <c r="L154" s="478"/>
      <c r="M154" s="478"/>
      <c r="N154" s="478"/>
      <c r="O154" s="478"/>
      <c r="P154" s="478"/>
      <c r="Q154" s="478"/>
      <c r="R154" s="478"/>
      <c r="S154" s="472">
        <f t="shared" si="33"/>
        <v>0</v>
      </c>
      <c r="T154" s="478"/>
      <c r="U154" s="478"/>
      <c r="V154" s="478"/>
    </row>
    <row r="155" spans="1:22" s="468" customFormat="1" ht="30">
      <c r="A155" s="611"/>
      <c r="B155" s="611"/>
      <c r="C155" s="630">
        <v>4510</v>
      </c>
      <c r="D155" s="477" t="s">
        <v>743</v>
      </c>
      <c r="E155" s="529">
        <f t="shared" si="29"/>
        <v>1000</v>
      </c>
      <c r="F155" s="472">
        <f t="shared" si="30"/>
        <v>1000</v>
      </c>
      <c r="G155" s="472">
        <f t="shared" si="31"/>
        <v>1000</v>
      </c>
      <c r="H155" s="478">
        <v>1000</v>
      </c>
      <c r="I155" s="472">
        <f t="shared" si="32"/>
        <v>0</v>
      </c>
      <c r="J155" s="478"/>
      <c r="K155" s="478"/>
      <c r="L155" s="478"/>
      <c r="M155" s="478"/>
      <c r="N155" s="478"/>
      <c r="O155" s="478"/>
      <c r="P155" s="478"/>
      <c r="Q155" s="478"/>
      <c r="R155" s="478"/>
      <c r="S155" s="472">
        <f t="shared" si="33"/>
        <v>0</v>
      </c>
      <c r="T155" s="478"/>
      <c r="U155" s="478"/>
      <c r="V155" s="478"/>
    </row>
    <row r="156" spans="1:22" s="468" customFormat="1" ht="45">
      <c r="A156" s="611"/>
      <c r="B156" s="611"/>
      <c r="C156" s="630">
        <v>4610</v>
      </c>
      <c r="D156" s="477" t="s">
        <v>533</v>
      </c>
      <c r="E156" s="529">
        <f t="shared" si="29"/>
        <v>500</v>
      </c>
      <c r="F156" s="472">
        <f t="shared" si="30"/>
        <v>500</v>
      </c>
      <c r="G156" s="472">
        <f t="shared" si="31"/>
        <v>500</v>
      </c>
      <c r="H156" s="478">
        <v>500</v>
      </c>
      <c r="I156" s="472">
        <f t="shared" si="32"/>
        <v>0</v>
      </c>
      <c r="J156" s="478"/>
      <c r="K156" s="478"/>
      <c r="L156" s="478"/>
      <c r="M156" s="478"/>
      <c r="N156" s="478"/>
      <c r="O156" s="478"/>
      <c r="P156" s="478"/>
      <c r="Q156" s="478"/>
      <c r="R156" s="478"/>
      <c r="S156" s="472">
        <f t="shared" si="33"/>
        <v>0</v>
      </c>
      <c r="T156" s="478"/>
      <c r="U156" s="478"/>
      <c r="V156" s="478"/>
    </row>
    <row r="157" spans="1:22" s="468" customFormat="1" ht="45">
      <c r="A157" s="611"/>
      <c r="B157" s="611"/>
      <c r="C157" s="630">
        <v>4700</v>
      </c>
      <c r="D157" s="477" t="s">
        <v>708</v>
      </c>
      <c r="E157" s="529">
        <f t="shared" si="29"/>
        <v>25000</v>
      </c>
      <c r="F157" s="472">
        <f t="shared" si="30"/>
        <v>25000</v>
      </c>
      <c r="G157" s="472">
        <f t="shared" si="31"/>
        <v>25000</v>
      </c>
      <c r="H157" s="478">
        <v>25000</v>
      </c>
      <c r="I157" s="472">
        <f t="shared" si="32"/>
        <v>0</v>
      </c>
      <c r="J157" s="478"/>
      <c r="K157" s="478"/>
      <c r="L157" s="478"/>
      <c r="M157" s="478"/>
      <c r="N157" s="478"/>
      <c r="O157" s="478"/>
      <c r="P157" s="478"/>
      <c r="Q157" s="478"/>
      <c r="R157" s="478"/>
      <c r="S157" s="472">
        <f t="shared" si="33"/>
        <v>0</v>
      </c>
      <c r="T157" s="478"/>
      <c r="U157" s="478"/>
      <c r="V157" s="478"/>
    </row>
    <row r="158" spans="1:22" s="468" customFormat="1" ht="60">
      <c r="A158" s="611"/>
      <c r="B158" s="611"/>
      <c r="C158" s="630">
        <v>4740</v>
      </c>
      <c r="D158" s="477" t="s">
        <v>521</v>
      </c>
      <c r="E158" s="529">
        <f t="shared" si="29"/>
        <v>16000</v>
      </c>
      <c r="F158" s="472">
        <f t="shared" si="30"/>
        <v>16000</v>
      </c>
      <c r="G158" s="472">
        <f t="shared" si="31"/>
        <v>16000</v>
      </c>
      <c r="H158" s="478">
        <v>16000</v>
      </c>
      <c r="I158" s="472">
        <f t="shared" si="32"/>
        <v>0</v>
      </c>
      <c r="J158" s="478"/>
      <c r="K158" s="478"/>
      <c r="L158" s="478"/>
      <c r="M158" s="478"/>
      <c r="N158" s="478"/>
      <c r="O158" s="478"/>
      <c r="P158" s="478"/>
      <c r="Q158" s="478"/>
      <c r="R158" s="478"/>
      <c r="S158" s="472">
        <f t="shared" si="33"/>
        <v>0</v>
      </c>
      <c r="T158" s="478"/>
      <c r="U158" s="478"/>
      <c r="V158" s="478"/>
    </row>
    <row r="159" spans="1:22" s="468" customFormat="1" ht="45" customHeight="1">
      <c r="A159" s="611"/>
      <c r="B159" s="611"/>
      <c r="C159" s="630">
        <v>4750</v>
      </c>
      <c r="D159" s="477" t="s">
        <v>522</v>
      </c>
      <c r="E159" s="529">
        <f t="shared" si="29"/>
        <v>86000</v>
      </c>
      <c r="F159" s="472">
        <f t="shared" si="30"/>
        <v>86000</v>
      </c>
      <c r="G159" s="472">
        <f t="shared" si="31"/>
        <v>86000</v>
      </c>
      <c r="H159" s="478">
        <v>86000</v>
      </c>
      <c r="I159" s="472">
        <f t="shared" si="32"/>
        <v>0</v>
      </c>
      <c r="J159" s="478"/>
      <c r="K159" s="478"/>
      <c r="L159" s="478"/>
      <c r="M159" s="478"/>
      <c r="N159" s="478"/>
      <c r="O159" s="478"/>
      <c r="P159" s="478"/>
      <c r="Q159" s="478"/>
      <c r="R159" s="478"/>
      <c r="S159" s="472">
        <f t="shared" si="33"/>
        <v>0</v>
      </c>
      <c r="T159" s="478"/>
      <c r="U159" s="478"/>
      <c r="V159" s="478"/>
    </row>
    <row r="160" spans="1:22" s="468" customFormat="1" ht="30">
      <c r="A160" s="611"/>
      <c r="B160" s="611"/>
      <c r="C160" s="630">
        <v>6050</v>
      </c>
      <c r="D160" s="480" t="s">
        <v>542</v>
      </c>
      <c r="E160" s="529">
        <f t="shared" si="29"/>
        <v>145500</v>
      </c>
      <c r="F160" s="472">
        <f t="shared" si="30"/>
        <v>0</v>
      </c>
      <c r="G160" s="472">
        <f t="shared" si="31"/>
        <v>0</v>
      </c>
      <c r="H160" s="478"/>
      <c r="I160" s="472">
        <f t="shared" si="32"/>
        <v>0</v>
      </c>
      <c r="J160" s="478"/>
      <c r="K160" s="478"/>
      <c r="L160" s="478"/>
      <c r="M160" s="478"/>
      <c r="N160" s="478"/>
      <c r="O160" s="478"/>
      <c r="P160" s="478"/>
      <c r="Q160" s="478"/>
      <c r="R160" s="478"/>
      <c r="S160" s="472">
        <f t="shared" si="33"/>
        <v>145500</v>
      </c>
      <c r="T160" s="478">
        <v>145500</v>
      </c>
      <c r="U160" s="478"/>
      <c r="V160" s="478"/>
    </row>
    <row r="161" spans="1:22" s="468" customFormat="1" ht="45">
      <c r="A161" s="611"/>
      <c r="B161" s="611"/>
      <c r="C161" s="630">
        <v>6060</v>
      </c>
      <c r="D161" s="480" t="s">
        <v>710</v>
      </c>
      <c r="E161" s="529">
        <f t="shared" si="29"/>
        <v>51000</v>
      </c>
      <c r="F161" s="472">
        <f t="shared" si="30"/>
        <v>0</v>
      </c>
      <c r="G161" s="472">
        <f t="shared" si="31"/>
        <v>0</v>
      </c>
      <c r="H161" s="478"/>
      <c r="I161" s="472">
        <f t="shared" si="32"/>
        <v>0</v>
      </c>
      <c r="J161" s="478"/>
      <c r="K161" s="478"/>
      <c r="L161" s="478"/>
      <c r="M161" s="478"/>
      <c r="N161" s="478"/>
      <c r="O161" s="478"/>
      <c r="P161" s="478"/>
      <c r="Q161" s="478"/>
      <c r="R161" s="478"/>
      <c r="S161" s="472">
        <f t="shared" si="33"/>
        <v>51000</v>
      </c>
      <c r="T161" s="478">
        <v>51000</v>
      </c>
      <c r="U161" s="478"/>
      <c r="V161" s="478"/>
    </row>
    <row r="162" spans="1:22" s="476" customFormat="1" ht="31.5">
      <c r="A162" s="612"/>
      <c r="B162" s="612">
        <v>75045</v>
      </c>
      <c r="C162" s="629"/>
      <c r="D162" s="271" t="s">
        <v>510</v>
      </c>
      <c r="E162" s="529">
        <f t="shared" si="29"/>
        <v>66100</v>
      </c>
      <c r="F162" s="472">
        <f t="shared" si="30"/>
        <v>66100</v>
      </c>
      <c r="G162" s="472">
        <f t="shared" si="31"/>
        <v>55030</v>
      </c>
      <c r="H162" s="475">
        <f>SUM(H163:H176)</f>
        <v>47530</v>
      </c>
      <c r="I162" s="472">
        <f t="shared" si="32"/>
        <v>7500</v>
      </c>
      <c r="J162" s="475">
        <f>SUM(J163:J176)</f>
        <v>0</v>
      </c>
      <c r="K162" s="475">
        <f aca="true" t="shared" si="34" ref="K162:R162">SUM(K163:K176)</f>
        <v>0</v>
      </c>
      <c r="L162" s="475">
        <f t="shared" si="34"/>
        <v>900</v>
      </c>
      <c r="M162" s="475">
        <f t="shared" si="34"/>
        <v>6600</v>
      </c>
      <c r="N162" s="475">
        <f t="shared" si="34"/>
        <v>11070</v>
      </c>
      <c r="O162" s="475">
        <f t="shared" si="34"/>
        <v>0</v>
      </c>
      <c r="P162" s="475">
        <f>SUM(P163:P176)</f>
        <v>0</v>
      </c>
      <c r="Q162" s="475">
        <f t="shared" si="34"/>
        <v>0</v>
      </c>
      <c r="R162" s="475">
        <f t="shared" si="34"/>
        <v>0</v>
      </c>
      <c r="S162" s="472">
        <f t="shared" si="33"/>
        <v>0</v>
      </c>
      <c r="T162" s="475">
        <f>SUM(T163:T176)</f>
        <v>0</v>
      </c>
      <c r="U162" s="475">
        <f>SUM(U163:U176)</f>
        <v>0</v>
      </c>
      <c r="V162" s="475">
        <f>SUM(V163:V176)</f>
        <v>0</v>
      </c>
    </row>
    <row r="163" spans="1:22" s="468" customFormat="1" ht="30">
      <c r="A163" s="611"/>
      <c r="B163" s="611"/>
      <c r="C163" s="630">
        <v>3030</v>
      </c>
      <c r="D163" s="477" t="s">
        <v>528</v>
      </c>
      <c r="E163" s="529">
        <f t="shared" si="29"/>
        <v>11070</v>
      </c>
      <c r="F163" s="472">
        <f t="shared" si="30"/>
        <v>11070</v>
      </c>
      <c r="G163" s="472">
        <f t="shared" si="31"/>
        <v>0</v>
      </c>
      <c r="H163" s="478"/>
      <c r="I163" s="472">
        <f t="shared" si="32"/>
        <v>0</v>
      </c>
      <c r="J163" s="478"/>
      <c r="K163" s="478"/>
      <c r="L163" s="478"/>
      <c r="M163" s="478"/>
      <c r="N163" s="478">
        <v>11070</v>
      </c>
      <c r="O163" s="478"/>
      <c r="P163" s="478"/>
      <c r="Q163" s="478"/>
      <c r="R163" s="478"/>
      <c r="S163" s="472">
        <f t="shared" si="33"/>
        <v>0</v>
      </c>
      <c r="T163" s="478"/>
      <c r="U163" s="478"/>
      <c r="V163" s="478"/>
    </row>
    <row r="164" spans="1:22" s="468" customFormat="1" ht="45">
      <c r="A164" s="611"/>
      <c r="B164" s="611"/>
      <c r="C164" s="630">
        <v>4110</v>
      </c>
      <c r="D164" s="477" t="s">
        <v>419</v>
      </c>
      <c r="E164" s="529">
        <f t="shared" si="29"/>
        <v>800</v>
      </c>
      <c r="F164" s="472">
        <f t="shared" si="30"/>
        <v>800</v>
      </c>
      <c r="G164" s="472">
        <f t="shared" si="31"/>
        <v>800</v>
      </c>
      <c r="H164" s="478"/>
      <c r="I164" s="472">
        <f t="shared" si="32"/>
        <v>800</v>
      </c>
      <c r="J164" s="478"/>
      <c r="K164" s="478"/>
      <c r="L164" s="478">
        <v>800</v>
      </c>
      <c r="M164" s="478"/>
      <c r="N164" s="478"/>
      <c r="O164" s="478"/>
      <c r="P164" s="478"/>
      <c r="Q164" s="478"/>
      <c r="R164" s="478"/>
      <c r="S164" s="472">
        <f t="shared" si="33"/>
        <v>0</v>
      </c>
      <c r="T164" s="478"/>
      <c r="U164" s="478"/>
      <c r="V164" s="478"/>
    </row>
    <row r="165" spans="1:22" s="468" customFormat="1" ht="36" customHeight="1">
      <c r="A165" s="611"/>
      <c r="B165" s="611"/>
      <c r="C165" s="630">
        <v>4170</v>
      </c>
      <c r="D165" s="477" t="s">
        <v>518</v>
      </c>
      <c r="E165" s="529">
        <f t="shared" si="29"/>
        <v>6600</v>
      </c>
      <c r="F165" s="472">
        <f t="shared" si="30"/>
        <v>6600</v>
      </c>
      <c r="G165" s="472">
        <f t="shared" si="31"/>
        <v>6600</v>
      </c>
      <c r="H165" s="478"/>
      <c r="I165" s="472">
        <f t="shared" si="32"/>
        <v>6600</v>
      </c>
      <c r="J165" s="478"/>
      <c r="K165" s="478"/>
      <c r="L165" s="478"/>
      <c r="M165" s="478">
        <v>6600</v>
      </c>
      <c r="N165" s="478"/>
      <c r="O165" s="478"/>
      <c r="P165" s="478"/>
      <c r="Q165" s="478"/>
      <c r="R165" s="478"/>
      <c r="S165" s="472">
        <f t="shared" si="33"/>
        <v>0</v>
      </c>
      <c r="T165" s="478"/>
      <c r="U165" s="478"/>
      <c r="V165" s="478"/>
    </row>
    <row r="166" spans="1:22" s="468" customFormat="1" ht="30">
      <c r="A166" s="611"/>
      <c r="B166" s="611"/>
      <c r="C166" s="630">
        <v>4120</v>
      </c>
      <c r="D166" s="477" t="s">
        <v>420</v>
      </c>
      <c r="E166" s="529">
        <f t="shared" si="29"/>
        <v>100</v>
      </c>
      <c r="F166" s="472">
        <f t="shared" si="30"/>
        <v>100</v>
      </c>
      <c r="G166" s="472">
        <f t="shared" si="31"/>
        <v>100</v>
      </c>
      <c r="H166" s="478"/>
      <c r="I166" s="472">
        <f t="shared" si="32"/>
        <v>100</v>
      </c>
      <c r="J166" s="478"/>
      <c r="K166" s="478"/>
      <c r="L166" s="478">
        <v>100</v>
      </c>
      <c r="M166" s="478"/>
      <c r="N166" s="478"/>
      <c r="O166" s="478"/>
      <c r="P166" s="478"/>
      <c r="Q166" s="478"/>
      <c r="R166" s="478"/>
      <c r="S166" s="472">
        <f t="shared" si="33"/>
        <v>0</v>
      </c>
      <c r="T166" s="478"/>
      <c r="U166" s="478"/>
      <c r="V166" s="478"/>
    </row>
    <row r="167" spans="1:22" s="468" customFormat="1" ht="30">
      <c r="A167" s="611"/>
      <c r="B167" s="611"/>
      <c r="C167" s="630">
        <v>4210</v>
      </c>
      <c r="D167" s="477" t="s">
        <v>422</v>
      </c>
      <c r="E167" s="529">
        <f t="shared" si="29"/>
        <v>10533</v>
      </c>
      <c r="F167" s="472">
        <f t="shared" si="30"/>
        <v>10533</v>
      </c>
      <c r="G167" s="472">
        <f t="shared" si="31"/>
        <v>10533</v>
      </c>
      <c r="H167" s="478">
        <v>10533</v>
      </c>
      <c r="I167" s="472">
        <f t="shared" si="32"/>
        <v>0</v>
      </c>
      <c r="J167" s="478"/>
      <c r="K167" s="478"/>
      <c r="L167" s="478"/>
      <c r="M167" s="478"/>
      <c r="N167" s="478"/>
      <c r="O167" s="478"/>
      <c r="P167" s="478"/>
      <c r="Q167" s="478"/>
      <c r="R167" s="478"/>
      <c r="S167" s="472">
        <f t="shared" si="33"/>
        <v>0</v>
      </c>
      <c r="T167" s="478"/>
      <c r="U167" s="478"/>
      <c r="V167" s="478"/>
    </row>
    <row r="168" spans="1:22" s="468" customFormat="1" ht="45">
      <c r="A168" s="611"/>
      <c r="B168" s="611"/>
      <c r="C168" s="630">
        <v>4230</v>
      </c>
      <c r="D168" s="477" t="s">
        <v>23</v>
      </c>
      <c r="E168" s="529">
        <f t="shared" si="29"/>
        <v>234</v>
      </c>
      <c r="F168" s="472">
        <f t="shared" si="30"/>
        <v>234</v>
      </c>
      <c r="G168" s="472">
        <f t="shared" si="31"/>
        <v>234</v>
      </c>
      <c r="H168" s="478">
        <v>234</v>
      </c>
      <c r="I168" s="472">
        <f t="shared" si="32"/>
        <v>0</v>
      </c>
      <c r="J168" s="478"/>
      <c r="K168" s="478"/>
      <c r="L168" s="478"/>
      <c r="M168" s="478"/>
      <c r="N168" s="478"/>
      <c r="O168" s="478"/>
      <c r="P168" s="478"/>
      <c r="Q168" s="478"/>
      <c r="R168" s="478"/>
      <c r="S168" s="472">
        <f t="shared" si="33"/>
        <v>0</v>
      </c>
      <c r="T168" s="478"/>
      <c r="U168" s="478"/>
      <c r="V168" s="478"/>
    </row>
    <row r="169" spans="1:22" s="468" customFormat="1" ht="30">
      <c r="A169" s="611"/>
      <c r="B169" s="611"/>
      <c r="C169" s="630">
        <v>4270</v>
      </c>
      <c r="D169" s="477" t="s">
        <v>424</v>
      </c>
      <c r="E169" s="529">
        <f t="shared" si="29"/>
        <v>300</v>
      </c>
      <c r="F169" s="472">
        <f t="shared" si="30"/>
        <v>300</v>
      </c>
      <c r="G169" s="472">
        <f t="shared" si="31"/>
        <v>300</v>
      </c>
      <c r="H169" s="478">
        <v>300</v>
      </c>
      <c r="I169" s="472">
        <f t="shared" si="32"/>
        <v>0</v>
      </c>
      <c r="J169" s="478"/>
      <c r="K169" s="478"/>
      <c r="L169" s="478"/>
      <c r="M169" s="478"/>
      <c r="N169" s="478"/>
      <c r="O169" s="478"/>
      <c r="P169" s="478"/>
      <c r="Q169" s="478"/>
      <c r="R169" s="478"/>
      <c r="S169" s="472">
        <f t="shared" si="33"/>
        <v>0</v>
      </c>
      <c r="T169" s="478"/>
      <c r="U169" s="478"/>
      <c r="V169" s="478"/>
    </row>
    <row r="170" spans="1:22" s="468" customFormat="1" ht="37.5" customHeight="1">
      <c r="A170" s="611"/>
      <c r="B170" s="611"/>
      <c r="C170" s="630">
        <v>4280</v>
      </c>
      <c r="D170" s="477" t="s">
        <v>519</v>
      </c>
      <c r="E170" s="529">
        <f t="shared" si="29"/>
        <v>28600</v>
      </c>
      <c r="F170" s="472">
        <f t="shared" si="30"/>
        <v>28600</v>
      </c>
      <c r="G170" s="472">
        <f t="shared" si="31"/>
        <v>28600</v>
      </c>
      <c r="H170" s="478">
        <v>28600</v>
      </c>
      <c r="I170" s="472">
        <f t="shared" si="32"/>
        <v>0</v>
      </c>
      <c r="J170" s="478"/>
      <c r="K170" s="478"/>
      <c r="L170" s="478"/>
      <c r="M170" s="478"/>
      <c r="N170" s="478"/>
      <c r="O170" s="478"/>
      <c r="P170" s="478"/>
      <c r="Q170" s="478"/>
      <c r="R170" s="478"/>
      <c r="S170" s="472">
        <f t="shared" si="33"/>
        <v>0</v>
      </c>
      <c r="T170" s="478"/>
      <c r="U170" s="478"/>
      <c r="V170" s="478"/>
    </row>
    <row r="171" spans="1:22" s="468" customFormat="1" ht="61.5" customHeight="1">
      <c r="A171" s="611"/>
      <c r="B171" s="611"/>
      <c r="C171" s="630">
        <v>4400</v>
      </c>
      <c r="D171" s="477" t="s">
        <v>25</v>
      </c>
      <c r="E171" s="529">
        <f t="shared" si="29"/>
        <v>5010</v>
      </c>
      <c r="F171" s="472">
        <f t="shared" si="30"/>
        <v>5010</v>
      </c>
      <c r="G171" s="472">
        <f t="shared" si="31"/>
        <v>5010</v>
      </c>
      <c r="H171" s="478">
        <v>5010</v>
      </c>
      <c r="I171" s="472">
        <f t="shared" si="32"/>
        <v>0</v>
      </c>
      <c r="J171" s="478"/>
      <c r="K171" s="478"/>
      <c r="L171" s="478"/>
      <c r="M171" s="478"/>
      <c r="N171" s="478"/>
      <c r="O171" s="478"/>
      <c r="P171" s="478"/>
      <c r="Q171" s="478"/>
      <c r="R171" s="478"/>
      <c r="S171" s="472">
        <f t="shared" si="33"/>
        <v>0</v>
      </c>
      <c r="T171" s="478"/>
      <c r="U171" s="478"/>
      <c r="V171" s="478"/>
    </row>
    <row r="172" spans="1:22" s="468" customFormat="1" ht="30">
      <c r="A172" s="611"/>
      <c r="B172" s="611"/>
      <c r="C172" s="630">
        <v>4300</v>
      </c>
      <c r="D172" s="477" t="s">
        <v>405</v>
      </c>
      <c r="E172" s="529">
        <f t="shared" si="29"/>
        <v>762</v>
      </c>
      <c r="F172" s="472">
        <f t="shared" si="30"/>
        <v>762</v>
      </c>
      <c r="G172" s="472">
        <f t="shared" si="31"/>
        <v>762</v>
      </c>
      <c r="H172" s="478">
        <v>762</v>
      </c>
      <c r="I172" s="472">
        <f t="shared" si="32"/>
        <v>0</v>
      </c>
      <c r="J172" s="478"/>
      <c r="K172" s="478"/>
      <c r="L172" s="478"/>
      <c r="M172" s="478"/>
      <c r="N172" s="478"/>
      <c r="O172" s="478"/>
      <c r="P172" s="478"/>
      <c r="Q172" s="478"/>
      <c r="R172" s="478"/>
      <c r="S172" s="472">
        <f t="shared" si="33"/>
        <v>0</v>
      </c>
      <c r="T172" s="478"/>
      <c r="U172" s="478"/>
      <c r="V172" s="478"/>
    </row>
    <row r="173" spans="1:22" s="468" customFormat="1" ht="45">
      <c r="A173" s="611"/>
      <c r="B173" s="611"/>
      <c r="C173" s="630">
        <v>4370</v>
      </c>
      <c r="D173" s="477" t="s">
        <v>711</v>
      </c>
      <c r="E173" s="529">
        <f t="shared" si="29"/>
        <v>300</v>
      </c>
      <c r="F173" s="472">
        <f t="shared" si="30"/>
        <v>300</v>
      </c>
      <c r="G173" s="472">
        <f t="shared" si="31"/>
        <v>300</v>
      </c>
      <c r="H173" s="478">
        <v>300</v>
      </c>
      <c r="I173" s="472">
        <f t="shared" si="32"/>
        <v>0</v>
      </c>
      <c r="J173" s="478"/>
      <c r="K173" s="478"/>
      <c r="L173" s="478"/>
      <c r="M173" s="478"/>
      <c r="N173" s="478"/>
      <c r="O173" s="478"/>
      <c r="P173" s="478"/>
      <c r="Q173" s="478"/>
      <c r="R173" s="478"/>
      <c r="S173" s="472">
        <f t="shared" si="33"/>
        <v>0</v>
      </c>
      <c r="T173" s="478"/>
      <c r="U173" s="478"/>
      <c r="V173" s="478"/>
    </row>
    <row r="174" spans="1:22" s="468" customFormat="1" ht="30" customHeight="1">
      <c r="A174" s="611"/>
      <c r="B174" s="611"/>
      <c r="C174" s="630">
        <v>4410</v>
      </c>
      <c r="D174" s="477" t="s">
        <v>430</v>
      </c>
      <c r="E174" s="529">
        <f t="shared" si="29"/>
        <v>510</v>
      </c>
      <c r="F174" s="472">
        <f t="shared" si="30"/>
        <v>510</v>
      </c>
      <c r="G174" s="472">
        <f t="shared" si="31"/>
        <v>510</v>
      </c>
      <c r="H174" s="478">
        <v>510</v>
      </c>
      <c r="I174" s="472">
        <f t="shared" si="32"/>
        <v>0</v>
      </c>
      <c r="J174" s="478"/>
      <c r="K174" s="478"/>
      <c r="L174" s="478"/>
      <c r="M174" s="478"/>
      <c r="N174" s="478"/>
      <c r="O174" s="478"/>
      <c r="P174" s="478"/>
      <c r="Q174" s="478"/>
      <c r="R174" s="478"/>
      <c r="S174" s="472">
        <f t="shared" si="33"/>
        <v>0</v>
      </c>
      <c r="T174" s="478"/>
      <c r="U174" s="478"/>
      <c r="V174" s="478"/>
    </row>
    <row r="175" spans="1:22" s="468" customFormat="1" ht="45" customHeight="1">
      <c r="A175" s="611"/>
      <c r="B175" s="611"/>
      <c r="C175" s="630">
        <v>4740</v>
      </c>
      <c r="D175" s="477" t="s">
        <v>521</v>
      </c>
      <c r="E175" s="529">
        <f t="shared" si="29"/>
        <v>500</v>
      </c>
      <c r="F175" s="472">
        <f t="shared" si="30"/>
        <v>500</v>
      </c>
      <c r="G175" s="472">
        <f t="shared" si="31"/>
        <v>500</v>
      </c>
      <c r="H175" s="478">
        <v>500</v>
      </c>
      <c r="I175" s="472">
        <f t="shared" si="32"/>
        <v>0</v>
      </c>
      <c r="J175" s="478"/>
      <c r="K175" s="478"/>
      <c r="L175" s="478"/>
      <c r="M175" s="478"/>
      <c r="N175" s="478"/>
      <c r="O175" s="478"/>
      <c r="P175" s="478"/>
      <c r="Q175" s="478"/>
      <c r="R175" s="478"/>
      <c r="S175" s="472">
        <f t="shared" si="33"/>
        <v>0</v>
      </c>
      <c r="T175" s="478"/>
      <c r="U175" s="478"/>
      <c r="V175" s="478"/>
    </row>
    <row r="176" spans="1:22" s="468" customFormat="1" ht="60" customHeight="1">
      <c r="A176" s="611"/>
      <c r="B176" s="611"/>
      <c r="C176" s="630">
        <v>4750</v>
      </c>
      <c r="D176" s="477" t="s">
        <v>522</v>
      </c>
      <c r="E176" s="529">
        <f t="shared" si="29"/>
        <v>781</v>
      </c>
      <c r="F176" s="472">
        <f t="shared" si="30"/>
        <v>781</v>
      </c>
      <c r="G176" s="472">
        <f t="shared" si="31"/>
        <v>781</v>
      </c>
      <c r="H176" s="478">
        <v>781</v>
      </c>
      <c r="I176" s="472">
        <f t="shared" si="32"/>
        <v>0</v>
      </c>
      <c r="J176" s="630"/>
      <c r="K176" s="477"/>
      <c r="L176" s="478"/>
      <c r="M176" s="478"/>
      <c r="N176" s="478"/>
      <c r="O176" s="478"/>
      <c r="P176" s="478"/>
      <c r="Q176" s="478"/>
      <c r="R176" s="478"/>
      <c r="S176" s="472">
        <f t="shared" si="33"/>
        <v>0</v>
      </c>
      <c r="T176" s="478"/>
      <c r="U176" s="478"/>
      <c r="V176" s="478"/>
    </row>
    <row r="177" spans="1:22" s="476" customFormat="1" ht="47.25">
      <c r="A177" s="612"/>
      <c r="B177" s="612">
        <v>75075</v>
      </c>
      <c r="C177" s="629"/>
      <c r="D177" s="271" t="s">
        <v>543</v>
      </c>
      <c r="E177" s="529">
        <f t="shared" si="29"/>
        <v>58000</v>
      </c>
      <c r="F177" s="472">
        <f t="shared" si="30"/>
        <v>58000</v>
      </c>
      <c r="G177" s="472">
        <f t="shared" si="31"/>
        <v>58000</v>
      </c>
      <c r="H177" s="475">
        <f>SUM(H178:H179)</f>
        <v>58000</v>
      </c>
      <c r="I177" s="472">
        <f t="shared" si="32"/>
        <v>0</v>
      </c>
      <c r="J177" s="475">
        <f aca="true" t="shared" si="35" ref="J177:R177">SUM(J178:J179)</f>
        <v>0</v>
      </c>
      <c r="K177" s="475">
        <f t="shared" si="35"/>
        <v>0</v>
      </c>
      <c r="L177" s="475">
        <f t="shared" si="35"/>
        <v>0</v>
      </c>
      <c r="M177" s="475">
        <f t="shared" si="35"/>
        <v>0</v>
      </c>
      <c r="N177" s="475">
        <f t="shared" si="35"/>
        <v>0</v>
      </c>
      <c r="O177" s="475">
        <f t="shared" si="35"/>
        <v>0</v>
      </c>
      <c r="P177" s="475">
        <f>SUM(P178:P179)</f>
        <v>0</v>
      </c>
      <c r="Q177" s="475">
        <f t="shared" si="35"/>
        <v>0</v>
      </c>
      <c r="R177" s="475">
        <f t="shared" si="35"/>
        <v>0</v>
      </c>
      <c r="S177" s="472">
        <f t="shared" si="33"/>
        <v>0</v>
      </c>
      <c r="T177" s="475">
        <f>SUM(T178:T179)</f>
        <v>0</v>
      </c>
      <c r="U177" s="475">
        <f>SUM(U178:U179)</f>
        <v>0</v>
      </c>
      <c r="V177" s="475">
        <f>SUM(V178:V179)</f>
        <v>0</v>
      </c>
    </row>
    <row r="178" spans="1:22" s="468" customFormat="1" ht="30">
      <c r="A178" s="611"/>
      <c r="B178" s="611"/>
      <c r="C178" s="630">
        <v>4210</v>
      </c>
      <c r="D178" s="477" t="s">
        <v>422</v>
      </c>
      <c r="E178" s="529">
        <f t="shared" si="29"/>
        <v>9000</v>
      </c>
      <c r="F178" s="472">
        <f t="shared" si="30"/>
        <v>9000</v>
      </c>
      <c r="G178" s="472">
        <f t="shared" si="31"/>
        <v>9000</v>
      </c>
      <c r="H178" s="478">
        <v>9000</v>
      </c>
      <c r="I178" s="472">
        <f t="shared" si="32"/>
        <v>0</v>
      </c>
      <c r="J178" s="478"/>
      <c r="K178" s="478"/>
      <c r="L178" s="478"/>
      <c r="M178" s="478"/>
      <c r="N178" s="478"/>
      <c r="O178" s="478"/>
      <c r="P178" s="478"/>
      <c r="Q178" s="478"/>
      <c r="R178" s="478"/>
      <c r="S178" s="472">
        <f t="shared" si="33"/>
        <v>0</v>
      </c>
      <c r="T178" s="478"/>
      <c r="U178" s="478"/>
      <c r="V178" s="478"/>
    </row>
    <row r="179" spans="1:22" s="468" customFormat="1" ht="30">
      <c r="A179" s="611"/>
      <c r="B179" s="611"/>
      <c r="C179" s="630">
        <v>4300</v>
      </c>
      <c r="D179" s="477" t="s">
        <v>405</v>
      </c>
      <c r="E179" s="529">
        <f t="shared" si="29"/>
        <v>49000</v>
      </c>
      <c r="F179" s="472">
        <f t="shared" si="30"/>
        <v>49000</v>
      </c>
      <c r="G179" s="472">
        <f t="shared" si="31"/>
        <v>49000</v>
      </c>
      <c r="H179" s="478">
        <v>49000</v>
      </c>
      <c r="I179" s="472">
        <f t="shared" si="32"/>
        <v>0</v>
      </c>
      <c r="J179" s="478"/>
      <c r="K179" s="478"/>
      <c r="L179" s="478"/>
      <c r="M179" s="478"/>
      <c r="N179" s="478"/>
      <c r="O179" s="478"/>
      <c r="P179" s="478"/>
      <c r="Q179" s="478"/>
      <c r="R179" s="478"/>
      <c r="S179" s="472">
        <f t="shared" si="33"/>
        <v>0</v>
      </c>
      <c r="T179" s="478"/>
      <c r="U179" s="478"/>
      <c r="V179" s="478"/>
    </row>
    <row r="180" spans="1:22" s="473" customFormat="1" ht="15.75">
      <c r="A180" s="611">
        <v>752</v>
      </c>
      <c r="B180" s="611"/>
      <c r="C180" s="628"/>
      <c r="D180" s="319" t="s">
        <v>776</v>
      </c>
      <c r="E180" s="529">
        <f t="shared" si="29"/>
        <v>3000</v>
      </c>
      <c r="F180" s="472">
        <f t="shared" si="30"/>
        <v>3000</v>
      </c>
      <c r="G180" s="472">
        <f t="shared" si="31"/>
        <v>3000</v>
      </c>
      <c r="H180" s="472">
        <f aca="true" t="shared" si="36" ref="H180:V180">SUM(H181)</f>
        <v>3000</v>
      </c>
      <c r="I180" s="472">
        <f t="shared" si="32"/>
        <v>0</v>
      </c>
      <c r="J180" s="472">
        <f>SUM(J181)</f>
        <v>0</v>
      </c>
      <c r="K180" s="472">
        <f t="shared" si="36"/>
        <v>0</v>
      </c>
      <c r="L180" s="472">
        <f t="shared" si="36"/>
        <v>0</v>
      </c>
      <c r="M180" s="472">
        <f t="shared" si="36"/>
        <v>0</v>
      </c>
      <c r="N180" s="472">
        <f t="shared" si="36"/>
        <v>0</v>
      </c>
      <c r="O180" s="472">
        <f t="shared" si="36"/>
        <v>0</v>
      </c>
      <c r="P180" s="472">
        <f t="shared" si="36"/>
        <v>0</v>
      </c>
      <c r="Q180" s="472">
        <f t="shared" si="36"/>
        <v>0</v>
      </c>
      <c r="R180" s="472">
        <f t="shared" si="36"/>
        <v>0</v>
      </c>
      <c r="S180" s="472">
        <f t="shared" si="33"/>
        <v>0</v>
      </c>
      <c r="T180" s="472">
        <f t="shared" si="36"/>
        <v>0</v>
      </c>
      <c r="U180" s="472">
        <f t="shared" si="36"/>
        <v>0</v>
      </c>
      <c r="V180" s="472">
        <f t="shared" si="36"/>
        <v>0</v>
      </c>
    </row>
    <row r="181" spans="1:22" s="476" customFormat="1" ht="31.5">
      <c r="A181" s="611"/>
      <c r="B181" s="612">
        <v>75212</v>
      </c>
      <c r="C181" s="629"/>
      <c r="D181" s="271" t="s">
        <v>772</v>
      </c>
      <c r="E181" s="529">
        <f t="shared" si="29"/>
        <v>3000</v>
      </c>
      <c r="F181" s="472">
        <f t="shared" si="30"/>
        <v>3000</v>
      </c>
      <c r="G181" s="472">
        <f t="shared" si="31"/>
        <v>3000</v>
      </c>
      <c r="H181" s="475">
        <f aca="true" t="shared" si="37" ref="H181:V181">SUM(H182:H182)</f>
        <v>3000</v>
      </c>
      <c r="I181" s="472">
        <f t="shared" si="32"/>
        <v>0</v>
      </c>
      <c r="J181" s="475">
        <f t="shared" si="37"/>
        <v>0</v>
      </c>
      <c r="K181" s="475">
        <f t="shared" si="37"/>
        <v>0</v>
      </c>
      <c r="L181" s="475">
        <f t="shared" si="37"/>
        <v>0</v>
      </c>
      <c r="M181" s="475">
        <f t="shared" si="37"/>
        <v>0</v>
      </c>
      <c r="N181" s="475">
        <f t="shared" si="37"/>
        <v>0</v>
      </c>
      <c r="O181" s="475">
        <f t="shared" si="37"/>
        <v>0</v>
      </c>
      <c r="P181" s="475">
        <f t="shared" si="37"/>
        <v>0</v>
      </c>
      <c r="Q181" s="475">
        <f t="shared" si="37"/>
        <v>0</v>
      </c>
      <c r="R181" s="475">
        <f t="shared" si="37"/>
        <v>0</v>
      </c>
      <c r="S181" s="472">
        <f t="shared" si="33"/>
        <v>0</v>
      </c>
      <c r="T181" s="475">
        <f t="shared" si="37"/>
        <v>0</v>
      </c>
      <c r="U181" s="475">
        <f t="shared" si="37"/>
        <v>0</v>
      </c>
      <c r="V181" s="475">
        <f t="shared" si="37"/>
        <v>0</v>
      </c>
    </row>
    <row r="182" spans="1:22" s="468" customFormat="1" ht="49.5" customHeight="1">
      <c r="A182" s="611"/>
      <c r="B182" s="611"/>
      <c r="C182" s="630">
        <v>4700</v>
      </c>
      <c r="D182" s="477" t="s">
        <v>708</v>
      </c>
      <c r="E182" s="529">
        <f t="shared" si="29"/>
        <v>3000</v>
      </c>
      <c r="F182" s="472">
        <f t="shared" si="30"/>
        <v>3000</v>
      </c>
      <c r="G182" s="472">
        <f t="shared" si="31"/>
        <v>3000</v>
      </c>
      <c r="H182" s="478">
        <v>3000</v>
      </c>
      <c r="I182" s="472">
        <f t="shared" si="32"/>
        <v>0</v>
      </c>
      <c r="J182" s="478"/>
      <c r="K182" s="478"/>
      <c r="L182" s="478"/>
      <c r="M182" s="478"/>
      <c r="N182" s="478"/>
      <c r="O182" s="478"/>
      <c r="P182" s="478"/>
      <c r="Q182" s="478"/>
      <c r="R182" s="478"/>
      <c r="S182" s="472">
        <f t="shared" si="33"/>
        <v>0</v>
      </c>
      <c r="T182" s="478"/>
      <c r="U182" s="478"/>
      <c r="V182" s="478"/>
    </row>
    <row r="183" spans="1:22" s="468" customFormat="1" ht="49.5" customHeight="1" hidden="1">
      <c r="A183" s="611"/>
      <c r="B183" s="611"/>
      <c r="C183" s="630">
        <v>4170</v>
      </c>
      <c r="D183" s="477" t="s">
        <v>125</v>
      </c>
      <c r="E183" s="529">
        <f t="shared" si="29"/>
        <v>0</v>
      </c>
      <c r="F183" s="472">
        <f t="shared" si="30"/>
        <v>0</v>
      </c>
      <c r="G183" s="472">
        <f t="shared" si="31"/>
        <v>0</v>
      </c>
      <c r="H183" s="478"/>
      <c r="I183" s="472">
        <f t="shared" si="32"/>
        <v>0</v>
      </c>
      <c r="J183" s="478"/>
      <c r="K183" s="478"/>
      <c r="L183" s="478"/>
      <c r="M183" s="478"/>
      <c r="N183" s="478"/>
      <c r="O183" s="478"/>
      <c r="P183" s="478"/>
      <c r="Q183" s="478"/>
      <c r="R183" s="478"/>
      <c r="S183" s="472">
        <f t="shared" si="33"/>
        <v>0</v>
      </c>
      <c r="T183" s="478"/>
      <c r="U183" s="478"/>
      <c r="V183" s="478"/>
    </row>
    <row r="184" spans="1:22" s="468" customFormat="1" ht="49.5" customHeight="1" hidden="1">
      <c r="A184" s="611"/>
      <c r="B184" s="611"/>
      <c r="C184" s="630">
        <v>4400</v>
      </c>
      <c r="D184" s="477" t="s">
        <v>25</v>
      </c>
      <c r="E184" s="529">
        <f t="shared" si="29"/>
        <v>0</v>
      </c>
      <c r="F184" s="472">
        <f t="shared" si="30"/>
        <v>0</v>
      </c>
      <c r="G184" s="472">
        <f t="shared" si="31"/>
        <v>0</v>
      </c>
      <c r="H184" s="478"/>
      <c r="I184" s="472">
        <f t="shared" si="32"/>
        <v>0</v>
      </c>
      <c r="J184" s="478"/>
      <c r="K184" s="478"/>
      <c r="L184" s="478"/>
      <c r="M184" s="478"/>
      <c r="N184" s="478"/>
      <c r="O184" s="478"/>
      <c r="P184" s="478"/>
      <c r="Q184" s="478"/>
      <c r="R184" s="478"/>
      <c r="S184" s="472">
        <f t="shared" si="33"/>
        <v>0</v>
      </c>
      <c r="T184" s="478"/>
      <c r="U184" s="478"/>
      <c r="V184" s="478"/>
    </row>
    <row r="185" spans="1:22" s="468" customFormat="1" ht="49.5" customHeight="1" hidden="1">
      <c r="A185" s="611"/>
      <c r="B185" s="611"/>
      <c r="C185" s="630">
        <v>4300</v>
      </c>
      <c r="D185" s="477" t="s">
        <v>405</v>
      </c>
      <c r="E185" s="529">
        <f t="shared" si="29"/>
        <v>0</v>
      </c>
      <c r="F185" s="472">
        <f t="shared" si="30"/>
        <v>0</v>
      </c>
      <c r="G185" s="472">
        <f t="shared" si="31"/>
        <v>0</v>
      </c>
      <c r="H185" s="478"/>
      <c r="I185" s="472">
        <f t="shared" si="32"/>
        <v>0</v>
      </c>
      <c r="J185" s="478"/>
      <c r="K185" s="478"/>
      <c r="L185" s="478"/>
      <c r="M185" s="478"/>
      <c r="N185" s="478"/>
      <c r="O185" s="478"/>
      <c r="P185" s="478"/>
      <c r="Q185" s="478"/>
      <c r="R185" s="478"/>
      <c r="S185" s="472">
        <f t="shared" si="33"/>
        <v>0</v>
      </c>
      <c r="T185" s="478"/>
      <c r="U185" s="478"/>
      <c r="V185" s="478"/>
    </row>
    <row r="186" spans="1:22" s="473" customFormat="1" ht="63">
      <c r="A186" s="611">
        <v>754</v>
      </c>
      <c r="B186" s="611"/>
      <c r="C186" s="628"/>
      <c r="D186" s="320" t="s">
        <v>544</v>
      </c>
      <c r="E186" s="529">
        <f t="shared" si="29"/>
        <v>84600</v>
      </c>
      <c r="F186" s="472">
        <f t="shared" si="30"/>
        <v>84600</v>
      </c>
      <c r="G186" s="472">
        <f t="shared" si="31"/>
        <v>19000</v>
      </c>
      <c r="H186" s="472">
        <f>SUM(H187+H193+H191+H189)</f>
        <v>19000</v>
      </c>
      <c r="I186" s="472">
        <f t="shared" si="32"/>
        <v>0</v>
      </c>
      <c r="J186" s="472">
        <f>SUM(J187+J193+J191+J189)</f>
        <v>0</v>
      </c>
      <c r="K186" s="472">
        <f>SUM(K187+K193+K191+K189)</f>
        <v>0</v>
      </c>
      <c r="L186" s="472">
        <f aca="true" t="shared" si="38" ref="L186:R186">SUM(L187+L193+L191+L189)</f>
        <v>0</v>
      </c>
      <c r="M186" s="472">
        <f t="shared" si="38"/>
        <v>0</v>
      </c>
      <c r="N186" s="472">
        <f t="shared" si="38"/>
        <v>0</v>
      </c>
      <c r="O186" s="472">
        <f t="shared" si="38"/>
        <v>65600</v>
      </c>
      <c r="P186" s="472">
        <f>SUM(P187+P193+P191+P189)</f>
        <v>0</v>
      </c>
      <c r="Q186" s="472">
        <f t="shared" si="38"/>
        <v>0</v>
      </c>
      <c r="R186" s="472">
        <f t="shared" si="38"/>
        <v>0</v>
      </c>
      <c r="S186" s="472">
        <f t="shared" si="33"/>
        <v>0</v>
      </c>
      <c r="T186" s="472">
        <f>SUM(T187+T193+T191+T189)</f>
        <v>0</v>
      </c>
      <c r="U186" s="472">
        <f>SUM(U187+U193+U191+U189)</f>
        <v>0</v>
      </c>
      <c r="V186" s="472">
        <f>SUM(V187+V193+V191+V189)</f>
        <v>0</v>
      </c>
    </row>
    <row r="187" spans="1:22" s="476" customFormat="1" ht="31.5">
      <c r="A187" s="611"/>
      <c r="B187" s="612">
        <v>75404</v>
      </c>
      <c r="C187" s="629"/>
      <c r="D187" s="271" t="s">
        <v>545</v>
      </c>
      <c r="E187" s="529">
        <f t="shared" si="29"/>
        <v>12000</v>
      </c>
      <c r="F187" s="472">
        <f t="shared" si="30"/>
        <v>12000</v>
      </c>
      <c r="G187" s="472">
        <f t="shared" si="31"/>
        <v>12000</v>
      </c>
      <c r="H187" s="475">
        <f aca="true" t="shared" si="39" ref="H187:V189">SUM(H188:H188)</f>
        <v>12000</v>
      </c>
      <c r="I187" s="472">
        <f t="shared" si="32"/>
        <v>0</v>
      </c>
      <c r="J187" s="475">
        <f t="shared" si="39"/>
        <v>0</v>
      </c>
      <c r="K187" s="475">
        <f t="shared" si="39"/>
        <v>0</v>
      </c>
      <c r="L187" s="475">
        <f t="shared" si="39"/>
        <v>0</v>
      </c>
      <c r="M187" s="475">
        <f t="shared" si="39"/>
        <v>0</v>
      </c>
      <c r="N187" s="475">
        <f t="shared" si="39"/>
        <v>0</v>
      </c>
      <c r="O187" s="475">
        <f t="shared" si="39"/>
        <v>0</v>
      </c>
      <c r="P187" s="475">
        <f t="shared" si="39"/>
        <v>0</v>
      </c>
      <c r="Q187" s="475">
        <f t="shared" si="39"/>
        <v>0</v>
      </c>
      <c r="R187" s="475">
        <f t="shared" si="39"/>
        <v>0</v>
      </c>
      <c r="S187" s="472">
        <f t="shared" si="33"/>
        <v>0</v>
      </c>
      <c r="T187" s="475">
        <f t="shared" si="39"/>
        <v>0</v>
      </c>
      <c r="U187" s="475">
        <f t="shared" si="39"/>
        <v>0</v>
      </c>
      <c r="V187" s="475">
        <f t="shared" si="39"/>
        <v>0</v>
      </c>
    </row>
    <row r="188" spans="1:22" s="468" customFormat="1" ht="30">
      <c r="A188" s="611"/>
      <c r="B188" s="611"/>
      <c r="C188" s="630">
        <v>4210</v>
      </c>
      <c r="D188" s="477" t="s">
        <v>422</v>
      </c>
      <c r="E188" s="529">
        <f t="shared" si="29"/>
        <v>12000</v>
      </c>
      <c r="F188" s="472">
        <f t="shared" si="30"/>
        <v>12000</v>
      </c>
      <c r="G188" s="472">
        <f t="shared" si="31"/>
        <v>12000</v>
      </c>
      <c r="H188" s="478">
        <v>12000</v>
      </c>
      <c r="I188" s="472">
        <f t="shared" si="32"/>
        <v>0</v>
      </c>
      <c r="J188" s="478"/>
      <c r="K188" s="478"/>
      <c r="L188" s="478"/>
      <c r="M188" s="478"/>
      <c r="N188" s="478"/>
      <c r="O188" s="478"/>
      <c r="P188" s="478"/>
      <c r="Q188" s="478"/>
      <c r="R188" s="478"/>
      <c r="S188" s="472">
        <f t="shared" si="33"/>
        <v>0</v>
      </c>
      <c r="T188" s="478"/>
      <c r="U188" s="478"/>
      <c r="V188" s="478"/>
    </row>
    <row r="189" spans="1:22" s="476" customFormat="1" ht="31.5">
      <c r="A189" s="611"/>
      <c r="B189" s="612">
        <v>75405</v>
      </c>
      <c r="C189" s="629"/>
      <c r="D189" s="271" t="s">
        <v>821</v>
      </c>
      <c r="E189" s="529">
        <f t="shared" si="29"/>
        <v>2000</v>
      </c>
      <c r="F189" s="472">
        <f t="shared" si="30"/>
        <v>2000</v>
      </c>
      <c r="G189" s="472">
        <f t="shared" si="31"/>
        <v>2000</v>
      </c>
      <c r="H189" s="475">
        <f t="shared" si="39"/>
        <v>2000</v>
      </c>
      <c r="I189" s="472">
        <f t="shared" si="32"/>
        <v>0</v>
      </c>
      <c r="J189" s="475">
        <f t="shared" si="39"/>
        <v>0</v>
      </c>
      <c r="K189" s="475">
        <f t="shared" si="39"/>
        <v>0</v>
      </c>
      <c r="L189" s="475">
        <f t="shared" si="39"/>
        <v>0</v>
      </c>
      <c r="M189" s="475">
        <f t="shared" si="39"/>
        <v>0</v>
      </c>
      <c r="N189" s="475">
        <f t="shared" si="39"/>
        <v>0</v>
      </c>
      <c r="O189" s="475">
        <f t="shared" si="39"/>
        <v>0</v>
      </c>
      <c r="P189" s="475">
        <f t="shared" si="39"/>
        <v>0</v>
      </c>
      <c r="Q189" s="475">
        <f t="shared" si="39"/>
        <v>0</v>
      </c>
      <c r="R189" s="475">
        <f t="shared" si="39"/>
        <v>0</v>
      </c>
      <c r="S189" s="472">
        <f t="shared" si="33"/>
        <v>0</v>
      </c>
      <c r="T189" s="475">
        <f t="shared" si="39"/>
        <v>0</v>
      </c>
      <c r="U189" s="475">
        <f t="shared" si="39"/>
        <v>0</v>
      </c>
      <c r="V189" s="475">
        <f t="shared" si="39"/>
        <v>0</v>
      </c>
    </row>
    <row r="190" spans="1:22" s="468" customFormat="1" ht="30">
      <c r="A190" s="611"/>
      <c r="B190" s="611"/>
      <c r="C190" s="630">
        <v>4300</v>
      </c>
      <c r="D190" s="477" t="s">
        <v>822</v>
      </c>
      <c r="E190" s="529">
        <f t="shared" si="29"/>
        <v>2000</v>
      </c>
      <c r="F190" s="472">
        <f t="shared" si="30"/>
        <v>2000</v>
      </c>
      <c r="G190" s="472">
        <f t="shared" si="31"/>
        <v>2000</v>
      </c>
      <c r="H190" s="478">
        <v>2000</v>
      </c>
      <c r="I190" s="472">
        <f t="shared" si="32"/>
        <v>0</v>
      </c>
      <c r="J190" s="478"/>
      <c r="K190" s="478"/>
      <c r="L190" s="478"/>
      <c r="M190" s="478"/>
      <c r="N190" s="478"/>
      <c r="O190" s="478"/>
      <c r="P190" s="478"/>
      <c r="Q190" s="478"/>
      <c r="R190" s="478"/>
      <c r="S190" s="472">
        <f t="shared" si="33"/>
        <v>0</v>
      </c>
      <c r="T190" s="478"/>
      <c r="U190" s="478"/>
      <c r="V190" s="478"/>
    </row>
    <row r="191" spans="1:22" s="468" customFormat="1" ht="31.5">
      <c r="A191" s="611"/>
      <c r="B191" s="612">
        <v>75411</v>
      </c>
      <c r="C191" s="630"/>
      <c r="D191" s="271" t="s">
        <v>573</v>
      </c>
      <c r="E191" s="529">
        <f t="shared" si="29"/>
        <v>3000</v>
      </c>
      <c r="F191" s="472">
        <f t="shared" si="30"/>
        <v>3000</v>
      </c>
      <c r="G191" s="472">
        <f t="shared" si="31"/>
        <v>3000</v>
      </c>
      <c r="H191" s="475">
        <f aca="true" t="shared" si="40" ref="H191:V191">H192</f>
        <v>3000</v>
      </c>
      <c r="I191" s="472">
        <f t="shared" si="32"/>
        <v>0</v>
      </c>
      <c r="J191" s="475">
        <f t="shared" si="40"/>
        <v>0</v>
      </c>
      <c r="K191" s="475">
        <f t="shared" si="40"/>
        <v>0</v>
      </c>
      <c r="L191" s="475">
        <f t="shared" si="40"/>
        <v>0</v>
      </c>
      <c r="M191" s="475">
        <f t="shared" si="40"/>
        <v>0</v>
      </c>
      <c r="N191" s="475">
        <f t="shared" si="40"/>
        <v>0</v>
      </c>
      <c r="O191" s="475">
        <f t="shared" si="40"/>
        <v>0</v>
      </c>
      <c r="P191" s="475">
        <f t="shared" si="40"/>
        <v>0</v>
      </c>
      <c r="Q191" s="475">
        <f t="shared" si="40"/>
        <v>0</v>
      </c>
      <c r="R191" s="475">
        <f t="shared" si="40"/>
        <v>0</v>
      </c>
      <c r="S191" s="472">
        <f t="shared" si="33"/>
        <v>0</v>
      </c>
      <c r="T191" s="475">
        <f t="shared" si="40"/>
        <v>0</v>
      </c>
      <c r="U191" s="475">
        <f t="shared" si="40"/>
        <v>0</v>
      </c>
      <c r="V191" s="475">
        <f t="shared" si="40"/>
        <v>0</v>
      </c>
    </row>
    <row r="192" spans="1:22" s="468" customFormat="1" ht="30">
      <c r="A192" s="611"/>
      <c r="B192" s="611"/>
      <c r="C192" s="630">
        <v>4210</v>
      </c>
      <c r="D192" s="477" t="s">
        <v>422</v>
      </c>
      <c r="E192" s="529">
        <f t="shared" si="29"/>
        <v>3000</v>
      </c>
      <c r="F192" s="472">
        <f t="shared" si="30"/>
        <v>3000</v>
      </c>
      <c r="G192" s="472">
        <f t="shared" si="31"/>
        <v>3000</v>
      </c>
      <c r="H192" s="478">
        <v>3000</v>
      </c>
      <c r="I192" s="472">
        <f t="shared" si="32"/>
        <v>0</v>
      </c>
      <c r="J192" s="478"/>
      <c r="K192" s="478"/>
      <c r="L192" s="478"/>
      <c r="M192" s="478"/>
      <c r="N192" s="478"/>
      <c r="O192" s="478"/>
      <c r="P192" s="478"/>
      <c r="Q192" s="478"/>
      <c r="R192" s="478"/>
      <c r="S192" s="472">
        <f t="shared" si="33"/>
        <v>0</v>
      </c>
      <c r="T192" s="478"/>
      <c r="U192" s="478"/>
      <c r="V192" s="478"/>
    </row>
    <row r="193" spans="1:22" s="476" customFormat="1" ht="15.75">
      <c r="A193" s="611"/>
      <c r="B193" s="612">
        <v>75495</v>
      </c>
      <c r="C193" s="629"/>
      <c r="D193" s="271" t="s">
        <v>546</v>
      </c>
      <c r="E193" s="529">
        <f t="shared" si="29"/>
        <v>67600</v>
      </c>
      <c r="F193" s="472">
        <f t="shared" si="30"/>
        <v>67600</v>
      </c>
      <c r="G193" s="472">
        <f t="shared" si="31"/>
        <v>2000</v>
      </c>
      <c r="H193" s="475">
        <f>SUM(H194:H195)</f>
        <v>2000</v>
      </c>
      <c r="I193" s="472">
        <f t="shared" si="32"/>
        <v>0</v>
      </c>
      <c r="J193" s="475">
        <f>SUM(J194:J195)</f>
        <v>0</v>
      </c>
      <c r="K193" s="475">
        <f aca="true" t="shared" si="41" ref="K193:R193">SUM(K194:K195)</f>
        <v>0</v>
      </c>
      <c r="L193" s="475">
        <f t="shared" si="41"/>
        <v>0</v>
      </c>
      <c r="M193" s="475">
        <f t="shared" si="41"/>
        <v>0</v>
      </c>
      <c r="N193" s="475">
        <f t="shared" si="41"/>
        <v>0</v>
      </c>
      <c r="O193" s="475">
        <f t="shared" si="41"/>
        <v>65600</v>
      </c>
      <c r="P193" s="475">
        <f>SUM(P194:P195)</f>
        <v>0</v>
      </c>
      <c r="Q193" s="475">
        <f t="shared" si="41"/>
        <v>0</v>
      </c>
      <c r="R193" s="475">
        <f t="shared" si="41"/>
        <v>0</v>
      </c>
      <c r="S193" s="472">
        <f t="shared" si="33"/>
        <v>0</v>
      </c>
      <c r="T193" s="475">
        <f>SUM(T194:T195)</f>
        <v>0</v>
      </c>
      <c r="U193" s="475">
        <f>SUM(U194:U195)</f>
        <v>0</v>
      </c>
      <c r="V193" s="475">
        <f>SUM(V194:V195)</f>
        <v>0</v>
      </c>
    </row>
    <row r="194" spans="1:22" s="468" customFormat="1" ht="30">
      <c r="A194" s="611"/>
      <c r="B194" s="611"/>
      <c r="C194" s="630">
        <v>4210</v>
      </c>
      <c r="D194" s="477" t="s">
        <v>547</v>
      </c>
      <c r="E194" s="529">
        <f t="shared" si="29"/>
        <v>2000</v>
      </c>
      <c r="F194" s="472">
        <f t="shared" si="30"/>
        <v>2000</v>
      </c>
      <c r="G194" s="472">
        <f t="shared" si="31"/>
        <v>2000</v>
      </c>
      <c r="H194" s="478">
        <v>2000</v>
      </c>
      <c r="I194" s="472">
        <f t="shared" si="32"/>
        <v>0</v>
      </c>
      <c r="J194" s="478"/>
      <c r="K194" s="478"/>
      <c r="L194" s="478"/>
      <c r="M194" s="478"/>
      <c r="N194" s="478"/>
      <c r="O194" s="478"/>
      <c r="P194" s="478"/>
      <c r="Q194" s="478"/>
      <c r="R194" s="478"/>
      <c r="S194" s="472">
        <f t="shared" si="33"/>
        <v>0</v>
      </c>
      <c r="T194" s="478"/>
      <c r="U194" s="478"/>
      <c r="V194" s="478"/>
    </row>
    <row r="195" spans="1:22" s="468" customFormat="1" ht="120">
      <c r="A195" s="611"/>
      <c r="B195" s="611"/>
      <c r="C195" s="630">
        <v>2320</v>
      </c>
      <c r="D195" s="477" t="s">
        <v>586</v>
      </c>
      <c r="E195" s="529">
        <f t="shared" si="29"/>
        <v>65600</v>
      </c>
      <c r="F195" s="472">
        <f t="shared" si="30"/>
        <v>65600</v>
      </c>
      <c r="G195" s="472">
        <f t="shared" si="31"/>
        <v>0</v>
      </c>
      <c r="H195" s="478"/>
      <c r="I195" s="472">
        <f t="shared" si="32"/>
        <v>0</v>
      </c>
      <c r="J195" s="478"/>
      <c r="K195" s="478"/>
      <c r="L195" s="478"/>
      <c r="M195" s="478"/>
      <c r="N195" s="478"/>
      <c r="O195" s="478">
        <v>65600</v>
      </c>
      <c r="P195" s="478"/>
      <c r="Q195" s="478"/>
      <c r="R195" s="478"/>
      <c r="S195" s="472">
        <f t="shared" si="33"/>
        <v>0</v>
      </c>
      <c r="T195" s="478"/>
      <c r="U195" s="478"/>
      <c r="V195" s="478"/>
    </row>
    <row r="196" spans="1:22" s="473" customFormat="1" ht="31.5">
      <c r="A196" s="611">
        <v>757</v>
      </c>
      <c r="B196" s="611"/>
      <c r="C196" s="628"/>
      <c r="D196" s="320" t="s">
        <v>548</v>
      </c>
      <c r="E196" s="529">
        <f t="shared" si="29"/>
        <v>938365</v>
      </c>
      <c r="F196" s="472">
        <f t="shared" si="30"/>
        <v>938365</v>
      </c>
      <c r="G196" s="472">
        <f t="shared" si="31"/>
        <v>0</v>
      </c>
      <c r="H196" s="472">
        <f>SUM(H197+H200)</f>
        <v>0</v>
      </c>
      <c r="I196" s="472">
        <f t="shared" si="32"/>
        <v>0</v>
      </c>
      <c r="J196" s="472">
        <f>SUM(J197+J200)</f>
        <v>0</v>
      </c>
      <c r="K196" s="472">
        <f aca="true" t="shared" si="42" ref="K196:R196">SUM(K197+K200)</f>
        <v>0</v>
      </c>
      <c r="L196" s="472">
        <f t="shared" si="42"/>
        <v>0</v>
      </c>
      <c r="M196" s="472">
        <f t="shared" si="42"/>
        <v>0</v>
      </c>
      <c r="N196" s="472">
        <f t="shared" si="42"/>
        <v>0</v>
      </c>
      <c r="O196" s="472">
        <f t="shared" si="42"/>
        <v>0</v>
      </c>
      <c r="P196" s="472">
        <f>SUM(P197+P200)</f>
        <v>566300</v>
      </c>
      <c r="Q196" s="472">
        <f t="shared" si="42"/>
        <v>372065</v>
      </c>
      <c r="R196" s="472">
        <f t="shared" si="42"/>
        <v>0</v>
      </c>
      <c r="S196" s="472">
        <f t="shared" si="33"/>
        <v>0</v>
      </c>
      <c r="T196" s="472">
        <f>SUM(T197+T200)</f>
        <v>0</v>
      </c>
      <c r="U196" s="472">
        <f>SUM(U197+U200)</f>
        <v>0</v>
      </c>
      <c r="V196" s="472">
        <f>SUM(V197+V200)</f>
        <v>0</v>
      </c>
    </row>
    <row r="197" spans="1:22" s="476" customFormat="1" ht="78.75">
      <c r="A197" s="612"/>
      <c r="B197" s="612">
        <v>75702</v>
      </c>
      <c r="C197" s="629"/>
      <c r="D197" s="271" t="s">
        <v>549</v>
      </c>
      <c r="E197" s="529">
        <f t="shared" si="29"/>
        <v>372065</v>
      </c>
      <c r="F197" s="472">
        <f t="shared" si="30"/>
        <v>372065</v>
      </c>
      <c r="G197" s="472">
        <f t="shared" si="31"/>
        <v>0</v>
      </c>
      <c r="H197" s="475">
        <f>SUM(H198:H199)</f>
        <v>0</v>
      </c>
      <c r="I197" s="472">
        <f t="shared" si="32"/>
        <v>0</v>
      </c>
      <c r="J197" s="475">
        <f>SUM(J198:J199)</f>
        <v>0</v>
      </c>
      <c r="K197" s="475">
        <f aca="true" t="shared" si="43" ref="K197:R197">SUM(K198:K199)</f>
        <v>0</v>
      </c>
      <c r="L197" s="475">
        <f t="shared" si="43"/>
        <v>0</v>
      </c>
      <c r="M197" s="475">
        <f t="shared" si="43"/>
        <v>0</v>
      </c>
      <c r="N197" s="475">
        <f t="shared" si="43"/>
        <v>0</v>
      </c>
      <c r="O197" s="475">
        <f t="shared" si="43"/>
        <v>0</v>
      </c>
      <c r="P197" s="475">
        <f>SUM(P198:P199)</f>
        <v>0</v>
      </c>
      <c r="Q197" s="475">
        <f t="shared" si="43"/>
        <v>372065</v>
      </c>
      <c r="R197" s="475">
        <f t="shared" si="43"/>
        <v>0</v>
      </c>
      <c r="S197" s="472">
        <f t="shared" si="33"/>
        <v>0</v>
      </c>
      <c r="T197" s="475">
        <f>SUM(T198:T199)</f>
        <v>0</v>
      </c>
      <c r="U197" s="475">
        <f>SUM(U198:U199)</f>
        <v>0</v>
      </c>
      <c r="V197" s="475">
        <f>SUM(V198:V199)</f>
        <v>0</v>
      </c>
    </row>
    <row r="198" spans="1:22" s="468" customFormat="1" ht="45" customHeight="1">
      <c r="A198" s="611"/>
      <c r="B198" s="611"/>
      <c r="C198" s="635">
        <v>8010</v>
      </c>
      <c r="D198" s="485" t="s">
        <v>814</v>
      </c>
      <c r="E198" s="529">
        <f t="shared" si="29"/>
        <v>15000</v>
      </c>
      <c r="F198" s="472">
        <f t="shared" si="30"/>
        <v>15000</v>
      </c>
      <c r="G198" s="472">
        <f t="shared" si="31"/>
        <v>0</v>
      </c>
      <c r="H198" s="478"/>
      <c r="I198" s="472">
        <f t="shared" si="32"/>
        <v>0</v>
      </c>
      <c r="J198" s="478"/>
      <c r="K198" s="478"/>
      <c r="L198" s="478"/>
      <c r="M198" s="478"/>
      <c r="N198" s="478"/>
      <c r="O198" s="478"/>
      <c r="P198" s="478"/>
      <c r="Q198" s="478">
        <v>15000</v>
      </c>
      <c r="R198" s="478"/>
      <c r="S198" s="472">
        <f t="shared" si="33"/>
        <v>0</v>
      </c>
      <c r="T198" s="478"/>
      <c r="U198" s="478"/>
      <c r="V198" s="478"/>
    </row>
    <row r="199" spans="1:22" s="468" customFormat="1" ht="60">
      <c r="A199" s="611"/>
      <c r="B199" s="611"/>
      <c r="C199" s="630">
        <v>8070</v>
      </c>
      <c r="D199" s="477" t="s">
        <v>550</v>
      </c>
      <c r="E199" s="529">
        <f t="shared" si="29"/>
        <v>357065</v>
      </c>
      <c r="F199" s="472">
        <f t="shared" si="30"/>
        <v>357065</v>
      </c>
      <c r="G199" s="472">
        <f t="shared" si="31"/>
        <v>0</v>
      </c>
      <c r="H199" s="478"/>
      <c r="I199" s="472">
        <f t="shared" si="32"/>
        <v>0</v>
      </c>
      <c r="J199" s="478"/>
      <c r="K199" s="478"/>
      <c r="L199" s="478"/>
      <c r="M199" s="478"/>
      <c r="N199" s="478"/>
      <c r="O199" s="478"/>
      <c r="P199" s="478"/>
      <c r="Q199" s="478">
        <v>357065</v>
      </c>
      <c r="R199" s="478"/>
      <c r="S199" s="472">
        <f t="shared" si="33"/>
        <v>0</v>
      </c>
      <c r="T199" s="478"/>
      <c r="U199" s="478"/>
      <c r="V199" s="478"/>
    </row>
    <row r="200" spans="1:22" s="468" customFormat="1" ht="60.75" customHeight="1">
      <c r="A200" s="611"/>
      <c r="B200" s="619">
        <v>75704</v>
      </c>
      <c r="C200" s="636"/>
      <c r="D200" s="486" t="s">
        <v>799</v>
      </c>
      <c r="E200" s="529">
        <f t="shared" si="29"/>
        <v>566300</v>
      </c>
      <c r="F200" s="472">
        <f t="shared" si="30"/>
        <v>566300</v>
      </c>
      <c r="G200" s="472">
        <f t="shared" si="31"/>
        <v>0</v>
      </c>
      <c r="H200" s="478">
        <f>SUM(H201)</f>
        <v>0</v>
      </c>
      <c r="I200" s="472">
        <f t="shared" si="32"/>
        <v>0</v>
      </c>
      <c r="J200" s="478">
        <f>SUM(J201)</f>
        <v>0</v>
      </c>
      <c r="K200" s="478">
        <f>SUM(K201)</f>
        <v>0</v>
      </c>
      <c r="L200" s="478">
        <f aca="true" t="shared" si="44" ref="L200:V200">SUM(L201)</f>
        <v>0</v>
      </c>
      <c r="M200" s="478">
        <f t="shared" si="44"/>
        <v>0</v>
      </c>
      <c r="N200" s="478">
        <f t="shared" si="44"/>
        <v>0</v>
      </c>
      <c r="O200" s="478">
        <f t="shared" si="44"/>
        <v>0</v>
      </c>
      <c r="P200" s="478">
        <f>SUM(P201)</f>
        <v>566300</v>
      </c>
      <c r="Q200" s="478">
        <f>SUM(Q201)</f>
        <v>0</v>
      </c>
      <c r="R200" s="478">
        <f t="shared" si="44"/>
        <v>0</v>
      </c>
      <c r="S200" s="472">
        <f t="shared" si="33"/>
        <v>0</v>
      </c>
      <c r="T200" s="478">
        <f t="shared" si="44"/>
        <v>0</v>
      </c>
      <c r="U200" s="478">
        <f t="shared" si="44"/>
        <v>0</v>
      </c>
      <c r="V200" s="478">
        <f t="shared" si="44"/>
        <v>0</v>
      </c>
    </row>
    <row r="201" spans="1:22" s="468" customFormat="1" ht="31.5">
      <c r="A201" s="611"/>
      <c r="B201" s="619"/>
      <c r="C201" s="636">
        <v>8020</v>
      </c>
      <c r="D201" s="454" t="s">
        <v>798</v>
      </c>
      <c r="E201" s="529">
        <f t="shared" si="29"/>
        <v>566300</v>
      </c>
      <c r="F201" s="472">
        <f t="shared" si="30"/>
        <v>566300</v>
      </c>
      <c r="G201" s="472">
        <f t="shared" si="31"/>
        <v>0</v>
      </c>
      <c r="H201" s="478"/>
      <c r="I201" s="472">
        <f t="shared" si="32"/>
        <v>0</v>
      </c>
      <c r="J201" s="478"/>
      <c r="K201" s="478"/>
      <c r="L201" s="478"/>
      <c r="M201" s="478"/>
      <c r="N201" s="478"/>
      <c r="O201" s="478"/>
      <c r="P201" s="478">
        <f>386300+180000</f>
        <v>566300</v>
      </c>
      <c r="Q201" s="478"/>
      <c r="R201" s="478"/>
      <c r="S201" s="472">
        <f t="shared" si="33"/>
        <v>0</v>
      </c>
      <c r="T201" s="478"/>
      <c r="U201" s="478"/>
      <c r="V201" s="478"/>
    </row>
    <row r="202" spans="1:22" s="473" customFormat="1" ht="15.75">
      <c r="A202" s="611">
        <v>758</v>
      </c>
      <c r="B202" s="611"/>
      <c r="C202" s="628"/>
      <c r="D202" s="320" t="s">
        <v>551</v>
      </c>
      <c r="E202" s="529">
        <f t="shared" si="29"/>
        <v>364966</v>
      </c>
      <c r="F202" s="472">
        <f t="shared" si="30"/>
        <v>364966</v>
      </c>
      <c r="G202" s="472">
        <f t="shared" si="31"/>
        <v>364966</v>
      </c>
      <c r="H202" s="472">
        <f aca="true" t="shared" si="45" ref="H202:V202">H203</f>
        <v>364966</v>
      </c>
      <c r="I202" s="472">
        <f t="shared" si="32"/>
        <v>0</v>
      </c>
      <c r="J202" s="472">
        <f>J203</f>
        <v>0</v>
      </c>
      <c r="K202" s="472">
        <f t="shared" si="45"/>
        <v>0</v>
      </c>
      <c r="L202" s="472">
        <f t="shared" si="45"/>
        <v>0</v>
      </c>
      <c r="M202" s="472">
        <f t="shared" si="45"/>
        <v>0</v>
      </c>
      <c r="N202" s="472">
        <f t="shared" si="45"/>
        <v>0</v>
      </c>
      <c r="O202" s="472">
        <f t="shared" si="45"/>
        <v>0</v>
      </c>
      <c r="P202" s="472">
        <f t="shared" si="45"/>
        <v>0</v>
      </c>
      <c r="Q202" s="472">
        <f t="shared" si="45"/>
        <v>0</v>
      </c>
      <c r="R202" s="472">
        <f t="shared" si="45"/>
        <v>0</v>
      </c>
      <c r="S202" s="472">
        <f t="shared" si="33"/>
        <v>0</v>
      </c>
      <c r="T202" s="472">
        <f t="shared" si="45"/>
        <v>0</v>
      </c>
      <c r="U202" s="472">
        <f t="shared" si="45"/>
        <v>0</v>
      </c>
      <c r="V202" s="472">
        <f t="shared" si="45"/>
        <v>0</v>
      </c>
    </row>
    <row r="203" spans="1:22" s="476" customFormat="1" ht="31.5">
      <c r="A203" s="612"/>
      <c r="B203" s="612">
        <v>75818</v>
      </c>
      <c r="C203" s="629"/>
      <c r="D203" s="271" t="s">
        <v>552</v>
      </c>
      <c r="E203" s="529">
        <f t="shared" si="29"/>
        <v>364966</v>
      </c>
      <c r="F203" s="472">
        <f t="shared" si="30"/>
        <v>364966</v>
      </c>
      <c r="G203" s="472">
        <f t="shared" si="31"/>
        <v>364966</v>
      </c>
      <c r="H203" s="475">
        <f>SUM(H204:H205)</f>
        <v>364966</v>
      </c>
      <c r="I203" s="472">
        <f t="shared" si="32"/>
        <v>0</v>
      </c>
      <c r="J203" s="475">
        <f aca="true" t="shared" si="46" ref="J203:R203">SUM(J204:J205)</f>
        <v>0</v>
      </c>
      <c r="K203" s="475">
        <f t="shared" si="46"/>
        <v>0</v>
      </c>
      <c r="L203" s="475">
        <f t="shared" si="46"/>
        <v>0</v>
      </c>
      <c r="M203" s="475">
        <f t="shared" si="46"/>
        <v>0</v>
      </c>
      <c r="N203" s="475">
        <f t="shared" si="46"/>
        <v>0</v>
      </c>
      <c r="O203" s="475">
        <f t="shared" si="46"/>
        <v>0</v>
      </c>
      <c r="P203" s="475">
        <f>SUM(P204:P205)</f>
        <v>0</v>
      </c>
      <c r="Q203" s="475">
        <f t="shared" si="46"/>
        <v>0</v>
      </c>
      <c r="R203" s="475">
        <f t="shared" si="46"/>
        <v>0</v>
      </c>
      <c r="S203" s="472">
        <f t="shared" si="33"/>
        <v>0</v>
      </c>
      <c r="T203" s="475">
        <f>SUM(T204:T205)</f>
        <v>0</v>
      </c>
      <c r="U203" s="475">
        <f>SUM(U204:U205)</f>
        <v>0</v>
      </c>
      <c r="V203" s="475">
        <f>SUM(V204:V205)</f>
        <v>0</v>
      </c>
    </row>
    <row r="204" spans="1:22" s="468" customFormat="1" ht="15.75">
      <c r="A204" s="611"/>
      <c r="B204" s="611"/>
      <c r="C204" s="630">
        <v>4810</v>
      </c>
      <c r="D204" s="477" t="s">
        <v>553</v>
      </c>
      <c r="E204" s="529">
        <f t="shared" si="29"/>
        <v>364966</v>
      </c>
      <c r="F204" s="472">
        <f t="shared" si="30"/>
        <v>364966</v>
      </c>
      <c r="G204" s="472">
        <f t="shared" si="31"/>
        <v>364966</v>
      </c>
      <c r="H204" s="478">
        <v>364966</v>
      </c>
      <c r="I204" s="472">
        <f t="shared" si="32"/>
        <v>0</v>
      </c>
      <c r="J204" s="478"/>
      <c r="K204" s="478"/>
      <c r="L204" s="478"/>
      <c r="M204" s="478"/>
      <c r="N204" s="478"/>
      <c r="O204" s="478"/>
      <c r="P204" s="478"/>
      <c r="Q204" s="478"/>
      <c r="R204" s="478"/>
      <c r="S204" s="472">
        <f t="shared" si="33"/>
        <v>0</v>
      </c>
      <c r="T204" s="478"/>
      <c r="U204" s="478"/>
      <c r="V204" s="478"/>
    </row>
    <row r="205" spans="1:22" s="468" customFormat="1" ht="39.75" customHeight="1" hidden="1">
      <c r="A205" s="611"/>
      <c r="B205" s="611"/>
      <c r="C205" s="630">
        <v>6800</v>
      </c>
      <c r="D205" s="477" t="s">
        <v>621</v>
      </c>
      <c r="E205" s="529">
        <f aca="true" t="shared" si="47" ref="E205:E270">F205+S205</f>
        <v>0</v>
      </c>
      <c r="F205" s="472">
        <f t="shared" si="30"/>
        <v>0</v>
      </c>
      <c r="G205" s="472">
        <f t="shared" si="31"/>
        <v>0</v>
      </c>
      <c r="H205" s="487"/>
      <c r="I205" s="472">
        <f t="shared" si="32"/>
        <v>0</v>
      </c>
      <c r="J205" s="478"/>
      <c r="K205" s="478"/>
      <c r="L205" s="478"/>
      <c r="M205" s="478"/>
      <c r="N205" s="478"/>
      <c r="O205" s="478"/>
      <c r="P205" s="478"/>
      <c r="Q205" s="478"/>
      <c r="R205" s="478"/>
      <c r="S205" s="472">
        <f t="shared" si="33"/>
        <v>0</v>
      </c>
      <c r="T205" s="478"/>
      <c r="U205" s="478"/>
      <c r="V205" s="478"/>
    </row>
    <row r="206" spans="1:22" s="473" customFormat="1" ht="31.5">
      <c r="A206" s="611">
        <v>801</v>
      </c>
      <c r="B206" s="611"/>
      <c r="C206" s="628"/>
      <c r="D206" s="320" t="s">
        <v>554</v>
      </c>
      <c r="E206" s="529">
        <f t="shared" si="47"/>
        <v>15395625</v>
      </c>
      <c r="F206" s="472">
        <f aca="true" t="shared" si="48" ref="F206:F271">G206+N206+O206+P206+Q206+R206</f>
        <v>14779725</v>
      </c>
      <c r="G206" s="472">
        <f aca="true" t="shared" si="49" ref="G206:G271">H206+I206</f>
        <v>14343785</v>
      </c>
      <c r="H206" s="472">
        <f>SUM(H207+H216+H240+H252+H284+H308+H315+H320+H333)</f>
        <v>2266787</v>
      </c>
      <c r="I206" s="472">
        <f aca="true" t="shared" si="50" ref="I206:I271">SUM(J206:M206)</f>
        <v>12076998</v>
      </c>
      <c r="J206" s="472">
        <f aca="true" t="shared" si="51" ref="J206:R206">SUM(J207+J216+J240+J252+J284+J308+J315+J320+J333)</f>
        <v>9465836</v>
      </c>
      <c r="K206" s="472">
        <f t="shared" si="51"/>
        <v>693796</v>
      </c>
      <c r="L206" s="472">
        <f t="shared" si="51"/>
        <v>1811570</v>
      </c>
      <c r="M206" s="472">
        <f t="shared" si="51"/>
        <v>105796</v>
      </c>
      <c r="N206" s="472">
        <f t="shared" si="51"/>
        <v>382690</v>
      </c>
      <c r="O206" s="472">
        <f t="shared" si="51"/>
        <v>50000</v>
      </c>
      <c r="P206" s="472">
        <f>SUM(P207+P216+P240+P252+P284+P308+P315+P320+P333)</f>
        <v>0</v>
      </c>
      <c r="Q206" s="472">
        <f t="shared" si="51"/>
        <v>0</v>
      </c>
      <c r="R206" s="472">
        <f t="shared" si="51"/>
        <v>3250</v>
      </c>
      <c r="S206" s="472">
        <f aca="true" t="shared" si="52" ref="S206:S271">T206+V206</f>
        <v>615900</v>
      </c>
      <c r="T206" s="472">
        <f>SUM(T207+T216+T240+T252+T284+T308+T315+T320+T333)</f>
        <v>615900</v>
      </c>
      <c r="U206" s="472">
        <f>SUM(U207+U216+U240+U252+U284+U308+U315+U320+U333)</f>
        <v>0</v>
      </c>
      <c r="V206" s="472">
        <f>SUM(V207+V216+V240+V252+V284+V308+V315+V320+V333)</f>
        <v>0</v>
      </c>
    </row>
    <row r="207" spans="1:22" s="476" customFormat="1" ht="31.5">
      <c r="A207" s="611"/>
      <c r="B207" s="612">
        <v>80102</v>
      </c>
      <c r="C207" s="629"/>
      <c r="D207" s="271" t="s">
        <v>555</v>
      </c>
      <c r="E207" s="529">
        <f t="shared" si="47"/>
        <v>1184848</v>
      </c>
      <c r="F207" s="472">
        <f t="shared" si="48"/>
        <v>1184848</v>
      </c>
      <c r="G207" s="472">
        <f t="shared" si="49"/>
        <v>1179238</v>
      </c>
      <c r="H207" s="475">
        <f>SUM(H209:H215)</f>
        <v>42620</v>
      </c>
      <c r="I207" s="472">
        <f t="shared" si="50"/>
        <v>1136618</v>
      </c>
      <c r="J207" s="475">
        <f aca="true" t="shared" si="53" ref="J207:R207">SUM(J209:J215)</f>
        <v>899118</v>
      </c>
      <c r="K207" s="475">
        <f t="shared" si="53"/>
        <v>66110</v>
      </c>
      <c r="L207" s="475">
        <f t="shared" si="53"/>
        <v>171390</v>
      </c>
      <c r="M207" s="475">
        <f t="shared" si="53"/>
        <v>0</v>
      </c>
      <c r="N207" s="475">
        <f t="shared" si="53"/>
        <v>2360</v>
      </c>
      <c r="O207" s="475">
        <f t="shared" si="53"/>
        <v>0</v>
      </c>
      <c r="P207" s="475">
        <f>SUM(P209:P215)</f>
        <v>0</v>
      </c>
      <c r="Q207" s="475">
        <f t="shared" si="53"/>
        <v>0</v>
      </c>
      <c r="R207" s="475">
        <f t="shared" si="53"/>
        <v>3250</v>
      </c>
      <c r="S207" s="472">
        <f t="shared" si="52"/>
        <v>0</v>
      </c>
      <c r="T207" s="475">
        <f>SUM(T209:T215)</f>
        <v>0</v>
      </c>
      <c r="U207" s="475">
        <f>SUM(U209:U215)</f>
        <v>0</v>
      </c>
      <c r="V207" s="475">
        <f>SUM(V209:V215)</f>
        <v>0</v>
      </c>
    </row>
    <row r="208" spans="1:22" s="476" customFormat="1" ht="90" customHeight="1" hidden="1">
      <c r="A208" s="611"/>
      <c r="B208" s="612"/>
      <c r="C208" s="630">
        <v>6300</v>
      </c>
      <c r="D208" s="477" t="s">
        <v>126</v>
      </c>
      <c r="E208" s="529">
        <f t="shared" si="47"/>
        <v>0</v>
      </c>
      <c r="F208" s="472">
        <f t="shared" si="48"/>
        <v>0</v>
      </c>
      <c r="G208" s="472">
        <f t="shared" si="49"/>
        <v>0</v>
      </c>
      <c r="H208" s="475"/>
      <c r="I208" s="472">
        <f t="shared" si="50"/>
        <v>0</v>
      </c>
      <c r="J208" s="475"/>
      <c r="K208" s="475"/>
      <c r="L208" s="475"/>
      <c r="M208" s="475"/>
      <c r="N208" s="475"/>
      <c r="O208" s="475"/>
      <c r="P208" s="475"/>
      <c r="Q208" s="475"/>
      <c r="R208" s="475"/>
      <c r="S208" s="472">
        <f t="shared" si="52"/>
        <v>0</v>
      </c>
      <c r="T208" s="475"/>
      <c r="U208" s="475"/>
      <c r="V208" s="475"/>
    </row>
    <row r="209" spans="1:22" s="468" customFormat="1" ht="45">
      <c r="A209" s="611"/>
      <c r="B209" s="611"/>
      <c r="C209" s="630">
        <v>3020</v>
      </c>
      <c r="D209" s="477" t="s">
        <v>709</v>
      </c>
      <c r="E209" s="529">
        <f t="shared" si="47"/>
        <v>2360</v>
      </c>
      <c r="F209" s="472">
        <f t="shared" si="48"/>
        <v>2360</v>
      </c>
      <c r="G209" s="472">
        <f t="shared" si="49"/>
        <v>0</v>
      </c>
      <c r="H209" s="478"/>
      <c r="I209" s="472">
        <f t="shared" si="50"/>
        <v>0</v>
      </c>
      <c r="J209" s="478"/>
      <c r="K209" s="478"/>
      <c r="L209" s="478"/>
      <c r="M209" s="478"/>
      <c r="N209" s="478">
        <v>2360</v>
      </c>
      <c r="O209" s="478"/>
      <c r="P209" s="478"/>
      <c r="Q209" s="478"/>
      <c r="R209" s="478"/>
      <c r="S209" s="472">
        <f t="shared" si="52"/>
        <v>0</v>
      </c>
      <c r="T209" s="478"/>
      <c r="U209" s="478"/>
      <c r="V209" s="478"/>
    </row>
    <row r="210" spans="1:22" s="468" customFormat="1" ht="30">
      <c r="A210" s="611"/>
      <c r="B210" s="611"/>
      <c r="C210" s="630">
        <v>4010</v>
      </c>
      <c r="D210" s="477" t="s">
        <v>417</v>
      </c>
      <c r="E210" s="529">
        <f t="shared" si="47"/>
        <v>899118</v>
      </c>
      <c r="F210" s="472">
        <f t="shared" si="48"/>
        <v>899118</v>
      </c>
      <c r="G210" s="472">
        <f t="shared" si="49"/>
        <v>899118</v>
      </c>
      <c r="H210" s="478"/>
      <c r="I210" s="472">
        <f t="shared" si="50"/>
        <v>899118</v>
      </c>
      <c r="J210" s="478">
        <v>899118</v>
      </c>
      <c r="K210" s="478"/>
      <c r="L210" s="478"/>
      <c r="M210" s="478"/>
      <c r="N210" s="478"/>
      <c r="O210" s="478"/>
      <c r="P210" s="478"/>
      <c r="Q210" s="478"/>
      <c r="R210" s="478"/>
      <c r="S210" s="472">
        <f t="shared" si="52"/>
        <v>0</v>
      </c>
      <c r="T210" s="478"/>
      <c r="U210" s="478"/>
      <c r="V210" s="478"/>
    </row>
    <row r="211" spans="1:22" s="468" customFormat="1" ht="34.5" customHeight="1">
      <c r="A211" s="611"/>
      <c r="B211" s="611"/>
      <c r="C211" s="630">
        <v>4040</v>
      </c>
      <c r="D211" s="477" t="s">
        <v>418</v>
      </c>
      <c r="E211" s="529">
        <f t="shared" si="47"/>
        <v>66110</v>
      </c>
      <c r="F211" s="472">
        <f t="shared" si="48"/>
        <v>66110</v>
      </c>
      <c r="G211" s="472">
        <f t="shared" si="49"/>
        <v>66110</v>
      </c>
      <c r="H211" s="478"/>
      <c r="I211" s="472">
        <f t="shared" si="50"/>
        <v>66110</v>
      </c>
      <c r="J211" s="478"/>
      <c r="K211" s="478">
        <v>66110</v>
      </c>
      <c r="L211" s="478"/>
      <c r="M211" s="478"/>
      <c r="N211" s="478"/>
      <c r="O211" s="478"/>
      <c r="P211" s="478"/>
      <c r="Q211" s="478"/>
      <c r="R211" s="478"/>
      <c r="S211" s="472">
        <f t="shared" si="52"/>
        <v>0</v>
      </c>
      <c r="T211" s="478"/>
      <c r="U211" s="478"/>
      <c r="V211" s="478"/>
    </row>
    <row r="212" spans="1:22" s="468" customFormat="1" ht="45">
      <c r="A212" s="611"/>
      <c r="B212" s="611"/>
      <c r="C212" s="630">
        <v>4110</v>
      </c>
      <c r="D212" s="477" t="s">
        <v>556</v>
      </c>
      <c r="E212" s="529">
        <f t="shared" si="47"/>
        <v>147600</v>
      </c>
      <c r="F212" s="472">
        <f t="shared" si="48"/>
        <v>147600</v>
      </c>
      <c r="G212" s="472">
        <f t="shared" si="49"/>
        <v>147600</v>
      </c>
      <c r="H212" s="478"/>
      <c r="I212" s="472">
        <f t="shared" si="50"/>
        <v>147600</v>
      </c>
      <c r="J212" s="478"/>
      <c r="K212" s="478"/>
      <c r="L212" s="478">
        <v>147600</v>
      </c>
      <c r="M212" s="478"/>
      <c r="N212" s="478"/>
      <c r="O212" s="478"/>
      <c r="P212" s="478"/>
      <c r="Q212" s="478"/>
      <c r="R212" s="478"/>
      <c r="S212" s="472">
        <f t="shared" si="52"/>
        <v>0</v>
      </c>
      <c r="T212" s="478"/>
      <c r="U212" s="478"/>
      <c r="V212" s="478"/>
    </row>
    <row r="213" spans="1:22" s="468" customFormat="1" ht="30">
      <c r="A213" s="611"/>
      <c r="B213" s="611"/>
      <c r="C213" s="630">
        <v>4120</v>
      </c>
      <c r="D213" s="477" t="s">
        <v>420</v>
      </c>
      <c r="E213" s="529">
        <f t="shared" si="47"/>
        <v>23790</v>
      </c>
      <c r="F213" s="472">
        <f t="shared" si="48"/>
        <v>23790</v>
      </c>
      <c r="G213" s="472">
        <f t="shared" si="49"/>
        <v>23790</v>
      </c>
      <c r="H213" s="478"/>
      <c r="I213" s="472">
        <f t="shared" si="50"/>
        <v>23790</v>
      </c>
      <c r="J213" s="478"/>
      <c r="K213" s="478"/>
      <c r="L213" s="478">
        <v>23790</v>
      </c>
      <c r="M213" s="478"/>
      <c r="N213" s="478"/>
      <c r="O213" s="478"/>
      <c r="P213" s="478"/>
      <c r="Q213" s="478"/>
      <c r="R213" s="478"/>
      <c r="S213" s="472">
        <f t="shared" si="52"/>
        <v>0</v>
      </c>
      <c r="T213" s="478"/>
      <c r="U213" s="478"/>
      <c r="V213" s="478"/>
    </row>
    <row r="214" spans="1:22" s="468" customFormat="1" ht="47.25" customHeight="1">
      <c r="A214" s="611"/>
      <c r="B214" s="611"/>
      <c r="C214" s="630">
        <v>4249</v>
      </c>
      <c r="D214" s="477" t="s">
        <v>566</v>
      </c>
      <c r="E214" s="529">
        <f>F214+S214</f>
        <v>3250</v>
      </c>
      <c r="F214" s="472">
        <f>G214+N214+O214+P214+Q214+R214</f>
        <v>3250</v>
      </c>
      <c r="G214" s="472">
        <f>H214+I214</f>
        <v>0</v>
      </c>
      <c r="H214" s="478"/>
      <c r="I214" s="472">
        <f>SUM(J214:M214)</f>
        <v>0</v>
      </c>
      <c r="J214" s="478"/>
      <c r="K214" s="478"/>
      <c r="L214" s="478"/>
      <c r="M214" s="478"/>
      <c r="N214" s="478"/>
      <c r="O214" s="478"/>
      <c r="P214" s="478"/>
      <c r="Q214" s="478"/>
      <c r="R214" s="478">
        <v>3250</v>
      </c>
      <c r="S214" s="472">
        <f>T214+V214</f>
        <v>0</v>
      </c>
      <c r="T214" s="478"/>
      <c r="U214" s="478"/>
      <c r="V214" s="478"/>
    </row>
    <row r="215" spans="1:22" s="468" customFormat="1" ht="47.25" customHeight="1">
      <c r="A215" s="611"/>
      <c r="B215" s="611"/>
      <c r="C215" s="630">
        <v>4440</v>
      </c>
      <c r="D215" s="477" t="s">
        <v>432</v>
      </c>
      <c r="E215" s="529">
        <f t="shared" si="47"/>
        <v>42620</v>
      </c>
      <c r="F215" s="472">
        <f t="shared" si="48"/>
        <v>42620</v>
      </c>
      <c r="G215" s="472">
        <f t="shared" si="49"/>
        <v>42620</v>
      </c>
      <c r="H215" s="478">
        <v>42620</v>
      </c>
      <c r="I215" s="472">
        <f t="shared" si="50"/>
        <v>0</v>
      </c>
      <c r="J215" s="478"/>
      <c r="K215" s="478"/>
      <c r="L215" s="478"/>
      <c r="M215" s="478"/>
      <c r="N215" s="478"/>
      <c r="O215" s="478"/>
      <c r="P215" s="478"/>
      <c r="Q215" s="478"/>
      <c r="R215" s="478"/>
      <c r="S215" s="472">
        <f t="shared" si="52"/>
        <v>0</v>
      </c>
      <c r="T215" s="478"/>
      <c r="U215" s="478"/>
      <c r="V215" s="478"/>
    </row>
    <row r="216" spans="1:22" s="476" customFormat="1" ht="15.75">
      <c r="A216" s="611"/>
      <c r="B216" s="612">
        <v>80111</v>
      </c>
      <c r="C216" s="629"/>
      <c r="D216" s="271" t="s">
        <v>557</v>
      </c>
      <c r="E216" s="529">
        <f t="shared" si="47"/>
        <v>1103957</v>
      </c>
      <c r="F216" s="472">
        <f t="shared" si="48"/>
        <v>928057</v>
      </c>
      <c r="G216" s="472">
        <f t="shared" si="49"/>
        <v>921327</v>
      </c>
      <c r="H216" s="475">
        <f>SUM(H217:H239)</f>
        <v>200980</v>
      </c>
      <c r="I216" s="472">
        <f t="shared" si="50"/>
        <v>720347</v>
      </c>
      <c r="J216" s="475">
        <f aca="true" t="shared" si="54" ref="J216:R216">SUM(J217:J239)</f>
        <v>568947</v>
      </c>
      <c r="K216" s="475">
        <f t="shared" si="54"/>
        <v>40100</v>
      </c>
      <c r="L216" s="475">
        <f t="shared" si="54"/>
        <v>108670</v>
      </c>
      <c r="M216" s="475">
        <f t="shared" si="54"/>
        <v>2630</v>
      </c>
      <c r="N216" s="475">
        <f t="shared" si="54"/>
        <v>6730</v>
      </c>
      <c r="O216" s="475">
        <f t="shared" si="54"/>
        <v>0</v>
      </c>
      <c r="P216" s="475">
        <f>SUM(P217:P239)</f>
        <v>0</v>
      </c>
      <c r="Q216" s="475">
        <f t="shared" si="54"/>
        <v>0</v>
      </c>
      <c r="R216" s="475">
        <f t="shared" si="54"/>
        <v>0</v>
      </c>
      <c r="S216" s="472">
        <f t="shared" si="52"/>
        <v>175900</v>
      </c>
      <c r="T216" s="475">
        <f>SUM(T217:T239)</f>
        <v>175900</v>
      </c>
      <c r="U216" s="475">
        <f>SUM(U217:U239)</f>
        <v>0</v>
      </c>
      <c r="V216" s="475">
        <f>SUM(V217:V239)</f>
        <v>0</v>
      </c>
    </row>
    <row r="217" spans="1:22" s="468" customFormat="1" ht="45">
      <c r="A217" s="611"/>
      <c r="B217" s="611"/>
      <c r="C217" s="630">
        <v>3020</v>
      </c>
      <c r="D217" s="477" t="s">
        <v>709</v>
      </c>
      <c r="E217" s="529">
        <f t="shared" si="47"/>
        <v>6730</v>
      </c>
      <c r="F217" s="472">
        <f t="shared" si="48"/>
        <v>6730</v>
      </c>
      <c r="G217" s="472">
        <f t="shared" si="49"/>
        <v>0</v>
      </c>
      <c r="H217" s="478"/>
      <c r="I217" s="472">
        <f t="shared" si="50"/>
        <v>0</v>
      </c>
      <c r="J217" s="478"/>
      <c r="K217" s="478"/>
      <c r="L217" s="478"/>
      <c r="M217" s="478"/>
      <c r="N217" s="478">
        <v>6730</v>
      </c>
      <c r="O217" s="478"/>
      <c r="P217" s="478"/>
      <c r="Q217" s="478"/>
      <c r="R217" s="478"/>
      <c r="S217" s="472">
        <f t="shared" si="52"/>
        <v>0</v>
      </c>
      <c r="T217" s="478"/>
      <c r="U217" s="478"/>
      <c r="V217" s="478"/>
    </row>
    <row r="218" spans="1:22" s="468" customFormat="1" ht="30">
      <c r="A218" s="611"/>
      <c r="B218" s="611"/>
      <c r="C218" s="630">
        <v>4010</v>
      </c>
      <c r="D218" s="477" t="s">
        <v>417</v>
      </c>
      <c r="E218" s="529">
        <f t="shared" si="47"/>
        <v>568947</v>
      </c>
      <c r="F218" s="472">
        <f t="shared" si="48"/>
        <v>568947</v>
      </c>
      <c r="G218" s="472">
        <f t="shared" si="49"/>
        <v>568947</v>
      </c>
      <c r="H218" s="478"/>
      <c r="I218" s="472">
        <f t="shared" si="50"/>
        <v>568947</v>
      </c>
      <c r="J218" s="478">
        <v>568947</v>
      </c>
      <c r="K218" s="478"/>
      <c r="L218" s="478"/>
      <c r="M218" s="478"/>
      <c r="N218" s="478"/>
      <c r="O218" s="478"/>
      <c r="P218" s="478"/>
      <c r="Q218" s="478"/>
      <c r="R218" s="478"/>
      <c r="S218" s="472">
        <f t="shared" si="52"/>
        <v>0</v>
      </c>
      <c r="T218" s="478"/>
      <c r="U218" s="478"/>
      <c r="V218" s="478"/>
    </row>
    <row r="219" spans="1:22" s="468" customFormat="1" ht="30">
      <c r="A219" s="611"/>
      <c r="B219" s="611"/>
      <c r="C219" s="630">
        <v>4040</v>
      </c>
      <c r="D219" s="477" t="s">
        <v>418</v>
      </c>
      <c r="E219" s="529">
        <f t="shared" si="47"/>
        <v>40100</v>
      </c>
      <c r="F219" s="472">
        <f t="shared" si="48"/>
        <v>40100</v>
      </c>
      <c r="G219" s="472">
        <f t="shared" si="49"/>
        <v>40100</v>
      </c>
      <c r="H219" s="478"/>
      <c r="I219" s="472">
        <f t="shared" si="50"/>
        <v>40100</v>
      </c>
      <c r="J219" s="478"/>
      <c r="K219" s="478">
        <v>40100</v>
      </c>
      <c r="L219" s="478"/>
      <c r="M219" s="478"/>
      <c r="N219" s="478"/>
      <c r="O219" s="478"/>
      <c r="P219" s="478"/>
      <c r="Q219" s="478"/>
      <c r="R219" s="478"/>
      <c r="S219" s="472">
        <f t="shared" si="52"/>
        <v>0</v>
      </c>
      <c r="T219" s="478"/>
      <c r="U219" s="478"/>
      <c r="V219" s="478"/>
    </row>
    <row r="220" spans="1:22" s="468" customFormat="1" ht="45">
      <c r="A220" s="611"/>
      <c r="B220" s="611"/>
      <c r="C220" s="630">
        <v>4110</v>
      </c>
      <c r="D220" s="477" t="s">
        <v>556</v>
      </c>
      <c r="E220" s="529">
        <f t="shared" si="47"/>
        <v>93590</v>
      </c>
      <c r="F220" s="472">
        <f t="shared" si="48"/>
        <v>93590</v>
      </c>
      <c r="G220" s="472">
        <f t="shared" si="49"/>
        <v>93590</v>
      </c>
      <c r="H220" s="478"/>
      <c r="I220" s="472">
        <f t="shared" si="50"/>
        <v>93590</v>
      </c>
      <c r="J220" s="478"/>
      <c r="K220" s="478"/>
      <c r="L220" s="478">
        <v>93590</v>
      </c>
      <c r="M220" s="478"/>
      <c r="N220" s="478"/>
      <c r="O220" s="478"/>
      <c r="P220" s="478"/>
      <c r="Q220" s="478"/>
      <c r="R220" s="478"/>
      <c r="S220" s="472">
        <f t="shared" si="52"/>
        <v>0</v>
      </c>
      <c r="T220" s="478"/>
      <c r="U220" s="478"/>
      <c r="V220" s="478"/>
    </row>
    <row r="221" spans="1:22" s="468" customFormat="1" ht="30">
      <c r="A221" s="611"/>
      <c r="B221" s="611"/>
      <c r="C221" s="630">
        <v>4120</v>
      </c>
      <c r="D221" s="477" t="s">
        <v>558</v>
      </c>
      <c r="E221" s="529">
        <f t="shared" si="47"/>
        <v>15080</v>
      </c>
      <c r="F221" s="472">
        <f t="shared" si="48"/>
        <v>15080</v>
      </c>
      <c r="G221" s="472">
        <f t="shared" si="49"/>
        <v>15080</v>
      </c>
      <c r="H221" s="478"/>
      <c r="I221" s="472">
        <f t="shared" si="50"/>
        <v>15080</v>
      </c>
      <c r="J221" s="478"/>
      <c r="K221" s="478"/>
      <c r="L221" s="478">
        <v>15080</v>
      </c>
      <c r="M221" s="478"/>
      <c r="N221" s="478"/>
      <c r="O221" s="478"/>
      <c r="P221" s="478"/>
      <c r="Q221" s="478"/>
      <c r="R221" s="478"/>
      <c r="S221" s="472">
        <f t="shared" si="52"/>
        <v>0</v>
      </c>
      <c r="T221" s="478"/>
      <c r="U221" s="478"/>
      <c r="V221" s="478"/>
    </row>
    <row r="222" spans="1:22" s="468" customFormat="1" ht="33" customHeight="1">
      <c r="A222" s="611"/>
      <c r="B222" s="611"/>
      <c r="C222" s="630">
        <v>4170</v>
      </c>
      <c r="D222" s="477" t="s">
        <v>518</v>
      </c>
      <c r="E222" s="529">
        <f t="shared" si="47"/>
        <v>2630</v>
      </c>
      <c r="F222" s="472">
        <f t="shared" si="48"/>
        <v>2630</v>
      </c>
      <c r="G222" s="472">
        <f t="shared" si="49"/>
        <v>2630</v>
      </c>
      <c r="H222" s="478"/>
      <c r="I222" s="472">
        <f t="shared" si="50"/>
        <v>2630</v>
      </c>
      <c r="J222" s="478"/>
      <c r="K222" s="478"/>
      <c r="L222" s="478"/>
      <c r="M222" s="478">
        <v>2630</v>
      </c>
      <c r="N222" s="478"/>
      <c r="O222" s="478"/>
      <c r="P222" s="478"/>
      <c r="Q222" s="478"/>
      <c r="R222" s="478"/>
      <c r="S222" s="472">
        <f t="shared" si="52"/>
        <v>0</v>
      </c>
      <c r="T222" s="478"/>
      <c r="U222" s="478"/>
      <c r="V222" s="478"/>
    </row>
    <row r="223" spans="1:22" s="468" customFormat="1" ht="30">
      <c r="A223" s="611"/>
      <c r="B223" s="611"/>
      <c r="C223" s="630">
        <v>4210</v>
      </c>
      <c r="D223" s="477" t="s">
        <v>422</v>
      </c>
      <c r="E223" s="529">
        <f t="shared" si="47"/>
        <v>18200</v>
      </c>
      <c r="F223" s="472">
        <f t="shared" si="48"/>
        <v>18200</v>
      </c>
      <c r="G223" s="472">
        <f t="shared" si="49"/>
        <v>18200</v>
      </c>
      <c r="H223" s="478">
        <v>18200</v>
      </c>
      <c r="I223" s="472">
        <f t="shared" si="50"/>
        <v>0</v>
      </c>
      <c r="J223" s="478"/>
      <c r="K223" s="478"/>
      <c r="L223" s="478"/>
      <c r="M223" s="478"/>
      <c r="N223" s="478"/>
      <c r="O223" s="478"/>
      <c r="P223" s="478"/>
      <c r="Q223" s="478"/>
      <c r="R223" s="478"/>
      <c r="S223" s="472">
        <f t="shared" si="52"/>
        <v>0</v>
      </c>
      <c r="T223" s="478"/>
      <c r="U223" s="478"/>
      <c r="V223" s="478"/>
    </row>
    <row r="224" spans="1:22" s="468" customFormat="1" ht="45" customHeight="1" hidden="1">
      <c r="A224" s="611"/>
      <c r="B224" s="611"/>
      <c r="C224" s="630">
        <v>4240</v>
      </c>
      <c r="D224" s="477" t="s">
        <v>559</v>
      </c>
      <c r="E224" s="529">
        <f t="shared" si="47"/>
        <v>0</v>
      </c>
      <c r="F224" s="472">
        <f t="shared" si="48"/>
        <v>0</v>
      </c>
      <c r="G224" s="472">
        <f t="shared" si="49"/>
        <v>0</v>
      </c>
      <c r="H224" s="478"/>
      <c r="I224" s="472">
        <f t="shared" si="50"/>
        <v>0</v>
      </c>
      <c r="J224" s="478"/>
      <c r="K224" s="478"/>
      <c r="L224" s="478"/>
      <c r="M224" s="478"/>
      <c r="N224" s="478"/>
      <c r="O224" s="478"/>
      <c r="P224" s="478"/>
      <c r="Q224" s="478"/>
      <c r="R224" s="478"/>
      <c r="S224" s="472">
        <f t="shared" si="52"/>
        <v>0</v>
      </c>
      <c r="T224" s="478"/>
      <c r="U224" s="478"/>
      <c r="V224" s="478"/>
    </row>
    <row r="225" spans="1:22" s="468" customFormat="1" ht="15.75">
      <c r="A225" s="611"/>
      <c r="B225" s="611"/>
      <c r="C225" s="630">
        <v>4260</v>
      </c>
      <c r="D225" s="477" t="s">
        <v>423</v>
      </c>
      <c r="E225" s="529">
        <f t="shared" si="47"/>
        <v>86230</v>
      </c>
      <c r="F225" s="472">
        <f t="shared" si="48"/>
        <v>86230</v>
      </c>
      <c r="G225" s="472">
        <f t="shared" si="49"/>
        <v>86230</v>
      </c>
      <c r="H225" s="478">
        <v>86230</v>
      </c>
      <c r="I225" s="472">
        <f t="shared" si="50"/>
        <v>0</v>
      </c>
      <c r="J225" s="478"/>
      <c r="K225" s="478"/>
      <c r="L225" s="478"/>
      <c r="M225" s="478"/>
      <c r="N225" s="478"/>
      <c r="O225" s="478"/>
      <c r="P225" s="478"/>
      <c r="Q225" s="478"/>
      <c r="R225" s="478"/>
      <c r="S225" s="472">
        <f t="shared" si="52"/>
        <v>0</v>
      </c>
      <c r="T225" s="478"/>
      <c r="U225" s="478"/>
      <c r="V225" s="478"/>
    </row>
    <row r="226" spans="1:22" s="468" customFormat="1" ht="30">
      <c r="A226" s="611"/>
      <c r="B226" s="611"/>
      <c r="C226" s="630">
        <v>4270</v>
      </c>
      <c r="D226" s="477" t="s">
        <v>439</v>
      </c>
      <c r="E226" s="529">
        <f t="shared" si="47"/>
        <v>3700</v>
      </c>
      <c r="F226" s="472">
        <f t="shared" si="48"/>
        <v>3700</v>
      </c>
      <c r="G226" s="472">
        <f t="shared" si="49"/>
        <v>3700</v>
      </c>
      <c r="H226" s="478">
        <v>3700</v>
      </c>
      <c r="I226" s="472">
        <f t="shared" si="50"/>
        <v>0</v>
      </c>
      <c r="J226" s="478"/>
      <c r="K226" s="478"/>
      <c r="L226" s="478"/>
      <c r="M226" s="478"/>
      <c r="N226" s="478"/>
      <c r="O226" s="478"/>
      <c r="P226" s="478"/>
      <c r="Q226" s="478"/>
      <c r="R226" s="478"/>
      <c r="S226" s="472">
        <f t="shared" si="52"/>
        <v>0</v>
      </c>
      <c r="T226" s="478"/>
      <c r="U226" s="478"/>
      <c r="V226" s="478"/>
    </row>
    <row r="227" spans="1:22" s="468" customFormat="1" ht="48.75" customHeight="1">
      <c r="A227" s="611"/>
      <c r="B227" s="611"/>
      <c r="C227" s="630">
        <v>4280</v>
      </c>
      <c r="D227" s="477" t="s">
        <v>425</v>
      </c>
      <c r="E227" s="529">
        <f t="shared" si="47"/>
        <v>1500</v>
      </c>
      <c r="F227" s="472">
        <f t="shared" si="48"/>
        <v>1500</v>
      </c>
      <c r="G227" s="472">
        <f t="shared" si="49"/>
        <v>1500</v>
      </c>
      <c r="H227" s="478">
        <v>1500</v>
      </c>
      <c r="I227" s="472">
        <f t="shared" si="50"/>
        <v>0</v>
      </c>
      <c r="J227" s="478"/>
      <c r="K227" s="478"/>
      <c r="L227" s="478"/>
      <c r="M227" s="478"/>
      <c r="N227" s="478"/>
      <c r="O227" s="478"/>
      <c r="P227" s="478"/>
      <c r="Q227" s="478"/>
      <c r="R227" s="478"/>
      <c r="S227" s="472">
        <f t="shared" si="52"/>
        <v>0</v>
      </c>
      <c r="T227" s="478"/>
      <c r="U227" s="478"/>
      <c r="V227" s="478"/>
    </row>
    <row r="228" spans="1:22" s="468" customFormat="1" ht="30">
      <c r="A228" s="611"/>
      <c r="B228" s="611"/>
      <c r="C228" s="630">
        <v>4300</v>
      </c>
      <c r="D228" s="477" t="s">
        <v>405</v>
      </c>
      <c r="E228" s="529">
        <f t="shared" si="47"/>
        <v>45220</v>
      </c>
      <c r="F228" s="472">
        <f t="shared" si="48"/>
        <v>45220</v>
      </c>
      <c r="G228" s="472">
        <f t="shared" si="49"/>
        <v>45220</v>
      </c>
      <c r="H228" s="478">
        <v>45220</v>
      </c>
      <c r="I228" s="472">
        <f t="shared" si="50"/>
        <v>0</v>
      </c>
      <c r="J228" s="478"/>
      <c r="K228" s="478"/>
      <c r="L228" s="478"/>
      <c r="M228" s="478"/>
      <c r="N228" s="478"/>
      <c r="O228" s="478"/>
      <c r="P228" s="478"/>
      <c r="Q228" s="478"/>
      <c r="R228" s="478"/>
      <c r="S228" s="472">
        <f t="shared" si="52"/>
        <v>0</v>
      </c>
      <c r="T228" s="478"/>
      <c r="U228" s="478"/>
      <c r="V228" s="478"/>
    </row>
    <row r="229" spans="1:22" s="468" customFormat="1" ht="30">
      <c r="A229" s="611"/>
      <c r="B229" s="611"/>
      <c r="C229" s="630">
        <v>4350</v>
      </c>
      <c r="D229" s="477" t="s">
        <v>426</v>
      </c>
      <c r="E229" s="529">
        <f t="shared" si="47"/>
        <v>2220</v>
      </c>
      <c r="F229" s="472">
        <f t="shared" si="48"/>
        <v>2220</v>
      </c>
      <c r="G229" s="472">
        <f t="shared" si="49"/>
        <v>2220</v>
      </c>
      <c r="H229" s="478">
        <v>2220</v>
      </c>
      <c r="I229" s="472">
        <f t="shared" si="50"/>
        <v>0</v>
      </c>
      <c r="J229" s="478"/>
      <c r="K229" s="478"/>
      <c r="L229" s="478"/>
      <c r="M229" s="478"/>
      <c r="N229" s="478"/>
      <c r="O229" s="478"/>
      <c r="P229" s="478"/>
      <c r="Q229" s="478"/>
      <c r="R229" s="478"/>
      <c r="S229" s="472">
        <f t="shared" si="52"/>
        <v>0</v>
      </c>
      <c r="T229" s="478"/>
      <c r="U229" s="478"/>
      <c r="V229" s="478"/>
    </row>
    <row r="230" spans="1:22" s="468" customFormat="1" ht="60">
      <c r="A230" s="611"/>
      <c r="B230" s="611"/>
      <c r="C230" s="630">
        <v>4360</v>
      </c>
      <c r="D230" s="477" t="s">
        <v>567</v>
      </c>
      <c r="E230" s="529">
        <f>F230+S230</f>
        <v>1000</v>
      </c>
      <c r="F230" s="472">
        <f>G230+N230+O230+P230+Q230+R230</f>
        <v>1000</v>
      </c>
      <c r="G230" s="472">
        <f>H230+I230</f>
        <v>1000</v>
      </c>
      <c r="H230" s="478">
        <v>1000</v>
      </c>
      <c r="I230" s="472">
        <f>SUM(J230:M230)</f>
        <v>0</v>
      </c>
      <c r="J230" s="478"/>
      <c r="K230" s="478"/>
      <c r="L230" s="478"/>
      <c r="M230" s="478"/>
      <c r="N230" s="478"/>
      <c r="O230" s="478"/>
      <c r="P230" s="478"/>
      <c r="Q230" s="478"/>
      <c r="R230" s="478"/>
      <c r="S230" s="472">
        <f>T230+V230</f>
        <v>0</v>
      </c>
      <c r="T230" s="478"/>
      <c r="U230" s="478"/>
      <c r="V230" s="478"/>
    </row>
    <row r="231" spans="1:22" s="468" customFormat="1" ht="60">
      <c r="A231" s="611"/>
      <c r="B231" s="611"/>
      <c r="C231" s="630">
        <v>4370</v>
      </c>
      <c r="D231" s="477" t="s">
        <v>560</v>
      </c>
      <c r="E231" s="529">
        <f t="shared" si="47"/>
        <v>3910</v>
      </c>
      <c r="F231" s="472">
        <f t="shared" si="48"/>
        <v>3910</v>
      </c>
      <c r="G231" s="472">
        <f t="shared" si="49"/>
        <v>3910</v>
      </c>
      <c r="H231" s="478">
        <v>3910</v>
      </c>
      <c r="I231" s="472">
        <f t="shared" si="50"/>
        <v>0</v>
      </c>
      <c r="J231" s="478"/>
      <c r="K231" s="478"/>
      <c r="L231" s="478"/>
      <c r="M231" s="478"/>
      <c r="N231" s="478"/>
      <c r="O231" s="478"/>
      <c r="P231" s="478"/>
      <c r="Q231" s="478"/>
      <c r="R231" s="478"/>
      <c r="S231" s="472">
        <f t="shared" si="52"/>
        <v>0</v>
      </c>
      <c r="T231" s="478"/>
      <c r="U231" s="478"/>
      <c r="V231" s="478"/>
    </row>
    <row r="232" spans="1:22" s="468" customFormat="1" ht="30">
      <c r="A232" s="611"/>
      <c r="B232" s="611"/>
      <c r="C232" s="630">
        <v>4410</v>
      </c>
      <c r="D232" s="477" t="s">
        <v>430</v>
      </c>
      <c r="E232" s="529">
        <f t="shared" si="47"/>
        <v>1060</v>
      </c>
      <c r="F232" s="472">
        <f t="shared" si="48"/>
        <v>1060</v>
      </c>
      <c r="G232" s="472">
        <f t="shared" si="49"/>
        <v>1060</v>
      </c>
      <c r="H232" s="478">
        <v>1060</v>
      </c>
      <c r="I232" s="472">
        <f t="shared" si="50"/>
        <v>0</v>
      </c>
      <c r="J232" s="478"/>
      <c r="K232" s="478"/>
      <c r="L232" s="478"/>
      <c r="M232" s="478"/>
      <c r="N232" s="478"/>
      <c r="O232" s="478"/>
      <c r="P232" s="478"/>
      <c r="Q232" s="478"/>
      <c r="R232" s="478"/>
      <c r="S232" s="472">
        <f t="shared" si="52"/>
        <v>0</v>
      </c>
      <c r="T232" s="478"/>
      <c r="U232" s="478"/>
      <c r="V232" s="478"/>
    </row>
    <row r="233" spans="1:22" s="468" customFormat="1" ht="15.75">
      <c r="A233" s="611"/>
      <c r="B233" s="611"/>
      <c r="C233" s="630">
        <v>4430</v>
      </c>
      <c r="D233" s="477" t="s">
        <v>431</v>
      </c>
      <c r="E233" s="529">
        <f t="shared" si="47"/>
        <v>3870</v>
      </c>
      <c r="F233" s="472">
        <f t="shared" si="48"/>
        <v>3870</v>
      </c>
      <c r="G233" s="472">
        <f t="shared" si="49"/>
        <v>3870</v>
      </c>
      <c r="H233" s="478">
        <v>3870</v>
      </c>
      <c r="I233" s="472">
        <f t="shared" si="50"/>
        <v>0</v>
      </c>
      <c r="J233" s="478"/>
      <c r="K233" s="478"/>
      <c r="L233" s="478"/>
      <c r="M233" s="478"/>
      <c r="N233" s="478"/>
      <c r="O233" s="478"/>
      <c r="P233" s="478"/>
      <c r="Q233" s="478"/>
      <c r="R233" s="478"/>
      <c r="S233" s="472">
        <f t="shared" si="52"/>
        <v>0</v>
      </c>
      <c r="T233" s="478"/>
      <c r="U233" s="478"/>
      <c r="V233" s="478"/>
    </row>
    <row r="234" spans="1:22" s="468" customFormat="1" ht="45">
      <c r="A234" s="611"/>
      <c r="B234" s="611"/>
      <c r="C234" s="630">
        <v>4440</v>
      </c>
      <c r="D234" s="477" t="s">
        <v>432</v>
      </c>
      <c r="E234" s="529">
        <f t="shared" si="47"/>
        <v>26260</v>
      </c>
      <c r="F234" s="472">
        <f t="shared" si="48"/>
        <v>26260</v>
      </c>
      <c r="G234" s="472">
        <f t="shared" si="49"/>
        <v>26260</v>
      </c>
      <c r="H234" s="478">
        <v>26260</v>
      </c>
      <c r="I234" s="472">
        <f t="shared" si="50"/>
        <v>0</v>
      </c>
      <c r="J234" s="478"/>
      <c r="K234" s="478"/>
      <c r="L234" s="478"/>
      <c r="M234" s="478"/>
      <c r="N234" s="478"/>
      <c r="O234" s="478"/>
      <c r="P234" s="478"/>
      <c r="Q234" s="478"/>
      <c r="R234" s="478"/>
      <c r="S234" s="472">
        <f t="shared" si="52"/>
        <v>0</v>
      </c>
      <c r="T234" s="478"/>
      <c r="U234" s="478"/>
      <c r="V234" s="478"/>
    </row>
    <row r="235" spans="1:22" s="468" customFormat="1" ht="30">
      <c r="A235" s="611"/>
      <c r="B235" s="611"/>
      <c r="C235" s="630">
        <v>4510</v>
      </c>
      <c r="D235" s="477" t="s">
        <v>743</v>
      </c>
      <c r="E235" s="529">
        <f t="shared" si="47"/>
        <v>310</v>
      </c>
      <c r="F235" s="472">
        <f t="shared" si="48"/>
        <v>310</v>
      </c>
      <c r="G235" s="472">
        <f t="shared" si="49"/>
        <v>310</v>
      </c>
      <c r="H235" s="478">
        <v>310</v>
      </c>
      <c r="I235" s="472">
        <f t="shared" si="50"/>
        <v>0</v>
      </c>
      <c r="J235" s="478"/>
      <c r="K235" s="478"/>
      <c r="L235" s="478"/>
      <c r="M235" s="478"/>
      <c r="N235" s="478"/>
      <c r="O235" s="478"/>
      <c r="P235" s="478"/>
      <c r="Q235" s="478"/>
      <c r="R235" s="478"/>
      <c r="S235" s="472">
        <f t="shared" si="52"/>
        <v>0</v>
      </c>
      <c r="T235" s="478"/>
      <c r="U235" s="478"/>
      <c r="V235" s="478"/>
    </row>
    <row r="236" spans="1:22" s="468" customFormat="1" ht="49.5" customHeight="1">
      <c r="A236" s="611"/>
      <c r="B236" s="611"/>
      <c r="C236" s="630">
        <v>4700</v>
      </c>
      <c r="D236" s="477" t="s">
        <v>708</v>
      </c>
      <c r="E236" s="529">
        <f t="shared" si="47"/>
        <v>2000</v>
      </c>
      <c r="F236" s="472">
        <f t="shared" si="48"/>
        <v>2000</v>
      </c>
      <c r="G236" s="472">
        <f t="shared" si="49"/>
        <v>2000</v>
      </c>
      <c r="H236" s="478">
        <v>2000</v>
      </c>
      <c r="I236" s="472">
        <f t="shared" si="50"/>
        <v>0</v>
      </c>
      <c r="J236" s="478"/>
      <c r="K236" s="478"/>
      <c r="L236" s="478"/>
      <c r="M236" s="478"/>
      <c r="N236" s="478"/>
      <c r="O236" s="478"/>
      <c r="P236" s="478"/>
      <c r="Q236" s="478"/>
      <c r="R236" s="478"/>
      <c r="S236" s="472">
        <f t="shared" si="52"/>
        <v>0</v>
      </c>
      <c r="T236" s="478"/>
      <c r="U236" s="478"/>
      <c r="V236" s="478"/>
    </row>
    <row r="237" spans="1:22" s="468" customFormat="1" ht="60">
      <c r="A237" s="611"/>
      <c r="B237" s="611"/>
      <c r="C237" s="630">
        <v>4740</v>
      </c>
      <c r="D237" s="477" t="s">
        <v>521</v>
      </c>
      <c r="E237" s="529">
        <f t="shared" si="47"/>
        <v>1500</v>
      </c>
      <c r="F237" s="472">
        <f t="shared" si="48"/>
        <v>1500</v>
      </c>
      <c r="G237" s="472">
        <f t="shared" si="49"/>
        <v>1500</v>
      </c>
      <c r="H237" s="478">
        <v>1500</v>
      </c>
      <c r="I237" s="472">
        <f t="shared" si="50"/>
        <v>0</v>
      </c>
      <c r="J237" s="478"/>
      <c r="K237" s="478"/>
      <c r="L237" s="478"/>
      <c r="M237" s="478"/>
      <c r="N237" s="478"/>
      <c r="O237" s="478"/>
      <c r="P237" s="478"/>
      <c r="Q237" s="478"/>
      <c r="R237" s="478"/>
      <c r="S237" s="472">
        <f t="shared" si="52"/>
        <v>0</v>
      </c>
      <c r="T237" s="478"/>
      <c r="U237" s="478"/>
      <c r="V237" s="478"/>
    </row>
    <row r="238" spans="1:22" s="468" customFormat="1" ht="45">
      <c r="A238" s="611"/>
      <c r="B238" s="611"/>
      <c r="C238" s="630">
        <v>4750</v>
      </c>
      <c r="D238" s="477" t="s">
        <v>561</v>
      </c>
      <c r="E238" s="529">
        <f t="shared" si="47"/>
        <v>4000</v>
      </c>
      <c r="F238" s="472">
        <f t="shared" si="48"/>
        <v>4000</v>
      </c>
      <c r="G238" s="472">
        <f t="shared" si="49"/>
        <v>4000</v>
      </c>
      <c r="H238" s="478">
        <v>4000</v>
      </c>
      <c r="I238" s="472">
        <f t="shared" si="50"/>
        <v>0</v>
      </c>
      <c r="J238" s="478"/>
      <c r="K238" s="478"/>
      <c r="L238" s="478"/>
      <c r="M238" s="478"/>
      <c r="N238" s="478"/>
      <c r="O238" s="478"/>
      <c r="P238" s="478"/>
      <c r="Q238" s="478"/>
      <c r="R238" s="478"/>
      <c r="S238" s="472">
        <f t="shared" si="52"/>
        <v>0</v>
      </c>
      <c r="T238" s="478"/>
      <c r="U238" s="478"/>
      <c r="V238" s="478"/>
    </row>
    <row r="239" spans="1:22" s="476" customFormat="1" ht="90">
      <c r="A239" s="611"/>
      <c r="B239" s="612"/>
      <c r="C239" s="630">
        <v>6300</v>
      </c>
      <c r="D239" s="477" t="s">
        <v>126</v>
      </c>
      <c r="E239" s="529">
        <f t="shared" si="47"/>
        <v>175900</v>
      </c>
      <c r="F239" s="472">
        <f t="shared" si="48"/>
        <v>0</v>
      </c>
      <c r="G239" s="472">
        <f t="shared" si="49"/>
        <v>0</v>
      </c>
      <c r="H239" s="475"/>
      <c r="I239" s="472">
        <f t="shared" si="50"/>
        <v>0</v>
      </c>
      <c r="J239" s="475"/>
      <c r="K239" s="475"/>
      <c r="L239" s="475"/>
      <c r="M239" s="475"/>
      <c r="N239" s="475"/>
      <c r="O239" s="475"/>
      <c r="P239" s="475"/>
      <c r="Q239" s="475"/>
      <c r="R239" s="475"/>
      <c r="S239" s="472">
        <f t="shared" si="52"/>
        <v>175900</v>
      </c>
      <c r="T239" s="475">
        <v>175900</v>
      </c>
      <c r="U239" s="475"/>
      <c r="V239" s="475"/>
    </row>
    <row r="240" spans="1:22" s="476" customFormat="1" ht="31.5">
      <c r="A240" s="611"/>
      <c r="B240" s="612">
        <v>80120</v>
      </c>
      <c r="C240" s="629"/>
      <c r="D240" s="271" t="s">
        <v>562</v>
      </c>
      <c r="E240" s="529">
        <f t="shared" si="47"/>
        <v>2386360</v>
      </c>
      <c r="F240" s="472">
        <f t="shared" si="48"/>
        <v>2386360</v>
      </c>
      <c r="G240" s="472">
        <f t="shared" si="49"/>
        <v>2319420</v>
      </c>
      <c r="H240" s="475">
        <f>SUM(H241:H251)</f>
        <v>141800</v>
      </c>
      <c r="I240" s="472">
        <f t="shared" si="50"/>
        <v>2177620</v>
      </c>
      <c r="J240" s="475">
        <f>SUM(J241:J251)</f>
        <v>1717520</v>
      </c>
      <c r="K240" s="475">
        <f aca="true" t="shared" si="55" ref="K240:R240">SUM(K241:K251)</f>
        <v>127670</v>
      </c>
      <c r="L240" s="475">
        <f t="shared" si="55"/>
        <v>332430</v>
      </c>
      <c r="M240" s="475">
        <f t="shared" si="55"/>
        <v>0</v>
      </c>
      <c r="N240" s="475">
        <f t="shared" si="55"/>
        <v>66940</v>
      </c>
      <c r="O240" s="475">
        <f t="shared" si="55"/>
        <v>0</v>
      </c>
      <c r="P240" s="475">
        <f>SUM(P241:P251)</f>
        <v>0</v>
      </c>
      <c r="Q240" s="475">
        <f t="shared" si="55"/>
        <v>0</v>
      </c>
      <c r="R240" s="475">
        <f t="shared" si="55"/>
        <v>0</v>
      </c>
      <c r="S240" s="472">
        <f t="shared" si="52"/>
        <v>0</v>
      </c>
      <c r="T240" s="475">
        <f>SUM(T241:T251)</f>
        <v>0</v>
      </c>
      <c r="U240" s="475">
        <f>SUM(U241:U251)</f>
        <v>0</v>
      </c>
      <c r="V240" s="475">
        <f>SUM(V241:V251)</f>
        <v>0</v>
      </c>
    </row>
    <row r="241" spans="1:22" s="468" customFormat="1" ht="105" customHeight="1">
      <c r="A241" s="611"/>
      <c r="B241" s="611"/>
      <c r="C241" s="630">
        <v>2540</v>
      </c>
      <c r="D241" s="477" t="s">
        <v>563</v>
      </c>
      <c r="E241" s="529">
        <f t="shared" si="47"/>
        <v>0</v>
      </c>
      <c r="F241" s="472">
        <f t="shared" si="48"/>
        <v>0</v>
      </c>
      <c r="G241" s="472">
        <f t="shared" si="49"/>
        <v>0</v>
      </c>
      <c r="H241" s="478"/>
      <c r="I241" s="472">
        <f t="shared" si="50"/>
        <v>0</v>
      </c>
      <c r="J241" s="478"/>
      <c r="K241" s="478"/>
      <c r="L241" s="478"/>
      <c r="M241" s="478"/>
      <c r="N241" s="478"/>
      <c r="O241" s="478"/>
      <c r="P241" s="478"/>
      <c r="Q241" s="478"/>
      <c r="R241" s="478"/>
      <c r="S241" s="472">
        <f t="shared" si="52"/>
        <v>0</v>
      </c>
      <c r="T241" s="478"/>
      <c r="U241" s="478"/>
      <c r="V241" s="478"/>
    </row>
    <row r="242" spans="1:22" s="468" customFormat="1" ht="45">
      <c r="A242" s="611"/>
      <c r="B242" s="611"/>
      <c r="C242" s="630">
        <v>3020</v>
      </c>
      <c r="D242" s="477" t="s">
        <v>709</v>
      </c>
      <c r="E242" s="529">
        <f t="shared" si="47"/>
        <v>66940</v>
      </c>
      <c r="F242" s="472">
        <f t="shared" si="48"/>
        <v>66940</v>
      </c>
      <c r="G242" s="472">
        <f t="shared" si="49"/>
        <v>0</v>
      </c>
      <c r="H242" s="478"/>
      <c r="I242" s="472">
        <f t="shared" si="50"/>
        <v>0</v>
      </c>
      <c r="J242" s="478"/>
      <c r="K242" s="478"/>
      <c r="L242" s="478"/>
      <c r="M242" s="478"/>
      <c r="N242" s="478">
        <v>66940</v>
      </c>
      <c r="O242" s="478"/>
      <c r="P242" s="478"/>
      <c r="Q242" s="478"/>
      <c r="R242" s="478"/>
      <c r="S242" s="472">
        <f t="shared" si="52"/>
        <v>0</v>
      </c>
      <c r="T242" s="478"/>
      <c r="U242" s="478"/>
      <c r="V242" s="478"/>
    </row>
    <row r="243" spans="1:22" s="468" customFormat="1" ht="57.75" customHeight="1">
      <c r="A243" s="611"/>
      <c r="B243" s="611"/>
      <c r="C243" s="630">
        <v>4010</v>
      </c>
      <c r="D243" s="477" t="s">
        <v>417</v>
      </c>
      <c r="E243" s="529">
        <f t="shared" si="47"/>
        <v>1717520</v>
      </c>
      <c r="F243" s="472">
        <f t="shared" si="48"/>
        <v>1717520</v>
      </c>
      <c r="G243" s="472">
        <f t="shared" si="49"/>
        <v>1717520</v>
      </c>
      <c r="H243" s="478"/>
      <c r="I243" s="472">
        <f t="shared" si="50"/>
        <v>1717520</v>
      </c>
      <c r="J243" s="478">
        <v>1717520</v>
      </c>
      <c r="K243" s="478"/>
      <c r="L243" s="478"/>
      <c r="M243" s="478"/>
      <c r="N243" s="478"/>
      <c r="O243" s="478"/>
      <c r="P243" s="478"/>
      <c r="Q243" s="478"/>
      <c r="R243" s="478"/>
      <c r="S243" s="472">
        <f t="shared" si="52"/>
        <v>0</v>
      </c>
      <c r="T243" s="478"/>
      <c r="U243" s="478"/>
      <c r="V243" s="478"/>
    </row>
    <row r="244" spans="1:22" s="468" customFormat="1" ht="44.25" customHeight="1">
      <c r="A244" s="611"/>
      <c r="B244" s="611"/>
      <c r="C244" s="630">
        <v>4040</v>
      </c>
      <c r="D244" s="477" t="s">
        <v>418</v>
      </c>
      <c r="E244" s="529">
        <f t="shared" si="47"/>
        <v>127670</v>
      </c>
      <c r="F244" s="472">
        <f t="shared" si="48"/>
        <v>127670</v>
      </c>
      <c r="G244" s="472">
        <f t="shared" si="49"/>
        <v>127670</v>
      </c>
      <c r="H244" s="478"/>
      <c r="I244" s="472">
        <f t="shared" si="50"/>
        <v>127670</v>
      </c>
      <c r="J244" s="478"/>
      <c r="K244" s="478">
        <v>127670</v>
      </c>
      <c r="L244" s="478"/>
      <c r="M244" s="478"/>
      <c r="N244" s="478"/>
      <c r="O244" s="478"/>
      <c r="P244" s="478"/>
      <c r="Q244" s="478"/>
      <c r="R244" s="478"/>
      <c r="S244" s="472">
        <f t="shared" si="52"/>
        <v>0</v>
      </c>
      <c r="T244" s="478"/>
      <c r="U244" s="478"/>
      <c r="V244" s="478"/>
    </row>
    <row r="245" spans="1:22" s="468" customFormat="1" ht="45">
      <c r="A245" s="611"/>
      <c r="B245" s="611"/>
      <c r="C245" s="630">
        <v>4110</v>
      </c>
      <c r="D245" s="477" t="s">
        <v>556</v>
      </c>
      <c r="E245" s="529">
        <f t="shared" si="47"/>
        <v>286860</v>
      </c>
      <c r="F245" s="472">
        <f t="shared" si="48"/>
        <v>286860</v>
      </c>
      <c r="G245" s="472">
        <f t="shared" si="49"/>
        <v>286860</v>
      </c>
      <c r="H245" s="478"/>
      <c r="I245" s="472">
        <f t="shared" si="50"/>
        <v>286860</v>
      </c>
      <c r="J245" s="478"/>
      <c r="K245" s="478"/>
      <c r="L245" s="478">
        <v>286860</v>
      </c>
      <c r="M245" s="478"/>
      <c r="N245" s="478"/>
      <c r="O245" s="478"/>
      <c r="P245" s="478"/>
      <c r="Q245" s="478"/>
      <c r="R245" s="478"/>
      <c r="S245" s="472">
        <f t="shared" si="52"/>
        <v>0</v>
      </c>
      <c r="T245" s="478"/>
      <c r="U245" s="478"/>
      <c r="V245" s="478"/>
    </row>
    <row r="246" spans="1:22" s="468" customFormat="1" ht="30">
      <c r="A246" s="611"/>
      <c r="B246" s="611"/>
      <c r="C246" s="630">
        <v>4120</v>
      </c>
      <c r="D246" s="477" t="s">
        <v>420</v>
      </c>
      <c r="E246" s="529">
        <f t="shared" si="47"/>
        <v>45570</v>
      </c>
      <c r="F246" s="472">
        <f t="shared" si="48"/>
        <v>45570</v>
      </c>
      <c r="G246" s="472">
        <f t="shared" si="49"/>
        <v>45570</v>
      </c>
      <c r="H246" s="478"/>
      <c r="I246" s="472">
        <f t="shared" si="50"/>
        <v>45570</v>
      </c>
      <c r="J246" s="478"/>
      <c r="K246" s="478"/>
      <c r="L246" s="478">
        <v>45570</v>
      </c>
      <c r="M246" s="478"/>
      <c r="N246" s="478"/>
      <c r="O246" s="478"/>
      <c r="P246" s="478"/>
      <c r="Q246" s="478"/>
      <c r="R246" s="478"/>
      <c r="S246" s="472">
        <f t="shared" si="52"/>
        <v>0</v>
      </c>
      <c r="T246" s="478"/>
      <c r="U246" s="478"/>
      <c r="V246" s="478"/>
    </row>
    <row r="247" spans="1:22" s="468" customFormat="1" ht="30">
      <c r="A247" s="611"/>
      <c r="B247" s="611"/>
      <c r="C247" s="630">
        <v>4210</v>
      </c>
      <c r="D247" s="477" t="s">
        <v>422</v>
      </c>
      <c r="E247" s="529">
        <f t="shared" si="47"/>
        <v>10300</v>
      </c>
      <c r="F247" s="472">
        <f t="shared" si="48"/>
        <v>10300</v>
      </c>
      <c r="G247" s="472">
        <f t="shared" si="49"/>
        <v>10300</v>
      </c>
      <c r="H247" s="478">
        <v>10300</v>
      </c>
      <c r="I247" s="472">
        <f t="shared" si="50"/>
        <v>0</v>
      </c>
      <c r="J247" s="478"/>
      <c r="K247" s="478"/>
      <c r="L247" s="478"/>
      <c r="M247" s="478"/>
      <c r="N247" s="478"/>
      <c r="O247" s="478"/>
      <c r="P247" s="478"/>
      <c r="Q247" s="478"/>
      <c r="R247" s="478"/>
      <c r="S247" s="472">
        <f t="shared" si="52"/>
        <v>0</v>
      </c>
      <c r="T247" s="478"/>
      <c r="U247" s="478"/>
      <c r="V247" s="478"/>
    </row>
    <row r="248" spans="1:22" s="468" customFormat="1" ht="45" customHeight="1" hidden="1">
      <c r="A248" s="611"/>
      <c r="B248" s="611"/>
      <c r="C248" s="630">
        <v>4240</v>
      </c>
      <c r="D248" s="477" t="s">
        <v>559</v>
      </c>
      <c r="E248" s="529">
        <f t="shared" si="47"/>
        <v>0</v>
      </c>
      <c r="F248" s="472">
        <f t="shared" si="48"/>
        <v>0</v>
      </c>
      <c r="G248" s="472">
        <f t="shared" si="49"/>
        <v>0</v>
      </c>
      <c r="H248" s="478">
        <v>0</v>
      </c>
      <c r="I248" s="472">
        <f t="shared" si="50"/>
        <v>0</v>
      </c>
      <c r="J248" s="478"/>
      <c r="K248" s="478"/>
      <c r="L248" s="478"/>
      <c r="M248" s="478"/>
      <c r="N248" s="478"/>
      <c r="O248" s="478"/>
      <c r="P248" s="478"/>
      <c r="Q248" s="478"/>
      <c r="R248" s="478"/>
      <c r="S248" s="472">
        <f t="shared" si="52"/>
        <v>0</v>
      </c>
      <c r="T248" s="478"/>
      <c r="U248" s="478"/>
      <c r="V248" s="478"/>
    </row>
    <row r="249" spans="1:22" s="468" customFormat="1" ht="15.75">
      <c r="A249" s="611"/>
      <c r="B249" s="611"/>
      <c r="C249" s="630">
        <v>4260</v>
      </c>
      <c r="D249" s="477" t="s">
        <v>423</v>
      </c>
      <c r="E249" s="529">
        <f t="shared" si="47"/>
        <v>5720</v>
      </c>
      <c r="F249" s="472">
        <f t="shared" si="48"/>
        <v>5720</v>
      </c>
      <c r="G249" s="472">
        <f t="shared" si="49"/>
        <v>5720</v>
      </c>
      <c r="H249" s="478">
        <v>5720</v>
      </c>
      <c r="I249" s="472">
        <f t="shared" si="50"/>
        <v>0</v>
      </c>
      <c r="J249" s="478"/>
      <c r="K249" s="478"/>
      <c r="L249" s="478"/>
      <c r="M249" s="478"/>
      <c r="N249" s="478"/>
      <c r="O249" s="478"/>
      <c r="P249" s="478"/>
      <c r="Q249" s="478"/>
      <c r="R249" s="478"/>
      <c r="S249" s="472">
        <f t="shared" si="52"/>
        <v>0</v>
      </c>
      <c r="T249" s="478"/>
      <c r="U249" s="478"/>
      <c r="V249" s="478"/>
    </row>
    <row r="250" spans="1:22" s="468" customFormat="1" ht="30">
      <c r="A250" s="611"/>
      <c r="B250" s="611"/>
      <c r="C250" s="630">
        <v>4300</v>
      </c>
      <c r="D250" s="477" t="s">
        <v>405</v>
      </c>
      <c r="E250" s="529">
        <f t="shared" si="47"/>
        <v>21600</v>
      </c>
      <c r="F250" s="472">
        <f t="shared" si="48"/>
        <v>21600</v>
      </c>
      <c r="G250" s="472">
        <f t="shared" si="49"/>
        <v>21600</v>
      </c>
      <c r="H250" s="478">
        <v>21600</v>
      </c>
      <c r="I250" s="472">
        <f t="shared" si="50"/>
        <v>0</v>
      </c>
      <c r="J250" s="478"/>
      <c r="K250" s="478"/>
      <c r="L250" s="478"/>
      <c r="M250" s="478"/>
      <c r="N250" s="478"/>
      <c r="O250" s="478"/>
      <c r="P250" s="478"/>
      <c r="Q250" s="478"/>
      <c r="R250" s="478"/>
      <c r="S250" s="472">
        <f t="shared" si="52"/>
        <v>0</v>
      </c>
      <c r="T250" s="478"/>
      <c r="U250" s="478"/>
      <c r="V250" s="478"/>
    </row>
    <row r="251" spans="1:22" s="468" customFormat="1" ht="44.25" customHeight="1">
      <c r="A251" s="611"/>
      <c r="B251" s="611"/>
      <c r="C251" s="630">
        <v>4440</v>
      </c>
      <c r="D251" s="477" t="s">
        <v>432</v>
      </c>
      <c r="E251" s="529">
        <f t="shared" si="47"/>
        <v>104180</v>
      </c>
      <c r="F251" s="472">
        <f t="shared" si="48"/>
        <v>104180</v>
      </c>
      <c r="G251" s="472">
        <f t="shared" si="49"/>
        <v>104180</v>
      </c>
      <c r="H251" s="478">
        <v>104180</v>
      </c>
      <c r="I251" s="472">
        <f t="shared" si="50"/>
        <v>0</v>
      </c>
      <c r="J251" s="478"/>
      <c r="K251" s="478"/>
      <c r="L251" s="478"/>
      <c r="M251" s="478"/>
      <c r="N251" s="478"/>
      <c r="O251" s="478"/>
      <c r="P251" s="478"/>
      <c r="Q251" s="478"/>
      <c r="R251" s="478"/>
      <c r="S251" s="472">
        <f t="shared" si="52"/>
        <v>0</v>
      </c>
      <c r="T251" s="478"/>
      <c r="U251" s="478"/>
      <c r="V251" s="478"/>
    </row>
    <row r="252" spans="1:22" s="476" customFormat="1" ht="15.75">
      <c r="A252" s="620"/>
      <c r="B252" s="612">
        <v>80130</v>
      </c>
      <c r="C252" s="629"/>
      <c r="D252" s="271" t="s">
        <v>564</v>
      </c>
      <c r="E252" s="529">
        <f t="shared" si="47"/>
        <v>7719386</v>
      </c>
      <c r="F252" s="472">
        <f t="shared" si="48"/>
        <v>7279386</v>
      </c>
      <c r="G252" s="472">
        <f t="shared" si="49"/>
        <v>6977896</v>
      </c>
      <c r="H252" s="475">
        <f>SUM(H253:H283)</f>
        <v>1378650</v>
      </c>
      <c r="I252" s="472">
        <f t="shared" si="50"/>
        <v>5599246</v>
      </c>
      <c r="J252" s="475">
        <f aca="true" t="shared" si="56" ref="J252:R252">SUM(J253:J283)</f>
        <v>4356330</v>
      </c>
      <c r="K252" s="475">
        <f t="shared" si="56"/>
        <v>315556</v>
      </c>
      <c r="L252" s="475">
        <f t="shared" si="56"/>
        <v>836930</v>
      </c>
      <c r="M252" s="475">
        <f t="shared" si="56"/>
        <v>90430</v>
      </c>
      <c r="N252" s="475">
        <f t="shared" si="56"/>
        <v>261490</v>
      </c>
      <c r="O252" s="475">
        <f t="shared" si="56"/>
        <v>40000</v>
      </c>
      <c r="P252" s="475">
        <f>SUM(P253:P283)</f>
        <v>0</v>
      </c>
      <c r="Q252" s="475">
        <f t="shared" si="56"/>
        <v>0</v>
      </c>
      <c r="R252" s="475">
        <f t="shared" si="56"/>
        <v>0</v>
      </c>
      <c r="S252" s="472">
        <f t="shared" si="52"/>
        <v>440000</v>
      </c>
      <c r="T252" s="475">
        <f>SUM(T253:T283)</f>
        <v>440000</v>
      </c>
      <c r="U252" s="475">
        <f>SUM(U253:U283)</f>
        <v>0</v>
      </c>
      <c r="V252" s="475">
        <f>SUM(V253:V283)</f>
        <v>0</v>
      </c>
    </row>
    <row r="253" spans="1:22" s="468" customFormat="1" ht="161.25" customHeight="1">
      <c r="A253" s="621"/>
      <c r="B253" s="611"/>
      <c r="C253" s="630">
        <v>2330</v>
      </c>
      <c r="D253" s="477" t="s">
        <v>428</v>
      </c>
      <c r="E253" s="529">
        <f t="shared" si="47"/>
        <v>30000</v>
      </c>
      <c r="F253" s="472">
        <f t="shared" si="48"/>
        <v>30000</v>
      </c>
      <c r="G253" s="472">
        <f t="shared" si="49"/>
        <v>0</v>
      </c>
      <c r="H253" s="478"/>
      <c r="I253" s="472">
        <f t="shared" si="50"/>
        <v>0</v>
      </c>
      <c r="J253" s="478"/>
      <c r="K253" s="478"/>
      <c r="L253" s="478"/>
      <c r="M253" s="478"/>
      <c r="N253" s="478"/>
      <c r="O253" s="478">
        <v>30000</v>
      </c>
      <c r="P253" s="478"/>
      <c r="Q253" s="478"/>
      <c r="R253" s="478"/>
      <c r="S253" s="472">
        <f t="shared" si="52"/>
        <v>0</v>
      </c>
      <c r="T253" s="478"/>
      <c r="U253" s="478"/>
      <c r="V253" s="478"/>
    </row>
    <row r="254" spans="1:22" s="468" customFormat="1" ht="132.75" customHeight="1">
      <c r="A254" s="621"/>
      <c r="B254" s="611"/>
      <c r="C254" s="635">
        <v>2320</v>
      </c>
      <c r="D254" s="485" t="s">
        <v>823</v>
      </c>
      <c r="E254" s="529">
        <f t="shared" si="47"/>
        <v>10000</v>
      </c>
      <c r="F254" s="472">
        <f t="shared" si="48"/>
        <v>10000</v>
      </c>
      <c r="G254" s="472">
        <f t="shared" si="49"/>
        <v>0</v>
      </c>
      <c r="H254" s="478"/>
      <c r="I254" s="472">
        <f t="shared" si="50"/>
        <v>0</v>
      </c>
      <c r="J254" s="478"/>
      <c r="K254" s="478"/>
      <c r="L254" s="478"/>
      <c r="M254" s="478"/>
      <c r="N254" s="478"/>
      <c r="O254" s="478">
        <v>10000</v>
      </c>
      <c r="P254" s="478"/>
      <c r="Q254" s="478"/>
      <c r="R254" s="478"/>
      <c r="S254" s="472">
        <f t="shared" si="52"/>
        <v>0</v>
      </c>
      <c r="T254" s="478"/>
      <c r="U254" s="478"/>
      <c r="V254" s="478"/>
    </row>
    <row r="255" spans="1:22" s="468" customFormat="1" ht="45">
      <c r="A255" s="621"/>
      <c r="B255" s="611"/>
      <c r="C255" s="630">
        <v>3020</v>
      </c>
      <c r="D255" s="477" t="s">
        <v>709</v>
      </c>
      <c r="E255" s="529">
        <f t="shared" si="47"/>
        <v>261490</v>
      </c>
      <c r="F255" s="472">
        <f t="shared" si="48"/>
        <v>261490</v>
      </c>
      <c r="G255" s="472">
        <f t="shared" si="49"/>
        <v>0</v>
      </c>
      <c r="H255" s="478"/>
      <c r="I255" s="472">
        <f t="shared" si="50"/>
        <v>0</v>
      </c>
      <c r="J255" s="478"/>
      <c r="K255" s="478"/>
      <c r="L255" s="478"/>
      <c r="M255" s="478"/>
      <c r="N255" s="478">
        <v>261490</v>
      </c>
      <c r="O255" s="478"/>
      <c r="P255" s="478"/>
      <c r="Q255" s="478"/>
      <c r="R255" s="478"/>
      <c r="S255" s="472">
        <f t="shared" si="52"/>
        <v>0</v>
      </c>
      <c r="T255" s="478"/>
      <c r="U255" s="478"/>
      <c r="V255" s="478"/>
    </row>
    <row r="256" spans="1:22" s="468" customFormat="1" ht="30">
      <c r="A256" s="621"/>
      <c r="B256" s="611"/>
      <c r="C256" s="630">
        <v>4010</v>
      </c>
      <c r="D256" s="477" t="s">
        <v>417</v>
      </c>
      <c r="E256" s="529">
        <f t="shared" si="47"/>
        <v>4356330</v>
      </c>
      <c r="F256" s="472">
        <f t="shared" si="48"/>
        <v>4356330</v>
      </c>
      <c r="G256" s="472">
        <f t="shared" si="49"/>
        <v>4356330</v>
      </c>
      <c r="H256" s="478"/>
      <c r="I256" s="472">
        <f t="shared" si="50"/>
        <v>4356330</v>
      </c>
      <c r="J256" s="478">
        <v>4356330</v>
      </c>
      <c r="K256" s="478"/>
      <c r="L256" s="478"/>
      <c r="M256" s="478"/>
      <c r="N256" s="478"/>
      <c r="O256" s="478"/>
      <c r="P256" s="478"/>
      <c r="Q256" s="478"/>
      <c r="R256" s="478"/>
      <c r="S256" s="472">
        <f t="shared" si="52"/>
        <v>0</v>
      </c>
      <c r="T256" s="478"/>
      <c r="U256" s="478"/>
      <c r="V256" s="478"/>
    </row>
    <row r="257" spans="1:22" s="468" customFormat="1" ht="30">
      <c r="A257" s="621"/>
      <c r="B257" s="611"/>
      <c r="C257" s="630">
        <v>4040</v>
      </c>
      <c r="D257" s="477" t="s">
        <v>418</v>
      </c>
      <c r="E257" s="529">
        <f t="shared" si="47"/>
        <v>315556</v>
      </c>
      <c r="F257" s="472">
        <f t="shared" si="48"/>
        <v>315556</v>
      </c>
      <c r="G257" s="472">
        <f t="shared" si="49"/>
        <v>315556</v>
      </c>
      <c r="H257" s="478"/>
      <c r="I257" s="472">
        <f t="shared" si="50"/>
        <v>315556</v>
      </c>
      <c r="J257" s="478"/>
      <c r="K257" s="478">
        <v>315556</v>
      </c>
      <c r="L257" s="478"/>
      <c r="M257" s="478"/>
      <c r="N257" s="478"/>
      <c r="O257" s="478"/>
      <c r="P257" s="478"/>
      <c r="Q257" s="478"/>
      <c r="R257" s="478"/>
      <c r="S257" s="472">
        <f t="shared" si="52"/>
        <v>0</v>
      </c>
      <c r="T257" s="478"/>
      <c r="U257" s="478"/>
      <c r="V257" s="478"/>
    </row>
    <row r="258" spans="1:22" s="468" customFormat="1" ht="63.75" customHeight="1">
      <c r="A258" s="621"/>
      <c r="B258" s="611"/>
      <c r="C258" s="630">
        <v>4110</v>
      </c>
      <c r="D258" s="477" t="s">
        <v>556</v>
      </c>
      <c r="E258" s="529">
        <f t="shared" si="47"/>
        <v>721120</v>
      </c>
      <c r="F258" s="472">
        <f t="shared" si="48"/>
        <v>721120</v>
      </c>
      <c r="G258" s="472">
        <f t="shared" si="49"/>
        <v>721120</v>
      </c>
      <c r="H258" s="478"/>
      <c r="I258" s="472">
        <f t="shared" si="50"/>
        <v>721120</v>
      </c>
      <c r="J258" s="478"/>
      <c r="K258" s="478"/>
      <c r="L258" s="478">
        <v>721120</v>
      </c>
      <c r="M258" s="478"/>
      <c r="N258" s="478"/>
      <c r="O258" s="478"/>
      <c r="P258" s="478"/>
      <c r="Q258" s="478"/>
      <c r="R258" s="478"/>
      <c r="S258" s="472">
        <f t="shared" si="52"/>
        <v>0</v>
      </c>
      <c r="T258" s="478"/>
      <c r="U258" s="478"/>
      <c r="V258" s="478"/>
    </row>
    <row r="259" spans="1:22" s="468" customFormat="1" ht="30">
      <c r="A259" s="621"/>
      <c r="B259" s="611"/>
      <c r="C259" s="630">
        <v>4120</v>
      </c>
      <c r="D259" s="477" t="s">
        <v>420</v>
      </c>
      <c r="E259" s="529">
        <f t="shared" si="47"/>
        <v>115810</v>
      </c>
      <c r="F259" s="472">
        <f t="shared" si="48"/>
        <v>115810</v>
      </c>
      <c r="G259" s="472">
        <f t="shared" si="49"/>
        <v>115810</v>
      </c>
      <c r="H259" s="478"/>
      <c r="I259" s="472">
        <f t="shared" si="50"/>
        <v>115810</v>
      </c>
      <c r="J259" s="478"/>
      <c r="K259" s="478"/>
      <c r="L259" s="478">
        <v>115810</v>
      </c>
      <c r="M259" s="478"/>
      <c r="N259" s="478"/>
      <c r="O259" s="478"/>
      <c r="P259" s="478"/>
      <c r="Q259" s="478"/>
      <c r="R259" s="478"/>
      <c r="S259" s="472">
        <f t="shared" si="52"/>
        <v>0</v>
      </c>
      <c r="T259" s="478"/>
      <c r="U259" s="478"/>
      <c r="V259" s="478"/>
    </row>
    <row r="260" spans="1:22" s="468" customFormat="1" ht="15.75">
      <c r="A260" s="621"/>
      <c r="B260" s="611"/>
      <c r="C260" s="630">
        <v>4140</v>
      </c>
      <c r="D260" s="477" t="s">
        <v>565</v>
      </c>
      <c r="E260" s="529">
        <f t="shared" si="47"/>
        <v>2000</v>
      </c>
      <c r="F260" s="472">
        <f t="shared" si="48"/>
        <v>2000</v>
      </c>
      <c r="G260" s="472">
        <f t="shared" si="49"/>
        <v>2000</v>
      </c>
      <c r="H260" s="478">
        <v>2000</v>
      </c>
      <c r="I260" s="472">
        <f t="shared" si="50"/>
        <v>0</v>
      </c>
      <c r="J260" s="478"/>
      <c r="K260" s="478"/>
      <c r="L260" s="478"/>
      <c r="M260" s="478"/>
      <c r="N260" s="478"/>
      <c r="O260" s="478"/>
      <c r="P260" s="478"/>
      <c r="Q260" s="478"/>
      <c r="R260" s="478"/>
      <c r="S260" s="472">
        <f t="shared" si="52"/>
        <v>0</v>
      </c>
      <c r="T260" s="478"/>
      <c r="U260" s="478"/>
      <c r="V260" s="478"/>
    </row>
    <row r="261" spans="1:22" s="468" customFormat="1" ht="39.75" customHeight="1">
      <c r="A261" s="621"/>
      <c r="B261" s="611"/>
      <c r="C261" s="630">
        <v>4170</v>
      </c>
      <c r="D261" s="477" t="s">
        <v>518</v>
      </c>
      <c r="E261" s="529">
        <f t="shared" si="47"/>
        <v>90430</v>
      </c>
      <c r="F261" s="472">
        <f t="shared" si="48"/>
        <v>90430</v>
      </c>
      <c r="G261" s="472">
        <f t="shared" si="49"/>
        <v>90430</v>
      </c>
      <c r="H261" s="478"/>
      <c r="I261" s="472">
        <f t="shared" si="50"/>
        <v>90430</v>
      </c>
      <c r="J261" s="478"/>
      <c r="K261" s="478"/>
      <c r="L261" s="478"/>
      <c r="M261" s="478">
        <v>90430</v>
      </c>
      <c r="N261" s="478"/>
      <c r="O261" s="478"/>
      <c r="P261" s="478"/>
      <c r="Q261" s="478"/>
      <c r="R261" s="478"/>
      <c r="S261" s="472">
        <f t="shared" si="52"/>
        <v>0</v>
      </c>
      <c r="T261" s="478"/>
      <c r="U261" s="478"/>
      <c r="V261" s="478"/>
    </row>
    <row r="262" spans="1:22" s="468" customFormat="1" ht="30">
      <c r="A262" s="621"/>
      <c r="B262" s="611"/>
      <c r="C262" s="630">
        <v>4210</v>
      </c>
      <c r="D262" s="477" t="s">
        <v>422</v>
      </c>
      <c r="E262" s="529">
        <f t="shared" si="47"/>
        <v>409500</v>
      </c>
      <c r="F262" s="472">
        <f t="shared" si="48"/>
        <v>409500</v>
      </c>
      <c r="G262" s="472">
        <f t="shared" si="49"/>
        <v>409500</v>
      </c>
      <c r="H262" s="478">
        <v>409500</v>
      </c>
      <c r="I262" s="472">
        <f t="shared" si="50"/>
        <v>0</v>
      </c>
      <c r="J262" s="478"/>
      <c r="K262" s="478"/>
      <c r="L262" s="478"/>
      <c r="M262" s="478"/>
      <c r="N262" s="478"/>
      <c r="O262" s="478"/>
      <c r="P262" s="478"/>
      <c r="Q262" s="478"/>
      <c r="R262" s="478"/>
      <c r="S262" s="472">
        <f t="shared" si="52"/>
        <v>0</v>
      </c>
      <c r="T262" s="478"/>
      <c r="U262" s="478"/>
      <c r="V262" s="478"/>
    </row>
    <row r="263" spans="1:22" s="468" customFormat="1" ht="45" customHeight="1" hidden="1">
      <c r="A263" s="621"/>
      <c r="B263" s="611"/>
      <c r="C263" s="630">
        <v>4240</v>
      </c>
      <c r="D263" s="477" t="s">
        <v>566</v>
      </c>
      <c r="E263" s="529">
        <f t="shared" si="47"/>
        <v>0</v>
      </c>
      <c r="F263" s="472">
        <f t="shared" si="48"/>
        <v>0</v>
      </c>
      <c r="G263" s="472">
        <f t="shared" si="49"/>
        <v>0</v>
      </c>
      <c r="H263" s="478"/>
      <c r="I263" s="472">
        <f t="shared" si="50"/>
        <v>0</v>
      </c>
      <c r="J263" s="478"/>
      <c r="K263" s="478"/>
      <c r="L263" s="478"/>
      <c r="M263" s="478"/>
      <c r="N263" s="478"/>
      <c r="O263" s="478"/>
      <c r="P263" s="478"/>
      <c r="Q263" s="478"/>
      <c r="R263" s="478"/>
      <c r="S263" s="472">
        <f t="shared" si="52"/>
        <v>0</v>
      </c>
      <c r="T263" s="478"/>
      <c r="U263" s="478"/>
      <c r="V263" s="478"/>
    </row>
    <row r="264" spans="1:22" s="468" customFormat="1" ht="15.75">
      <c r="A264" s="621"/>
      <c r="B264" s="611"/>
      <c r="C264" s="630">
        <v>4260</v>
      </c>
      <c r="D264" s="477" t="s">
        <v>423</v>
      </c>
      <c r="E264" s="529">
        <f t="shared" si="47"/>
        <v>210550</v>
      </c>
      <c r="F264" s="472">
        <f t="shared" si="48"/>
        <v>210550</v>
      </c>
      <c r="G264" s="472">
        <f t="shared" si="49"/>
        <v>210550</v>
      </c>
      <c r="H264" s="478">
        <v>210550</v>
      </c>
      <c r="I264" s="472">
        <f t="shared" si="50"/>
        <v>0</v>
      </c>
      <c r="J264" s="478"/>
      <c r="K264" s="478"/>
      <c r="L264" s="478"/>
      <c r="M264" s="478"/>
      <c r="N264" s="478"/>
      <c r="O264" s="478"/>
      <c r="P264" s="478"/>
      <c r="Q264" s="478"/>
      <c r="R264" s="478"/>
      <c r="S264" s="472">
        <f t="shared" si="52"/>
        <v>0</v>
      </c>
      <c r="T264" s="478"/>
      <c r="U264" s="478"/>
      <c r="V264" s="478"/>
    </row>
    <row r="265" spans="1:22" s="468" customFormat="1" ht="30">
      <c r="A265" s="621"/>
      <c r="B265" s="611"/>
      <c r="C265" s="630">
        <v>4270</v>
      </c>
      <c r="D265" s="477" t="s">
        <v>424</v>
      </c>
      <c r="E265" s="529">
        <f t="shared" si="47"/>
        <v>213910</v>
      </c>
      <c r="F265" s="472">
        <f t="shared" si="48"/>
        <v>213910</v>
      </c>
      <c r="G265" s="472">
        <f t="shared" si="49"/>
        <v>213910</v>
      </c>
      <c r="H265" s="478">
        <v>213910</v>
      </c>
      <c r="I265" s="472">
        <f t="shared" si="50"/>
        <v>0</v>
      </c>
      <c r="J265" s="478"/>
      <c r="K265" s="478"/>
      <c r="L265" s="478"/>
      <c r="M265" s="478"/>
      <c r="N265" s="478"/>
      <c r="O265" s="478"/>
      <c r="P265" s="478"/>
      <c r="Q265" s="478"/>
      <c r="R265" s="478"/>
      <c r="S265" s="472">
        <f t="shared" si="52"/>
        <v>0</v>
      </c>
      <c r="T265" s="478"/>
      <c r="U265" s="478"/>
      <c r="V265" s="478"/>
    </row>
    <row r="266" spans="1:22" s="468" customFormat="1" ht="30" customHeight="1">
      <c r="A266" s="621"/>
      <c r="B266" s="611"/>
      <c r="C266" s="630">
        <v>4280</v>
      </c>
      <c r="D266" s="477" t="s">
        <v>425</v>
      </c>
      <c r="E266" s="529">
        <f t="shared" si="47"/>
        <v>8050</v>
      </c>
      <c r="F266" s="472">
        <f t="shared" si="48"/>
        <v>8050</v>
      </c>
      <c r="G266" s="472">
        <f t="shared" si="49"/>
        <v>8050</v>
      </c>
      <c r="H266" s="478">
        <v>8050</v>
      </c>
      <c r="I266" s="472">
        <f t="shared" si="50"/>
        <v>0</v>
      </c>
      <c r="J266" s="478"/>
      <c r="K266" s="478"/>
      <c r="L266" s="478"/>
      <c r="M266" s="478"/>
      <c r="N266" s="478"/>
      <c r="O266" s="478"/>
      <c r="P266" s="478"/>
      <c r="Q266" s="478"/>
      <c r="R266" s="478"/>
      <c r="S266" s="472">
        <f t="shared" si="52"/>
        <v>0</v>
      </c>
      <c r="T266" s="478"/>
      <c r="U266" s="478"/>
      <c r="V266" s="478"/>
    </row>
    <row r="267" spans="1:22" s="468" customFormat="1" ht="40.5" customHeight="1">
      <c r="A267" s="621"/>
      <c r="B267" s="611"/>
      <c r="C267" s="630">
        <v>4300</v>
      </c>
      <c r="D267" s="477" t="s">
        <v>529</v>
      </c>
      <c r="E267" s="529">
        <f t="shared" si="47"/>
        <v>150260</v>
      </c>
      <c r="F267" s="472">
        <f t="shared" si="48"/>
        <v>150260</v>
      </c>
      <c r="G267" s="472">
        <f t="shared" si="49"/>
        <v>150260</v>
      </c>
      <c r="H267" s="478">
        <v>150260</v>
      </c>
      <c r="I267" s="472">
        <f t="shared" si="50"/>
        <v>0</v>
      </c>
      <c r="J267" s="478"/>
      <c r="K267" s="478"/>
      <c r="L267" s="478"/>
      <c r="M267" s="478"/>
      <c r="N267" s="478"/>
      <c r="O267" s="478"/>
      <c r="P267" s="478"/>
      <c r="Q267" s="478"/>
      <c r="R267" s="478"/>
      <c r="S267" s="472">
        <f t="shared" si="52"/>
        <v>0</v>
      </c>
      <c r="T267" s="478"/>
      <c r="U267" s="478"/>
      <c r="V267" s="478"/>
    </row>
    <row r="268" spans="1:22" s="468" customFormat="1" ht="30">
      <c r="A268" s="621"/>
      <c r="B268" s="611"/>
      <c r="C268" s="630">
        <v>4350</v>
      </c>
      <c r="D268" s="477" t="s">
        <v>426</v>
      </c>
      <c r="E268" s="529">
        <f t="shared" si="47"/>
        <v>7430</v>
      </c>
      <c r="F268" s="472">
        <f t="shared" si="48"/>
        <v>7430</v>
      </c>
      <c r="G268" s="472">
        <f t="shared" si="49"/>
        <v>7430</v>
      </c>
      <c r="H268" s="478">
        <v>7430</v>
      </c>
      <c r="I268" s="472">
        <f t="shared" si="50"/>
        <v>0</v>
      </c>
      <c r="J268" s="478"/>
      <c r="K268" s="478"/>
      <c r="L268" s="478"/>
      <c r="M268" s="478"/>
      <c r="N268" s="478"/>
      <c r="O268" s="478"/>
      <c r="P268" s="478"/>
      <c r="Q268" s="478"/>
      <c r="R268" s="478"/>
      <c r="S268" s="472">
        <f t="shared" si="52"/>
        <v>0</v>
      </c>
      <c r="T268" s="478"/>
      <c r="U268" s="478"/>
      <c r="V268" s="478"/>
    </row>
    <row r="269" spans="1:22" s="468" customFormat="1" ht="60">
      <c r="A269" s="621"/>
      <c r="B269" s="611"/>
      <c r="C269" s="630">
        <v>4360</v>
      </c>
      <c r="D269" s="477" t="s">
        <v>567</v>
      </c>
      <c r="E269" s="529">
        <f t="shared" si="47"/>
        <v>9770</v>
      </c>
      <c r="F269" s="472">
        <f t="shared" si="48"/>
        <v>9770</v>
      </c>
      <c r="G269" s="472">
        <f t="shared" si="49"/>
        <v>9770</v>
      </c>
      <c r="H269" s="478">
        <v>9770</v>
      </c>
      <c r="I269" s="472">
        <f t="shared" si="50"/>
        <v>0</v>
      </c>
      <c r="J269" s="478"/>
      <c r="K269" s="478"/>
      <c r="L269" s="478"/>
      <c r="M269" s="478"/>
      <c r="N269" s="478"/>
      <c r="O269" s="478"/>
      <c r="P269" s="478"/>
      <c r="Q269" s="478"/>
      <c r="R269" s="478"/>
      <c r="S269" s="472">
        <f t="shared" si="52"/>
        <v>0</v>
      </c>
      <c r="T269" s="478"/>
      <c r="U269" s="478"/>
      <c r="V269" s="478"/>
    </row>
    <row r="270" spans="1:22" s="468" customFormat="1" ht="67.5" customHeight="1">
      <c r="A270" s="621"/>
      <c r="B270" s="611"/>
      <c r="C270" s="630">
        <v>4370</v>
      </c>
      <c r="D270" s="477" t="s">
        <v>560</v>
      </c>
      <c r="E270" s="529">
        <f t="shared" si="47"/>
        <v>18260</v>
      </c>
      <c r="F270" s="472">
        <f t="shared" si="48"/>
        <v>18260</v>
      </c>
      <c r="G270" s="472">
        <f t="shared" si="49"/>
        <v>18260</v>
      </c>
      <c r="H270" s="478">
        <v>18260</v>
      </c>
      <c r="I270" s="472">
        <f t="shared" si="50"/>
        <v>0</v>
      </c>
      <c r="J270" s="478"/>
      <c r="K270" s="478"/>
      <c r="L270" s="478"/>
      <c r="M270" s="478"/>
      <c r="N270" s="478"/>
      <c r="O270" s="478"/>
      <c r="P270" s="478"/>
      <c r="Q270" s="478"/>
      <c r="R270" s="478"/>
      <c r="S270" s="472">
        <f t="shared" si="52"/>
        <v>0</v>
      </c>
      <c r="T270" s="478"/>
      <c r="U270" s="478"/>
      <c r="V270" s="478"/>
    </row>
    <row r="271" spans="1:22" s="468" customFormat="1" ht="30">
      <c r="A271" s="621"/>
      <c r="B271" s="611"/>
      <c r="C271" s="630">
        <v>4410</v>
      </c>
      <c r="D271" s="477" t="s">
        <v>430</v>
      </c>
      <c r="E271" s="529">
        <f aca="true" t="shared" si="57" ref="E271:E334">F271+S271</f>
        <v>12710</v>
      </c>
      <c r="F271" s="472">
        <f t="shared" si="48"/>
        <v>12710</v>
      </c>
      <c r="G271" s="472">
        <f t="shared" si="49"/>
        <v>12710</v>
      </c>
      <c r="H271" s="478">
        <v>12710</v>
      </c>
      <c r="I271" s="472">
        <f t="shared" si="50"/>
        <v>0</v>
      </c>
      <c r="J271" s="478"/>
      <c r="K271" s="478"/>
      <c r="L271" s="478"/>
      <c r="M271" s="478"/>
      <c r="N271" s="478"/>
      <c r="O271" s="478"/>
      <c r="P271" s="478"/>
      <c r="Q271" s="478"/>
      <c r="R271" s="478"/>
      <c r="S271" s="472">
        <f t="shared" si="52"/>
        <v>0</v>
      </c>
      <c r="T271" s="478"/>
      <c r="U271" s="478"/>
      <c r="V271" s="478"/>
    </row>
    <row r="272" spans="1:22" s="468" customFormat="1" ht="30" customHeight="1" hidden="1">
      <c r="A272" s="621"/>
      <c r="B272" s="611"/>
      <c r="C272" s="635">
        <v>4420</v>
      </c>
      <c r="D272" s="485" t="s">
        <v>21</v>
      </c>
      <c r="E272" s="529">
        <f t="shared" si="57"/>
        <v>0</v>
      </c>
      <c r="F272" s="472">
        <f aca="true" t="shared" si="58" ref="F272:F335">G272+N272+O272+P272+Q272+R272</f>
        <v>0</v>
      </c>
      <c r="G272" s="472">
        <f aca="true" t="shared" si="59" ref="G272:G335">H272+I272</f>
        <v>0</v>
      </c>
      <c r="H272" s="478"/>
      <c r="I272" s="472">
        <f aca="true" t="shared" si="60" ref="I272:I335">SUM(J272:M272)</f>
        <v>0</v>
      </c>
      <c r="J272" s="478"/>
      <c r="K272" s="478"/>
      <c r="L272" s="478"/>
      <c r="M272" s="478"/>
      <c r="N272" s="478"/>
      <c r="O272" s="478"/>
      <c r="P272" s="478"/>
      <c r="Q272" s="478"/>
      <c r="R272" s="478"/>
      <c r="S272" s="472">
        <f aca="true" t="shared" si="61" ref="S272:S335">T272+V272</f>
        <v>0</v>
      </c>
      <c r="T272" s="478"/>
      <c r="U272" s="478"/>
      <c r="V272" s="478"/>
    </row>
    <row r="273" spans="1:22" s="468" customFormat="1" ht="15.75">
      <c r="A273" s="621"/>
      <c r="B273" s="611"/>
      <c r="C273" s="630">
        <v>4430</v>
      </c>
      <c r="D273" s="477" t="s">
        <v>431</v>
      </c>
      <c r="E273" s="529">
        <f t="shared" si="57"/>
        <v>31670</v>
      </c>
      <c r="F273" s="472">
        <f t="shared" si="58"/>
        <v>31670</v>
      </c>
      <c r="G273" s="472">
        <f t="shared" si="59"/>
        <v>31670</v>
      </c>
      <c r="H273" s="478">
        <v>31670</v>
      </c>
      <c r="I273" s="472">
        <f t="shared" si="60"/>
        <v>0</v>
      </c>
      <c r="J273" s="478"/>
      <c r="K273" s="478"/>
      <c r="L273" s="478"/>
      <c r="M273" s="478"/>
      <c r="N273" s="478"/>
      <c r="O273" s="478"/>
      <c r="P273" s="478"/>
      <c r="Q273" s="478"/>
      <c r="R273" s="478"/>
      <c r="S273" s="472">
        <f t="shared" si="61"/>
        <v>0</v>
      </c>
      <c r="T273" s="478"/>
      <c r="U273" s="478"/>
      <c r="V273" s="478"/>
    </row>
    <row r="274" spans="1:22" s="468" customFormat="1" ht="45">
      <c r="A274" s="621"/>
      <c r="B274" s="611"/>
      <c r="C274" s="630">
        <v>4440</v>
      </c>
      <c r="D274" s="477" t="s">
        <v>432</v>
      </c>
      <c r="E274" s="529">
        <f t="shared" si="57"/>
        <v>253810</v>
      </c>
      <c r="F274" s="472">
        <f t="shared" si="58"/>
        <v>253810</v>
      </c>
      <c r="G274" s="472">
        <f t="shared" si="59"/>
        <v>253810</v>
      </c>
      <c r="H274" s="478">
        <v>253810</v>
      </c>
      <c r="I274" s="472">
        <f t="shared" si="60"/>
        <v>0</v>
      </c>
      <c r="J274" s="478"/>
      <c r="K274" s="478"/>
      <c r="L274" s="478"/>
      <c r="M274" s="478"/>
      <c r="N274" s="478"/>
      <c r="O274" s="478"/>
      <c r="P274" s="478"/>
      <c r="Q274" s="478"/>
      <c r="R274" s="478"/>
      <c r="S274" s="472">
        <f t="shared" si="61"/>
        <v>0</v>
      </c>
      <c r="T274" s="478"/>
      <c r="U274" s="478"/>
      <c r="V274" s="478"/>
    </row>
    <row r="275" spans="1:22" s="468" customFormat="1" ht="30">
      <c r="A275" s="621"/>
      <c r="B275" s="611"/>
      <c r="C275" s="630">
        <v>4510</v>
      </c>
      <c r="D275" s="477" t="s">
        <v>743</v>
      </c>
      <c r="E275" s="529">
        <f t="shared" si="57"/>
        <v>820</v>
      </c>
      <c r="F275" s="472">
        <f t="shared" si="58"/>
        <v>820</v>
      </c>
      <c r="G275" s="472">
        <f t="shared" si="59"/>
        <v>820</v>
      </c>
      <c r="H275" s="478">
        <v>820</v>
      </c>
      <c r="I275" s="472">
        <f t="shared" si="60"/>
        <v>0</v>
      </c>
      <c r="J275" s="478"/>
      <c r="K275" s="478"/>
      <c r="L275" s="478"/>
      <c r="M275" s="478"/>
      <c r="N275" s="478"/>
      <c r="O275" s="478"/>
      <c r="P275" s="478"/>
      <c r="Q275" s="478"/>
      <c r="R275" s="478"/>
      <c r="S275" s="472">
        <f t="shared" si="61"/>
        <v>0</v>
      </c>
      <c r="T275" s="478"/>
      <c r="U275" s="478"/>
      <c r="V275" s="478"/>
    </row>
    <row r="276" spans="1:22" s="468" customFormat="1" ht="30">
      <c r="A276" s="621"/>
      <c r="B276" s="611"/>
      <c r="C276" s="630">
        <v>4480</v>
      </c>
      <c r="D276" s="477" t="s">
        <v>568</v>
      </c>
      <c r="E276" s="529">
        <f t="shared" si="57"/>
        <v>2370</v>
      </c>
      <c r="F276" s="472">
        <f t="shared" si="58"/>
        <v>2370</v>
      </c>
      <c r="G276" s="472">
        <f t="shared" si="59"/>
        <v>2370</v>
      </c>
      <c r="H276" s="478">
        <v>2370</v>
      </c>
      <c r="I276" s="472">
        <f t="shared" si="60"/>
        <v>0</v>
      </c>
      <c r="J276" s="478"/>
      <c r="K276" s="478"/>
      <c r="L276" s="478"/>
      <c r="M276" s="478"/>
      <c r="N276" s="478"/>
      <c r="O276" s="478"/>
      <c r="P276" s="478"/>
      <c r="Q276" s="478"/>
      <c r="R276" s="478"/>
      <c r="S276" s="472">
        <f t="shared" si="61"/>
        <v>0</v>
      </c>
      <c r="T276" s="478"/>
      <c r="U276" s="478"/>
      <c r="V276" s="478"/>
    </row>
    <row r="277" spans="1:22" s="468" customFormat="1" ht="51" customHeight="1">
      <c r="A277" s="621"/>
      <c r="B277" s="611"/>
      <c r="C277" s="630">
        <v>4500</v>
      </c>
      <c r="D277" s="477" t="s">
        <v>532</v>
      </c>
      <c r="E277" s="529">
        <f t="shared" si="57"/>
        <v>1050</v>
      </c>
      <c r="F277" s="472">
        <f t="shared" si="58"/>
        <v>1050</v>
      </c>
      <c r="G277" s="472">
        <f t="shared" si="59"/>
        <v>1050</v>
      </c>
      <c r="H277" s="478">
        <v>1050</v>
      </c>
      <c r="I277" s="472">
        <f t="shared" si="60"/>
        <v>0</v>
      </c>
      <c r="J277" s="478"/>
      <c r="K277" s="478"/>
      <c r="L277" s="478"/>
      <c r="M277" s="478"/>
      <c r="N277" s="478"/>
      <c r="O277" s="478"/>
      <c r="P277" s="478"/>
      <c r="Q277" s="478"/>
      <c r="R277" s="478"/>
      <c r="S277" s="472">
        <f t="shared" si="61"/>
        <v>0</v>
      </c>
      <c r="T277" s="478"/>
      <c r="U277" s="478"/>
      <c r="V277" s="478"/>
    </row>
    <row r="278" spans="1:22" s="468" customFormat="1" ht="50.25" customHeight="1">
      <c r="A278" s="621"/>
      <c r="B278" s="611"/>
      <c r="C278" s="630">
        <v>4700</v>
      </c>
      <c r="D278" s="477" t="s">
        <v>708</v>
      </c>
      <c r="E278" s="529">
        <f t="shared" si="57"/>
        <v>9200</v>
      </c>
      <c r="F278" s="472">
        <f t="shared" si="58"/>
        <v>9200</v>
      </c>
      <c r="G278" s="472">
        <f t="shared" si="59"/>
        <v>9200</v>
      </c>
      <c r="H278" s="478">
        <v>9200</v>
      </c>
      <c r="I278" s="472">
        <f t="shared" si="60"/>
        <v>0</v>
      </c>
      <c r="J278" s="478"/>
      <c r="K278" s="478"/>
      <c r="L278" s="478"/>
      <c r="M278" s="478"/>
      <c r="N278" s="478"/>
      <c r="O278" s="478"/>
      <c r="P278" s="478"/>
      <c r="Q278" s="478"/>
      <c r="R278" s="478"/>
      <c r="S278" s="472">
        <f t="shared" si="61"/>
        <v>0</v>
      </c>
      <c r="T278" s="478"/>
      <c r="U278" s="478"/>
      <c r="V278" s="478"/>
    </row>
    <row r="279" spans="1:22" s="468" customFormat="1" ht="60">
      <c r="A279" s="621"/>
      <c r="B279" s="611"/>
      <c r="C279" s="630">
        <v>4740</v>
      </c>
      <c r="D279" s="477" t="s">
        <v>521</v>
      </c>
      <c r="E279" s="529">
        <f t="shared" si="57"/>
        <v>10030</v>
      </c>
      <c r="F279" s="472">
        <f t="shared" si="58"/>
        <v>10030</v>
      </c>
      <c r="G279" s="472">
        <f t="shared" si="59"/>
        <v>10030</v>
      </c>
      <c r="H279" s="478">
        <v>10030</v>
      </c>
      <c r="I279" s="472">
        <f t="shared" si="60"/>
        <v>0</v>
      </c>
      <c r="J279" s="478"/>
      <c r="K279" s="478"/>
      <c r="L279" s="478"/>
      <c r="M279" s="478"/>
      <c r="N279" s="478"/>
      <c r="O279" s="478"/>
      <c r="P279" s="478"/>
      <c r="Q279" s="478"/>
      <c r="R279" s="478"/>
      <c r="S279" s="472">
        <f t="shared" si="61"/>
        <v>0</v>
      </c>
      <c r="T279" s="478"/>
      <c r="U279" s="478"/>
      <c r="V279" s="478"/>
    </row>
    <row r="280" spans="1:22" s="468" customFormat="1" ht="45">
      <c r="A280" s="621"/>
      <c r="B280" s="611"/>
      <c r="C280" s="630">
        <v>4750</v>
      </c>
      <c r="D280" s="477" t="s">
        <v>561</v>
      </c>
      <c r="E280" s="529">
        <f t="shared" si="57"/>
        <v>27260</v>
      </c>
      <c r="F280" s="472">
        <f t="shared" si="58"/>
        <v>27260</v>
      </c>
      <c r="G280" s="472">
        <f t="shared" si="59"/>
        <v>27260</v>
      </c>
      <c r="H280" s="478">
        <v>27260</v>
      </c>
      <c r="I280" s="472">
        <f t="shared" si="60"/>
        <v>0</v>
      </c>
      <c r="J280" s="478"/>
      <c r="K280" s="478"/>
      <c r="L280" s="478"/>
      <c r="M280" s="478"/>
      <c r="N280" s="478"/>
      <c r="O280" s="478"/>
      <c r="P280" s="478"/>
      <c r="Q280" s="478"/>
      <c r="R280" s="478"/>
      <c r="S280" s="472">
        <f t="shared" si="61"/>
        <v>0</v>
      </c>
      <c r="T280" s="478"/>
      <c r="U280" s="478"/>
      <c r="V280" s="478"/>
    </row>
    <row r="281" spans="1:22" s="468" customFormat="1" ht="45" customHeight="1" hidden="1">
      <c r="A281" s="621"/>
      <c r="B281" s="611"/>
      <c r="C281" s="630">
        <v>4610</v>
      </c>
      <c r="D281" s="477" t="s">
        <v>533</v>
      </c>
      <c r="E281" s="529">
        <f t="shared" si="57"/>
        <v>0</v>
      </c>
      <c r="F281" s="472">
        <f t="shared" si="58"/>
        <v>0</v>
      </c>
      <c r="G281" s="472">
        <f t="shared" si="59"/>
        <v>0</v>
      </c>
      <c r="H281" s="478"/>
      <c r="I281" s="472">
        <f t="shared" si="60"/>
        <v>0</v>
      </c>
      <c r="J281" s="478"/>
      <c r="K281" s="478"/>
      <c r="L281" s="478"/>
      <c r="M281" s="478"/>
      <c r="N281" s="478"/>
      <c r="O281" s="478"/>
      <c r="P281" s="478"/>
      <c r="Q281" s="478"/>
      <c r="R281" s="478"/>
      <c r="S281" s="472">
        <f t="shared" si="61"/>
        <v>0</v>
      </c>
      <c r="T281" s="478"/>
      <c r="U281" s="478"/>
      <c r="V281" s="478"/>
    </row>
    <row r="282" spans="1:22" s="468" customFormat="1" ht="37.5" customHeight="1">
      <c r="A282" s="621"/>
      <c r="B282" s="611"/>
      <c r="C282" s="630">
        <v>6050</v>
      </c>
      <c r="D282" s="480" t="s">
        <v>436</v>
      </c>
      <c r="E282" s="529">
        <f t="shared" si="57"/>
        <v>440000</v>
      </c>
      <c r="F282" s="472">
        <f t="shared" si="58"/>
        <v>0</v>
      </c>
      <c r="G282" s="472">
        <f t="shared" si="59"/>
        <v>0</v>
      </c>
      <c r="H282" s="478"/>
      <c r="I282" s="472">
        <f t="shared" si="60"/>
        <v>0</v>
      </c>
      <c r="J282" s="478"/>
      <c r="K282" s="478"/>
      <c r="L282" s="478"/>
      <c r="M282" s="478"/>
      <c r="N282" s="478"/>
      <c r="O282" s="478"/>
      <c r="P282" s="478"/>
      <c r="Q282" s="478"/>
      <c r="R282" s="478"/>
      <c r="S282" s="472">
        <f t="shared" si="61"/>
        <v>440000</v>
      </c>
      <c r="T282" s="478">
        <v>440000</v>
      </c>
      <c r="U282" s="478"/>
      <c r="V282" s="478"/>
    </row>
    <row r="283" spans="1:22" s="468" customFormat="1" ht="45">
      <c r="A283" s="621"/>
      <c r="B283" s="611"/>
      <c r="C283" s="630">
        <v>6060</v>
      </c>
      <c r="D283" s="480" t="s">
        <v>710</v>
      </c>
      <c r="E283" s="529">
        <f t="shared" si="57"/>
        <v>0</v>
      </c>
      <c r="F283" s="472">
        <f t="shared" si="58"/>
        <v>0</v>
      </c>
      <c r="G283" s="472">
        <f t="shared" si="59"/>
        <v>0</v>
      </c>
      <c r="H283" s="478"/>
      <c r="I283" s="472">
        <f t="shared" si="60"/>
        <v>0</v>
      </c>
      <c r="J283" s="478"/>
      <c r="K283" s="478"/>
      <c r="L283" s="478"/>
      <c r="M283" s="478"/>
      <c r="N283" s="478"/>
      <c r="O283" s="478"/>
      <c r="P283" s="478"/>
      <c r="Q283" s="478"/>
      <c r="R283" s="478"/>
      <c r="S283" s="472">
        <f t="shared" si="61"/>
        <v>0</v>
      </c>
      <c r="T283" s="478"/>
      <c r="U283" s="478"/>
      <c r="V283" s="478"/>
    </row>
    <row r="284" spans="1:22" s="476" customFormat="1" ht="15.75">
      <c r="A284" s="620"/>
      <c r="B284" s="612">
        <v>80132</v>
      </c>
      <c r="C284" s="629"/>
      <c r="D284" s="271" t="s">
        <v>569</v>
      </c>
      <c r="E284" s="529">
        <f t="shared" si="57"/>
        <v>1604695</v>
      </c>
      <c r="F284" s="472">
        <f t="shared" si="58"/>
        <v>1604695</v>
      </c>
      <c r="G284" s="472">
        <f t="shared" si="59"/>
        <v>1567055</v>
      </c>
      <c r="H284" s="475">
        <f>SUM(H285:H306)</f>
        <v>192703</v>
      </c>
      <c r="I284" s="472">
        <f t="shared" si="60"/>
        <v>1374352</v>
      </c>
      <c r="J284" s="475">
        <f aca="true" t="shared" si="62" ref="J284:R284">SUM(J285:J306)</f>
        <v>1089912</v>
      </c>
      <c r="K284" s="475">
        <f t="shared" si="62"/>
        <v>78910</v>
      </c>
      <c r="L284" s="475">
        <f t="shared" si="62"/>
        <v>201800</v>
      </c>
      <c r="M284" s="475">
        <f t="shared" si="62"/>
        <v>3730</v>
      </c>
      <c r="N284" s="475">
        <f t="shared" si="62"/>
        <v>37640</v>
      </c>
      <c r="O284" s="475">
        <f t="shared" si="62"/>
        <v>0</v>
      </c>
      <c r="P284" s="475">
        <f>SUM(P285:P306)</f>
        <v>0</v>
      </c>
      <c r="Q284" s="475">
        <f t="shared" si="62"/>
        <v>0</v>
      </c>
      <c r="R284" s="475">
        <f t="shared" si="62"/>
        <v>0</v>
      </c>
      <c r="S284" s="472">
        <f t="shared" si="61"/>
        <v>0</v>
      </c>
      <c r="T284" s="475">
        <f>SUM(T285:T306)</f>
        <v>0</v>
      </c>
      <c r="U284" s="475">
        <f>SUM(U285:U306)</f>
        <v>0</v>
      </c>
      <c r="V284" s="475">
        <f>SUM(V285:V306)</f>
        <v>0</v>
      </c>
    </row>
    <row r="285" spans="1:22" s="468" customFormat="1" ht="45">
      <c r="A285" s="621"/>
      <c r="B285" s="611"/>
      <c r="C285" s="630">
        <v>3020</v>
      </c>
      <c r="D285" s="477" t="s">
        <v>709</v>
      </c>
      <c r="E285" s="529">
        <f t="shared" si="57"/>
        <v>37640</v>
      </c>
      <c r="F285" s="472">
        <f t="shared" si="58"/>
        <v>37640</v>
      </c>
      <c r="G285" s="472">
        <f t="shared" si="59"/>
        <v>0</v>
      </c>
      <c r="H285" s="478"/>
      <c r="I285" s="472">
        <f t="shared" si="60"/>
        <v>0</v>
      </c>
      <c r="J285" s="478"/>
      <c r="K285" s="478"/>
      <c r="L285" s="478"/>
      <c r="M285" s="478"/>
      <c r="N285" s="478">
        <v>37640</v>
      </c>
      <c r="O285" s="478"/>
      <c r="P285" s="478"/>
      <c r="Q285" s="478"/>
      <c r="R285" s="478"/>
      <c r="S285" s="472">
        <f t="shared" si="61"/>
        <v>0</v>
      </c>
      <c r="T285" s="478"/>
      <c r="U285" s="478"/>
      <c r="V285" s="478"/>
    </row>
    <row r="286" spans="1:22" s="468" customFormat="1" ht="30">
      <c r="A286" s="621"/>
      <c r="B286" s="611"/>
      <c r="C286" s="630">
        <v>4010</v>
      </c>
      <c r="D286" s="477" t="s">
        <v>417</v>
      </c>
      <c r="E286" s="529">
        <f t="shared" si="57"/>
        <v>1089912</v>
      </c>
      <c r="F286" s="472">
        <f t="shared" si="58"/>
        <v>1089912</v>
      </c>
      <c r="G286" s="472">
        <f t="shared" si="59"/>
        <v>1089912</v>
      </c>
      <c r="H286" s="478"/>
      <c r="I286" s="472">
        <f t="shared" si="60"/>
        <v>1089912</v>
      </c>
      <c r="J286" s="478">
        <v>1089912</v>
      </c>
      <c r="K286" s="478"/>
      <c r="L286" s="478"/>
      <c r="M286" s="478"/>
      <c r="N286" s="478"/>
      <c r="O286" s="478"/>
      <c r="P286" s="478"/>
      <c r="Q286" s="478"/>
      <c r="R286" s="478"/>
      <c r="S286" s="472">
        <f t="shared" si="61"/>
        <v>0</v>
      </c>
      <c r="T286" s="478"/>
      <c r="U286" s="478"/>
      <c r="V286" s="478"/>
    </row>
    <row r="287" spans="1:22" s="468" customFormat="1" ht="30">
      <c r="A287" s="621"/>
      <c r="B287" s="611"/>
      <c r="C287" s="630">
        <v>4040</v>
      </c>
      <c r="D287" s="477" t="s">
        <v>418</v>
      </c>
      <c r="E287" s="529">
        <f t="shared" si="57"/>
        <v>78910</v>
      </c>
      <c r="F287" s="472">
        <f t="shared" si="58"/>
        <v>78910</v>
      </c>
      <c r="G287" s="472">
        <f t="shared" si="59"/>
        <v>78910</v>
      </c>
      <c r="H287" s="478"/>
      <c r="I287" s="472">
        <f t="shared" si="60"/>
        <v>78910</v>
      </c>
      <c r="J287" s="478"/>
      <c r="K287" s="478">
        <v>78910</v>
      </c>
      <c r="L287" s="478"/>
      <c r="M287" s="478"/>
      <c r="N287" s="478"/>
      <c r="O287" s="478"/>
      <c r="P287" s="478"/>
      <c r="Q287" s="478"/>
      <c r="R287" s="478"/>
      <c r="S287" s="472">
        <f t="shared" si="61"/>
        <v>0</v>
      </c>
      <c r="T287" s="478"/>
      <c r="U287" s="478"/>
      <c r="V287" s="478"/>
    </row>
    <row r="288" spans="1:22" s="468" customFormat="1" ht="45">
      <c r="A288" s="621"/>
      <c r="B288" s="611"/>
      <c r="C288" s="630">
        <v>4110</v>
      </c>
      <c r="D288" s="477" t="s">
        <v>556</v>
      </c>
      <c r="E288" s="529">
        <f t="shared" si="57"/>
        <v>173640</v>
      </c>
      <c r="F288" s="472">
        <f t="shared" si="58"/>
        <v>173640</v>
      </c>
      <c r="G288" s="472">
        <f t="shared" si="59"/>
        <v>173640</v>
      </c>
      <c r="H288" s="478"/>
      <c r="I288" s="472">
        <f t="shared" si="60"/>
        <v>173640</v>
      </c>
      <c r="J288" s="478"/>
      <c r="K288" s="478"/>
      <c r="L288" s="478">
        <v>173640</v>
      </c>
      <c r="M288" s="478"/>
      <c r="N288" s="478"/>
      <c r="O288" s="478"/>
      <c r="P288" s="478"/>
      <c r="Q288" s="478"/>
      <c r="R288" s="478"/>
      <c r="S288" s="472">
        <f t="shared" si="61"/>
        <v>0</v>
      </c>
      <c r="T288" s="478"/>
      <c r="U288" s="478"/>
      <c r="V288" s="478"/>
    </row>
    <row r="289" spans="1:22" s="468" customFormat="1" ht="30">
      <c r="A289" s="621"/>
      <c r="B289" s="611"/>
      <c r="C289" s="630">
        <v>4120</v>
      </c>
      <c r="D289" s="477" t="s">
        <v>420</v>
      </c>
      <c r="E289" s="529">
        <f t="shared" si="57"/>
        <v>28160</v>
      </c>
      <c r="F289" s="472">
        <f t="shared" si="58"/>
        <v>28160</v>
      </c>
      <c r="G289" s="472">
        <f t="shared" si="59"/>
        <v>28160</v>
      </c>
      <c r="H289" s="478"/>
      <c r="I289" s="472">
        <f t="shared" si="60"/>
        <v>28160</v>
      </c>
      <c r="J289" s="478"/>
      <c r="K289" s="478"/>
      <c r="L289" s="478">
        <v>28160</v>
      </c>
      <c r="M289" s="478"/>
      <c r="N289" s="478"/>
      <c r="O289" s="478"/>
      <c r="P289" s="478"/>
      <c r="Q289" s="478"/>
      <c r="R289" s="478"/>
      <c r="S289" s="472">
        <f t="shared" si="61"/>
        <v>0</v>
      </c>
      <c r="T289" s="478"/>
      <c r="U289" s="478"/>
      <c r="V289" s="478"/>
    </row>
    <row r="290" spans="1:22" s="468" customFormat="1" ht="34.5" customHeight="1">
      <c r="A290" s="621"/>
      <c r="B290" s="611"/>
      <c r="C290" s="630">
        <v>4170</v>
      </c>
      <c r="D290" s="477" t="s">
        <v>518</v>
      </c>
      <c r="E290" s="529">
        <f t="shared" si="57"/>
        <v>3730</v>
      </c>
      <c r="F290" s="472">
        <f t="shared" si="58"/>
        <v>3730</v>
      </c>
      <c r="G290" s="472">
        <f t="shared" si="59"/>
        <v>3730</v>
      </c>
      <c r="H290" s="478"/>
      <c r="I290" s="472">
        <f t="shared" si="60"/>
        <v>3730</v>
      </c>
      <c r="J290" s="478"/>
      <c r="K290" s="478"/>
      <c r="L290" s="478"/>
      <c r="M290" s="478">
        <v>3730</v>
      </c>
      <c r="N290" s="478"/>
      <c r="O290" s="478"/>
      <c r="P290" s="478"/>
      <c r="Q290" s="478"/>
      <c r="R290" s="478"/>
      <c r="S290" s="472">
        <f t="shared" si="61"/>
        <v>0</v>
      </c>
      <c r="T290" s="478"/>
      <c r="U290" s="478"/>
      <c r="V290" s="478"/>
    </row>
    <row r="291" spans="1:22" s="468" customFormat="1" ht="30">
      <c r="A291" s="621"/>
      <c r="B291" s="611"/>
      <c r="C291" s="630">
        <v>4210</v>
      </c>
      <c r="D291" s="477" t="s">
        <v>422</v>
      </c>
      <c r="E291" s="529">
        <f t="shared" si="57"/>
        <v>9930</v>
      </c>
      <c r="F291" s="472">
        <f t="shared" si="58"/>
        <v>9930</v>
      </c>
      <c r="G291" s="472">
        <f t="shared" si="59"/>
        <v>9930</v>
      </c>
      <c r="H291" s="478">
        <v>9930</v>
      </c>
      <c r="I291" s="472">
        <f t="shared" si="60"/>
        <v>0</v>
      </c>
      <c r="J291" s="478"/>
      <c r="K291" s="478"/>
      <c r="L291" s="478"/>
      <c r="M291" s="478"/>
      <c r="N291" s="478"/>
      <c r="O291" s="478"/>
      <c r="P291" s="478"/>
      <c r="Q291" s="478"/>
      <c r="R291" s="478"/>
      <c r="S291" s="472">
        <f t="shared" si="61"/>
        <v>0</v>
      </c>
      <c r="T291" s="478"/>
      <c r="U291" s="478"/>
      <c r="V291" s="478"/>
    </row>
    <row r="292" spans="1:22" s="468" customFormat="1" ht="45" customHeight="1" hidden="1">
      <c r="A292" s="621"/>
      <c r="B292" s="613"/>
      <c r="C292" s="630">
        <v>4240</v>
      </c>
      <c r="D292" s="477" t="s">
        <v>566</v>
      </c>
      <c r="E292" s="529">
        <f t="shared" si="57"/>
        <v>0</v>
      </c>
      <c r="F292" s="472">
        <f t="shared" si="58"/>
        <v>0</v>
      </c>
      <c r="G292" s="472">
        <f t="shared" si="59"/>
        <v>0</v>
      </c>
      <c r="H292" s="478"/>
      <c r="I292" s="472">
        <f t="shared" si="60"/>
        <v>0</v>
      </c>
      <c r="J292" s="478"/>
      <c r="K292" s="478"/>
      <c r="L292" s="478"/>
      <c r="M292" s="478"/>
      <c r="N292" s="478"/>
      <c r="O292" s="478"/>
      <c r="P292" s="478"/>
      <c r="Q292" s="478"/>
      <c r="R292" s="478"/>
      <c r="S292" s="472">
        <f t="shared" si="61"/>
        <v>0</v>
      </c>
      <c r="T292" s="478"/>
      <c r="U292" s="478"/>
      <c r="V292" s="478"/>
    </row>
    <row r="293" spans="1:22" s="468" customFormat="1" ht="15.75">
      <c r="A293" s="621"/>
      <c r="B293" s="611"/>
      <c r="C293" s="630">
        <v>4260</v>
      </c>
      <c r="D293" s="477" t="s">
        <v>423</v>
      </c>
      <c r="E293" s="529">
        <f t="shared" si="57"/>
        <v>15080</v>
      </c>
      <c r="F293" s="472">
        <f t="shared" si="58"/>
        <v>15080</v>
      </c>
      <c r="G293" s="472">
        <f t="shared" si="59"/>
        <v>15080</v>
      </c>
      <c r="H293" s="478">
        <v>15080</v>
      </c>
      <c r="I293" s="472">
        <f t="shared" si="60"/>
        <v>0</v>
      </c>
      <c r="J293" s="478"/>
      <c r="K293" s="478"/>
      <c r="L293" s="478"/>
      <c r="M293" s="478"/>
      <c r="N293" s="478"/>
      <c r="O293" s="478"/>
      <c r="P293" s="478"/>
      <c r="Q293" s="478"/>
      <c r="R293" s="478"/>
      <c r="S293" s="472">
        <f t="shared" si="61"/>
        <v>0</v>
      </c>
      <c r="T293" s="478"/>
      <c r="U293" s="478"/>
      <c r="V293" s="478"/>
    </row>
    <row r="294" spans="1:22" s="468" customFormat="1" ht="30">
      <c r="A294" s="621"/>
      <c r="B294" s="611"/>
      <c r="C294" s="630">
        <v>4270</v>
      </c>
      <c r="D294" s="477" t="s">
        <v>424</v>
      </c>
      <c r="E294" s="529">
        <f t="shared" si="57"/>
        <v>27483</v>
      </c>
      <c r="F294" s="472">
        <f t="shared" si="58"/>
        <v>27483</v>
      </c>
      <c r="G294" s="472">
        <f t="shared" si="59"/>
        <v>27483</v>
      </c>
      <c r="H294" s="478">
        <v>27483</v>
      </c>
      <c r="I294" s="472">
        <f t="shared" si="60"/>
        <v>0</v>
      </c>
      <c r="J294" s="478"/>
      <c r="K294" s="478"/>
      <c r="L294" s="478"/>
      <c r="M294" s="478"/>
      <c r="N294" s="478"/>
      <c r="O294" s="478"/>
      <c r="P294" s="478"/>
      <c r="Q294" s="478"/>
      <c r="R294" s="478"/>
      <c r="S294" s="472">
        <f t="shared" si="61"/>
        <v>0</v>
      </c>
      <c r="T294" s="478"/>
      <c r="U294" s="478"/>
      <c r="V294" s="478"/>
    </row>
    <row r="295" spans="1:22" s="468" customFormat="1" ht="28.5" customHeight="1">
      <c r="A295" s="621"/>
      <c r="B295" s="611"/>
      <c r="C295" s="630">
        <v>4280</v>
      </c>
      <c r="D295" s="477" t="s">
        <v>425</v>
      </c>
      <c r="E295" s="529">
        <f t="shared" si="57"/>
        <v>1150</v>
      </c>
      <c r="F295" s="472">
        <f t="shared" si="58"/>
        <v>1150</v>
      </c>
      <c r="G295" s="472">
        <f t="shared" si="59"/>
        <v>1150</v>
      </c>
      <c r="H295" s="478">
        <v>1150</v>
      </c>
      <c r="I295" s="472">
        <f t="shared" si="60"/>
        <v>0</v>
      </c>
      <c r="J295" s="478"/>
      <c r="K295" s="478"/>
      <c r="L295" s="478"/>
      <c r="M295" s="478"/>
      <c r="N295" s="478"/>
      <c r="O295" s="478"/>
      <c r="P295" s="478"/>
      <c r="Q295" s="478"/>
      <c r="R295" s="478"/>
      <c r="S295" s="472">
        <f t="shared" si="61"/>
        <v>0</v>
      </c>
      <c r="T295" s="478"/>
      <c r="U295" s="478"/>
      <c r="V295" s="478"/>
    </row>
    <row r="296" spans="1:22" s="468" customFormat="1" ht="33.75" customHeight="1">
      <c r="A296" s="621"/>
      <c r="B296" s="611"/>
      <c r="C296" s="630">
        <v>4300</v>
      </c>
      <c r="D296" s="477" t="s">
        <v>529</v>
      </c>
      <c r="E296" s="529">
        <f t="shared" si="57"/>
        <v>6710</v>
      </c>
      <c r="F296" s="472">
        <f t="shared" si="58"/>
        <v>6710</v>
      </c>
      <c r="G296" s="472">
        <f t="shared" si="59"/>
        <v>6710</v>
      </c>
      <c r="H296" s="478">
        <v>6710</v>
      </c>
      <c r="I296" s="472">
        <f t="shared" si="60"/>
        <v>0</v>
      </c>
      <c r="J296" s="478"/>
      <c r="K296" s="478"/>
      <c r="L296" s="478"/>
      <c r="M296" s="478"/>
      <c r="N296" s="478"/>
      <c r="O296" s="478"/>
      <c r="P296" s="478"/>
      <c r="Q296" s="478"/>
      <c r="R296" s="478"/>
      <c r="S296" s="472">
        <f t="shared" si="61"/>
        <v>0</v>
      </c>
      <c r="T296" s="478"/>
      <c r="U296" s="478"/>
      <c r="V296" s="478"/>
    </row>
    <row r="297" spans="1:22" s="468" customFormat="1" ht="30">
      <c r="A297" s="621"/>
      <c r="B297" s="611"/>
      <c r="C297" s="630">
        <v>4350</v>
      </c>
      <c r="D297" s="477" t="s">
        <v>426</v>
      </c>
      <c r="E297" s="529">
        <f t="shared" si="57"/>
        <v>1490</v>
      </c>
      <c r="F297" s="472">
        <f t="shared" si="58"/>
        <v>1490</v>
      </c>
      <c r="G297" s="472">
        <f t="shared" si="59"/>
        <v>1490</v>
      </c>
      <c r="H297" s="478">
        <v>1490</v>
      </c>
      <c r="I297" s="472">
        <f t="shared" si="60"/>
        <v>0</v>
      </c>
      <c r="J297" s="478"/>
      <c r="K297" s="478"/>
      <c r="L297" s="478"/>
      <c r="M297" s="478"/>
      <c r="N297" s="478"/>
      <c r="O297" s="478"/>
      <c r="P297" s="478"/>
      <c r="Q297" s="478"/>
      <c r="R297" s="478"/>
      <c r="S297" s="472">
        <f t="shared" si="61"/>
        <v>0</v>
      </c>
      <c r="T297" s="478"/>
      <c r="U297" s="478"/>
      <c r="V297" s="478"/>
    </row>
    <row r="298" spans="1:22" s="468" customFormat="1" ht="60">
      <c r="A298" s="621"/>
      <c r="B298" s="611"/>
      <c r="C298" s="630">
        <v>4370</v>
      </c>
      <c r="D298" s="477" t="s">
        <v>560</v>
      </c>
      <c r="E298" s="529">
        <f t="shared" si="57"/>
        <v>3550</v>
      </c>
      <c r="F298" s="472">
        <f t="shared" si="58"/>
        <v>3550</v>
      </c>
      <c r="G298" s="472">
        <f t="shared" si="59"/>
        <v>3550</v>
      </c>
      <c r="H298" s="478">
        <v>3550</v>
      </c>
      <c r="I298" s="472">
        <f t="shared" si="60"/>
        <v>0</v>
      </c>
      <c r="J298" s="478"/>
      <c r="K298" s="478"/>
      <c r="L298" s="478"/>
      <c r="M298" s="478"/>
      <c r="N298" s="478"/>
      <c r="O298" s="478"/>
      <c r="P298" s="478"/>
      <c r="Q298" s="478"/>
      <c r="R298" s="478"/>
      <c r="S298" s="472">
        <f t="shared" si="61"/>
        <v>0</v>
      </c>
      <c r="T298" s="478"/>
      <c r="U298" s="478"/>
      <c r="V298" s="478"/>
    </row>
    <row r="299" spans="1:22" s="468" customFormat="1" ht="80.25" customHeight="1">
      <c r="A299" s="621"/>
      <c r="B299" s="611"/>
      <c r="C299" s="630">
        <v>4400</v>
      </c>
      <c r="D299" s="477" t="s">
        <v>25</v>
      </c>
      <c r="E299" s="529">
        <f t="shared" si="57"/>
        <v>40345</v>
      </c>
      <c r="F299" s="472">
        <f t="shared" si="58"/>
        <v>40345</v>
      </c>
      <c r="G299" s="472">
        <f t="shared" si="59"/>
        <v>40345</v>
      </c>
      <c r="H299" s="478">
        <v>40345</v>
      </c>
      <c r="I299" s="472">
        <f t="shared" si="60"/>
        <v>0</v>
      </c>
      <c r="J299" s="478"/>
      <c r="K299" s="478"/>
      <c r="L299" s="478"/>
      <c r="M299" s="478"/>
      <c r="N299" s="478"/>
      <c r="O299" s="478"/>
      <c r="P299" s="478"/>
      <c r="Q299" s="478"/>
      <c r="R299" s="478"/>
      <c r="S299" s="472">
        <f t="shared" si="61"/>
        <v>0</v>
      </c>
      <c r="T299" s="478"/>
      <c r="U299" s="478"/>
      <c r="V299" s="478"/>
    </row>
    <row r="300" spans="1:22" s="468" customFormat="1" ht="30">
      <c r="A300" s="621"/>
      <c r="B300" s="611"/>
      <c r="C300" s="630">
        <v>4410</v>
      </c>
      <c r="D300" s="477" t="s">
        <v>430</v>
      </c>
      <c r="E300" s="529">
        <f t="shared" si="57"/>
        <v>3870</v>
      </c>
      <c r="F300" s="472">
        <f t="shared" si="58"/>
        <v>3870</v>
      </c>
      <c r="G300" s="472">
        <f t="shared" si="59"/>
        <v>3870</v>
      </c>
      <c r="H300" s="478">
        <v>3870</v>
      </c>
      <c r="I300" s="472">
        <f t="shared" si="60"/>
        <v>0</v>
      </c>
      <c r="J300" s="478"/>
      <c r="K300" s="478"/>
      <c r="L300" s="478"/>
      <c r="M300" s="478"/>
      <c r="N300" s="478"/>
      <c r="O300" s="478"/>
      <c r="P300" s="478"/>
      <c r="Q300" s="478"/>
      <c r="R300" s="478"/>
      <c r="S300" s="472">
        <f t="shared" si="61"/>
        <v>0</v>
      </c>
      <c r="T300" s="478"/>
      <c r="U300" s="478"/>
      <c r="V300" s="478"/>
    </row>
    <row r="301" spans="1:22" s="468" customFormat="1" ht="15.75">
      <c r="A301" s="621"/>
      <c r="B301" s="611"/>
      <c r="C301" s="630">
        <v>4430</v>
      </c>
      <c r="D301" s="477" t="s">
        <v>431</v>
      </c>
      <c r="E301" s="529">
        <f t="shared" si="57"/>
        <v>651</v>
      </c>
      <c r="F301" s="472">
        <f t="shared" si="58"/>
        <v>651</v>
      </c>
      <c r="G301" s="472">
        <f t="shared" si="59"/>
        <v>651</v>
      </c>
      <c r="H301" s="478">
        <v>651</v>
      </c>
      <c r="I301" s="472">
        <f t="shared" si="60"/>
        <v>0</v>
      </c>
      <c r="J301" s="478"/>
      <c r="K301" s="478"/>
      <c r="L301" s="478"/>
      <c r="M301" s="478"/>
      <c r="N301" s="478"/>
      <c r="O301" s="478"/>
      <c r="P301" s="478"/>
      <c r="Q301" s="478"/>
      <c r="R301" s="478"/>
      <c r="S301" s="472">
        <f t="shared" si="61"/>
        <v>0</v>
      </c>
      <c r="T301" s="478"/>
      <c r="U301" s="478"/>
      <c r="V301" s="478"/>
    </row>
    <row r="302" spans="1:22" s="468" customFormat="1" ht="45">
      <c r="A302" s="621"/>
      <c r="B302" s="611"/>
      <c r="C302" s="630">
        <v>4440</v>
      </c>
      <c r="D302" s="477" t="s">
        <v>432</v>
      </c>
      <c r="E302" s="529">
        <f t="shared" si="57"/>
        <v>72800</v>
      </c>
      <c r="F302" s="472">
        <f t="shared" si="58"/>
        <v>72800</v>
      </c>
      <c r="G302" s="472">
        <f t="shared" si="59"/>
        <v>72800</v>
      </c>
      <c r="H302" s="478">
        <v>72800</v>
      </c>
      <c r="I302" s="472">
        <f t="shared" si="60"/>
        <v>0</v>
      </c>
      <c r="J302" s="478"/>
      <c r="K302" s="478"/>
      <c r="L302" s="478"/>
      <c r="M302" s="478"/>
      <c r="N302" s="478"/>
      <c r="O302" s="478"/>
      <c r="P302" s="478"/>
      <c r="Q302" s="478"/>
      <c r="R302" s="478"/>
      <c r="S302" s="472">
        <f t="shared" si="61"/>
        <v>0</v>
      </c>
      <c r="T302" s="478"/>
      <c r="U302" s="478"/>
      <c r="V302" s="478"/>
    </row>
    <row r="303" spans="1:22" s="468" customFormat="1" ht="30">
      <c r="A303" s="621"/>
      <c r="B303" s="611"/>
      <c r="C303" s="630">
        <v>4510</v>
      </c>
      <c r="D303" s="477" t="s">
        <v>743</v>
      </c>
      <c r="E303" s="529">
        <f t="shared" si="57"/>
        <v>210</v>
      </c>
      <c r="F303" s="472">
        <f t="shared" si="58"/>
        <v>210</v>
      </c>
      <c r="G303" s="472">
        <f t="shared" si="59"/>
        <v>210</v>
      </c>
      <c r="H303" s="478">
        <v>210</v>
      </c>
      <c r="I303" s="472">
        <f t="shared" si="60"/>
        <v>0</v>
      </c>
      <c r="J303" s="478"/>
      <c r="K303" s="478"/>
      <c r="L303" s="478"/>
      <c r="M303" s="478"/>
      <c r="N303" s="478"/>
      <c r="O303" s="478"/>
      <c r="P303" s="478"/>
      <c r="Q303" s="478"/>
      <c r="R303" s="478"/>
      <c r="S303" s="472">
        <f t="shared" si="61"/>
        <v>0</v>
      </c>
      <c r="T303" s="478"/>
      <c r="U303" s="478"/>
      <c r="V303" s="478"/>
    </row>
    <row r="304" spans="1:22" s="468" customFormat="1" ht="45">
      <c r="A304" s="621"/>
      <c r="B304" s="611"/>
      <c r="C304" s="630">
        <v>4700</v>
      </c>
      <c r="D304" s="477" t="s">
        <v>708</v>
      </c>
      <c r="E304" s="529">
        <f t="shared" si="57"/>
        <v>2500</v>
      </c>
      <c r="F304" s="472">
        <f t="shared" si="58"/>
        <v>2500</v>
      </c>
      <c r="G304" s="472">
        <f t="shared" si="59"/>
        <v>2500</v>
      </c>
      <c r="H304" s="478">
        <v>2500</v>
      </c>
      <c r="I304" s="472">
        <f t="shared" si="60"/>
        <v>0</v>
      </c>
      <c r="J304" s="478"/>
      <c r="K304" s="478"/>
      <c r="L304" s="478"/>
      <c r="M304" s="478"/>
      <c r="N304" s="478"/>
      <c r="O304" s="478"/>
      <c r="P304" s="478"/>
      <c r="Q304" s="478"/>
      <c r="R304" s="478"/>
      <c r="S304" s="472">
        <f t="shared" si="61"/>
        <v>0</v>
      </c>
      <c r="T304" s="478"/>
      <c r="U304" s="478"/>
      <c r="V304" s="478"/>
    </row>
    <row r="305" spans="1:22" s="468" customFormat="1" ht="60">
      <c r="A305" s="621"/>
      <c r="B305" s="611"/>
      <c r="C305" s="630">
        <v>4740</v>
      </c>
      <c r="D305" s="477" t="s">
        <v>521</v>
      </c>
      <c r="E305" s="529">
        <f t="shared" si="57"/>
        <v>1370</v>
      </c>
      <c r="F305" s="472">
        <f t="shared" si="58"/>
        <v>1370</v>
      </c>
      <c r="G305" s="472">
        <f t="shared" si="59"/>
        <v>1370</v>
      </c>
      <c r="H305" s="478">
        <v>1370</v>
      </c>
      <c r="I305" s="472">
        <f t="shared" si="60"/>
        <v>0</v>
      </c>
      <c r="J305" s="478"/>
      <c r="K305" s="478"/>
      <c r="L305" s="478"/>
      <c r="M305" s="478"/>
      <c r="N305" s="478"/>
      <c r="O305" s="478"/>
      <c r="P305" s="478"/>
      <c r="Q305" s="478"/>
      <c r="R305" s="478"/>
      <c r="S305" s="472">
        <f t="shared" si="61"/>
        <v>0</v>
      </c>
      <c r="T305" s="478"/>
      <c r="U305" s="478"/>
      <c r="V305" s="478"/>
    </row>
    <row r="306" spans="1:22" s="468" customFormat="1" ht="45">
      <c r="A306" s="621"/>
      <c r="B306" s="611"/>
      <c r="C306" s="630">
        <v>4750</v>
      </c>
      <c r="D306" s="477" t="s">
        <v>561</v>
      </c>
      <c r="E306" s="529">
        <f t="shared" si="57"/>
        <v>5564</v>
      </c>
      <c r="F306" s="472">
        <f t="shared" si="58"/>
        <v>5564</v>
      </c>
      <c r="G306" s="472">
        <f t="shared" si="59"/>
        <v>5564</v>
      </c>
      <c r="H306" s="478">
        <v>5564</v>
      </c>
      <c r="I306" s="472">
        <f t="shared" si="60"/>
        <v>0</v>
      </c>
      <c r="J306" s="478"/>
      <c r="K306" s="478"/>
      <c r="L306" s="478"/>
      <c r="M306" s="478"/>
      <c r="N306" s="478"/>
      <c r="O306" s="478"/>
      <c r="P306" s="478"/>
      <c r="Q306" s="478"/>
      <c r="R306" s="478"/>
      <c r="S306" s="472">
        <f t="shared" si="61"/>
        <v>0</v>
      </c>
      <c r="T306" s="478"/>
      <c r="U306" s="478"/>
      <c r="V306" s="478"/>
    </row>
    <row r="307" spans="1:22" s="468" customFormat="1" ht="45" customHeight="1" hidden="1">
      <c r="A307" s="621"/>
      <c r="B307" s="611"/>
      <c r="C307" s="630">
        <v>6060</v>
      </c>
      <c r="D307" s="477" t="s">
        <v>710</v>
      </c>
      <c r="E307" s="529">
        <f t="shared" si="57"/>
        <v>0</v>
      </c>
      <c r="F307" s="472">
        <f t="shared" si="58"/>
        <v>0</v>
      </c>
      <c r="G307" s="472">
        <f t="shared" si="59"/>
        <v>0</v>
      </c>
      <c r="H307" s="478"/>
      <c r="I307" s="472">
        <f t="shared" si="60"/>
        <v>0</v>
      </c>
      <c r="J307" s="478"/>
      <c r="K307" s="478"/>
      <c r="L307" s="478"/>
      <c r="M307" s="478"/>
      <c r="N307" s="478"/>
      <c r="O307" s="478"/>
      <c r="P307" s="478"/>
      <c r="Q307" s="478"/>
      <c r="R307" s="478"/>
      <c r="S307" s="472">
        <f t="shared" si="61"/>
        <v>0</v>
      </c>
      <c r="T307" s="478"/>
      <c r="U307" s="478"/>
      <c r="V307" s="478"/>
    </row>
    <row r="308" spans="1:22" s="476" customFormat="1" ht="31.5">
      <c r="A308" s="620"/>
      <c r="B308" s="612">
        <v>80134</v>
      </c>
      <c r="C308" s="629"/>
      <c r="D308" s="271" t="s">
        <v>571</v>
      </c>
      <c r="E308" s="529">
        <f t="shared" si="57"/>
        <v>494841</v>
      </c>
      <c r="F308" s="472">
        <f t="shared" si="58"/>
        <v>494841</v>
      </c>
      <c r="G308" s="472">
        <f t="shared" si="59"/>
        <v>493651</v>
      </c>
      <c r="H308" s="475">
        <f>SUM(H309:H314)</f>
        <v>15600</v>
      </c>
      <c r="I308" s="472">
        <f t="shared" si="60"/>
        <v>478051</v>
      </c>
      <c r="J308" s="475">
        <f>SUM(J309:J314)</f>
        <v>374961</v>
      </c>
      <c r="K308" s="475">
        <f aca="true" t="shared" si="63" ref="K308:R308">SUM(K309:K314)</f>
        <v>29400</v>
      </c>
      <c r="L308" s="475">
        <f t="shared" si="63"/>
        <v>73690</v>
      </c>
      <c r="M308" s="475">
        <f t="shared" si="63"/>
        <v>0</v>
      </c>
      <c r="N308" s="475">
        <f t="shared" si="63"/>
        <v>1190</v>
      </c>
      <c r="O308" s="475">
        <f t="shared" si="63"/>
        <v>0</v>
      </c>
      <c r="P308" s="475">
        <f>SUM(P309:P314)</f>
        <v>0</v>
      </c>
      <c r="Q308" s="475">
        <f t="shared" si="63"/>
        <v>0</v>
      </c>
      <c r="R308" s="475">
        <f t="shared" si="63"/>
        <v>0</v>
      </c>
      <c r="S308" s="472">
        <f t="shared" si="61"/>
        <v>0</v>
      </c>
      <c r="T308" s="475">
        <f>SUM(T309:T314)</f>
        <v>0</v>
      </c>
      <c r="U308" s="475">
        <f>SUM(U309:U314)</f>
        <v>0</v>
      </c>
      <c r="V308" s="475">
        <f>SUM(V309:V314)</f>
        <v>0</v>
      </c>
    </row>
    <row r="309" spans="1:22" s="468" customFormat="1" ht="45">
      <c r="A309" s="621"/>
      <c r="B309" s="611"/>
      <c r="C309" s="630">
        <v>3020</v>
      </c>
      <c r="D309" s="477" t="s">
        <v>709</v>
      </c>
      <c r="E309" s="529">
        <f t="shared" si="57"/>
        <v>1190</v>
      </c>
      <c r="F309" s="472">
        <f t="shared" si="58"/>
        <v>1190</v>
      </c>
      <c r="G309" s="472">
        <f t="shared" si="59"/>
        <v>0</v>
      </c>
      <c r="H309" s="478"/>
      <c r="I309" s="472">
        <f t="shared" si="60"/>
        <v>0</v>
      </c>
      <c r="J309" s="478"/>
      <c r="K309" s="478"/>
      <c r="L309" s="478"/>
      <c r="M309" s="478"/>
      <c r="N309" s="478">
        <v>1190</v>
      </c>
      <c r="O309" s="478"/>
      <c r="P309" s="478"/>
      <c r="Q309" s="478"/>
      <c r="R309" s="478"/>
      <c r="S309" s="472">
        <f t="shared" si="61"/>
        <v>0</v>
      </c>
      <c r="T309" s="478"/>
      <c r="U309" s="478"/>
      <c r="V309" s="478"/>
    </row>
    <row r="310" spans="1:22" s="468" customFormat="1" ht="30">
      <c r="A310" s="621"/>
      <c r="B310" s="611"/>
      <c r="C310" s="630">
        <v>4010</v>
      </c>
      <c r="D310" s="477" t="s">
        <v>417</v>
      </c>
      <c r="E310" s="529">
        <f t="shared" si="57"/>
        <v>374961</v>
      </c>
      <c r="F310" s="472">
        <f t="shared" si="58"/>
        <v>374961</v>
      </c>
      <c r="G310" s="472">
        <f t="shared" si="59"/>
        <v>374961</v>
      </c>
      <c r="H310" s="478"/>
      <c r="I310" s="472">
        <f t="shared" si="60"/>
        <v>374961</v>
      </c>
      <c r="J310" s="478">
        <v>374961</v>
      </c>
      <c r="K310" s="478"/>
      <c r="L310" s="478"/>
      <c r="M310" s="478"/>
      <c r="N310" s="478"/>
      <c r="O310" s="478"/>
      <c r="P310" s="478"/>
      <c r="Q310" s="478"/>
      <c r="R310" s="478"/>
      <c r="S310" s="472">
        <f t="shared" si="61"/>
        <v>0</v>
      </c>
      <c r="T310" s="478"/>
      <c r="U310" s="478"/>
      <c r="V310" s="478"/>
    </row>
    <row r="311" spans="1:22" s="468" customFormat="1" ht="39.75" customHeight="1">
      <c r="A311" s="621"/>
      <c r="B311" s="611"/>
      <c r="C311" s="630">
        <v>4040</v>
      </c>
      <c r="D311" s="477" t="s">
        <v>418</v>
      </c>
      <c r="E311" s="529">
        <f t="shared" si="57"/>
        <v>29400</v>
      </c>
      <c r="F311" s="472">
        <f t="shared" si="58"/>
        <v>29400</v>
      </c>
      <c r="G311" s="472">
        <f t="shared" si="59"/>
        <v>29400</v>
      </c>
      <c r="H311" s="478"/>
      <c r="I311" s="472">
        <f t="shared" si="60"/>
        <v>29400</v>
      </c>
      <c r="J311" s="478"/>
      <c r="K311" s="478">
        <v>29400</v>
      </c>
      <c r="L311" s="478"/>
      <c r="M311" s="478"/>
      <c r="N311" s="478"/>
      <c r="O311" s="478"/>
      <c r="P311" s="478"/>
      <c r="Q311" s="478"/>
      <c r="R311" s="478"/>
      <c r="S311" s="472">
        <f t="shared" si="61"/>
        <v>0</v>
      </c>
      <c r="T311" s="478"/>
      <c r="U311" s="478"/>
      <c r="V311" s="478"/>
    </row>
    <row r="312" spans="1:22" s="468" customFormat="1" ht="32.25" customHeight="1">
      <c r="A312" s="621"/>
      <c r="B312" s="611"/>
      <c r="C312" s="630">
        <v>4110</v>
      </c>
      <c r="D312" s="477" t="s">
        <v>556</v>
      </c>
      <c r="E312" s="529">
        <f t="shared" si="57"/>
        <v>63460</v>
      </c>
      <c r="F312" s="472">
        <f t="shared" si="58"/>
        <v>63460</v>
      </c>
      <c r="G312" s="472">
        <f t="shared" si="59"/>
        <v>63460</v>
      </c>
      <c r="H312" s="478"/>
      <c r="I312" s="472">
        <f t="shared" si="60"/>
        <v>63460</v>
      </c>
      <c r="J312" s="478"/>
      <c r="K312" s="478"/>
      <c r="L312" s="478">
        <v>63460</v>
      </c>
      <c r="M312" s="478"/>
      <c r="N312" s="478"/>
      <c r="O312" s="478"/>
      <c r="P312" s="478"/>
      <c r="Q312" s="478"/>
      <c r="R312" s="478"/>
      <c r="S312" s="472">
        <f t="shared" si="61"/>
        <v>0</v>
      </c>
      <c r="T312" s="478"/>
      <c r="U312" s="478"/>
      <c r="V312" s="478"/>
    </row>
    <row r="313" spans="1:22" s="468" customFormat="1" ht="35.25" customHeight="1">
      <c r="A313" s="621"/>
      <c r="B313" s="611"/>
      <c r="C313" s="630">
        <v>4120</v>
      </c>
      <c r="D313" s="477" t="s">
        <v>420</v>
      </c>
      <c r="E313" s="529">
        <f t="shared" si="57"/>
        <v>10230</v>
      </c>
      <c r="F313" s="472">
        <f t="shared" si="58"/>
        <v>10230</v>
      </c>
      <c r="G313" s="472">
        <f t="shared" si="59"/>
        <v>10230</v>
      </c>
      <c r="H313" s="478"/>
      <c r="I313" s="472">
        <f t="shared" si="60"/>
        <v>10230</v>
      </c>
      <c r="J313" s="478"/>
      <c r="K313" s="478"/>
      <c r="L313" s="478">
        <v>10230</v>
      </c>
      <c r="M313" s="478"/>
      <c r="N313" s="478"/>
      <c r="O313" s="478"/>
      <c r="P313" s="478"/>
      <c r="Q313" s="478"/>
      <c r="R313" s="478"/>
      <c r="S313" s="472">
        <f t="shared" si="61"/>
        <v>0</v>
      </c>
      <c r="T313" s="478"/>
      <c r="U313" s="478"/>
      <c r="V313" s="478"/>
    </row>
    <row r="314" spans="1:22" s="468" customFormat="1" ht="45">
      <c r="A314" s="621"/>
      <c r="B314" s="611"/>
      <c r="C314" s="630">
        <v>4440</v>
      </c>
      <c r="D314" s="477" t="s">
        <v>432</v>
      </c>
      <c r="E314" s="529">
        <f t="shared" si="57"/>
        <v>15600</v>
      </c>
      <c r="F314" s="472">
        <f t="shared" si="58"/>
        <v>15600</v>
      </c>
      <c r="G314" s="472">
        <f t="shared" si="59"/>
        <v>15600</v>
      </c>
      <c r="H314" s="478">
        <v>15600</v>
      </c>
      <c r="I314" s="472">
        <f t="shared" si="60"/>
        <v>0</v>
      </c>
      <c r="J314" s="478"/>
      <c r="K314" s="478"/>
      <c r="L314" s="478"/>
      <c r="M314" s="478"/>
      <c r="N314" s="478"/>
      <c r="O314" s="478"/>
      <c r="P314" s="478"/>
      <c r="Q314" s="478"/>
      <c r="R314" s="478"/>
      <c r="S314" s="472">
        <f t="shared" si="61"/>
        <v>0</v>
      </c>
      <c r="T314" s="478"/>
      <c r="U314" s="478"/>
      <c r="V314" s="478"/>
    </row>
    <row r="315" spans="1:22" s="476" customFormat="1" ht="47.25">
      <c r="A315" s="622"/>
      <c r="B315" s="612">
        <v>80146</v>
      </c>
      <c r="C315" s="629"/>
      <c r="D315" s="271" t="s">
        <v>572</v>
      </c>
      <c r="E315" s="529">
        <f t="shared" si="57"/>
        <v>81070</v>
      </c>
      <c r="F315" s="472">
        <f t="shared" si="58"/>
        <v>81070</v>
      </c>
      <c r="G315" s="472">
        <f t="shared" si="59"/>
        <v>71070</v>
      </c>
      <c r="H315" s="475">
        <f>SUM(H316:H319)</f>
        <v>66864</v>
      </c>
      <c r="I315" s="472">
        <f t="shared" si="60"/>
        <v>4206</v>
      </c>
      <c r="J315" s="475">
        <f aca="true" t="shared" si="64" ref="J315:R315">SUM(J316:J319)</f>
        <v>0</v>
      </c>
      <c r="K315" s="475">
        <f t="shared" si="64"/>
        <v>0</v>
      </c>
      <c r="L315" s="475">
        <f t="shared" si="64"/>
        <v>0</v>
      </c>
      <c r="M315" s="475">
        <f t="shared" si="64"/>
        <v>4206</v>
      </c>
      <c r="N315" s="475">
        <f t="shared" si="64"/>
        <v>0</v>
      </c>
      <c r="O315" s="475">
        <f t="shared" si="64"/>
        <v>10000</v>
      </c>
      <c r="P315" s="475">
        <f>SUM(P316:P319)</f>
        <v>0</v>
      </c>
      <c r="Q315" s="475">
        <f t="shared" si="64"/>
        <v>0</v>
      </c>
      <c r="R315" s="475">
        <f t="shared" si="64"/>
        <v>0</v>
      </c>
      <c r="S315" s="472">
        <f t="shared" si="61"/>
        <v>0</v>
      </c>
      <c r="T315" s="475">
        <f>SUM(T316:T319)</f>
        <v>0</v>
      </c>
      <c r="U315" s="475">
        <f>SUM(U316:U319)</f>
        <v>0</v>
      </c>
      <c r="V315" s="475">
        <f>SUM(V316:V319)</f>
        <v>0</v>
      </c>
    </row>
    <row r="316" spans="1:22" s="468" customFormat="1" ht="110.25" customHeight="1">
      <c r="A316" s="621"/>
      <c r="B316" s="611"/>
      <c r="C316" s="630">
        <v>2310</v>
      </c>
      <c r="D316" s="477" t="s">
        <v>576</v>
      </c>
      <c r="E316" s="529">
        <f t="shared" si="57"/>
        <v>10000</v>
      </c>
      <c r="F316" s="472">
        <f t="shared" si="58"/>
        <v>10000</v>
      </c>
      <c r="G316" s="472">
        <f t="shared" si="59"/>
        <v>0</v>
      </c>
      <c r="H316" s="478">
        <v>0</v>
      </c>
      <c r="I316" s="472">
        <f t="shared" si="60"/>
        <v>0</v>
      </c>
      <c r="J316" s="478"/>
      <c r="K316" s="478"/>
      <c r="L316" s="478"/>
      <c r="M316" s="478"/>
      <c r="N316" s="478"/>
      <c r="O316" s="478">
        <v>10000</v>
      </c>
      <c r="P316" s="478"/>
      <c r="Q316" s="478"/>
      <c r="R316" s="478"/>
      <c r="S316" s="472">
        <f t="shared" si="61"/>
        <v>0</v>
      </c>
      <c r="T316" s="478"/>
      <c r="U316" s="478"/>
      <c r="V316" s="478"/>
    </row>
    <row r="317" spans="1:22" s="468" customFormat="1" ht="30">
      <c r="A317" s="621"/>
      <c r="B317" s="611"/>
      <c r="C317" s="630">
        <v>4170</v>
      </c>
      <c r="D317" s="477" t="s">
        <v>541</v>
      </c>
      <c r="E317" s="529">
        <f t="shared" si="57"/>
        <v>4206</v>
      </c>
      <c r="F317" s="472">
        <f t="shared" si="58"/>
        <v>4206</v>
      </c>
      <c r="G317" s="472">
        <f t="shared" si="59"/>
        <v>4206</v>
      </c>
      <c r="H317" s="478"/>
      <c r="I317" s="472">
        <f t="shared" si="60"/>
        <v>4206</v>
      </c>
      <c r="J317" s="478"/>
      <c r="K317" s="478"/>
      <c r="L317" s="478"/>
      <c r="M317" s="478">
        <v>4206</v>
      </c>
      <c r="N317" s="478"/>
      <c r="O317" s="478"/>
      <c r="P317" s="478"/>
      <c r="Q317" s="478"/>
      <c r="R317" s="478"/>
      <c r="S317" s="472">
        <f t="shared" si="61"/>
        <v>0</v>
      </c>
      <c r="T317" s="478"/>
      <c r="U317" s="478"/>
      <c r="V317" s="478"/>
    </row>
    <row r="318" spans="1:22" s="468" customFormat="1" ht="30.75" customHeight="1">
      <c r="A318" s="621"/>
      <c r="B318" s="611"/>
      <c r="C318" s="630">
        <v>4300</v>
      </c>
      <c r="D318" s="477" t="s">
        <v>529</v>
      </c>
      <c r="E318" s="529">
        <f t="shared" si="57"/>
        <v>55194</v>
      </c>
      <c r="F318" s="472">
        <f t="shared" si="58"/>
        <v>55194</v>
      </c>
      <c r="G318" s="472">
        <f t="shared" si="59"/>
        <v>55194</v>
      </c>
      <c r="H318" s="478">
        <v>55194</v>
      </c>
      <c r="I318" s="472">
        <f t="shared" si="60"/>
        <v>0</v>
      </c>
      <c r="J318" s="478"/>
      <c r="K318" s="478"/>
      <c r="L318" s="478"/>
      <c r="M318" s="478"/>
      <c r="N318" s="478"/>
      <c r="O318" s="478"/>
      <c r="P318" s="478"/>
      <c r="Q318" s="478"/>
      <c r="R318" s="478"/>
      <c r="S318" s="472">
        <f t="shared" si="61"/>
        <v>0</v>
      </c>
      <c r="T318" s="478"/>
      <c r="U318" s="478"/>
      <c r="V318" s="478"/>
    </row>
    <row r="319" spans="1:22" s="468" customFormat="1" ht="30">
      <c r="A319" s="621"/>
      <c r="B319" s="611"/>
      <c r="C319" s="630">
        <v>4410</v>
      </c>
      <c r="D319" s="477" t="s">
        <v>430</v>
      </c>
      <c r="E319" s="529">
        <f t="shared" si="57"/>
        <v>11670</v>
      </c>
      <c r="F319" s="472">
        <f t="shared" si="58"/>
        <v>11670</v>
      </c>
      <c r="G319" s="472">
        <f t="shared" si="59"/>
        <v>11670</v>
      </c>
      <c r="H319" s="478">
        <v>11670</v>
      </c>
      <c r="I319" s="472">
        <f t="shared" si="60"/>
        <v>0</v>
      </c>
      <c r="J319" s="478"/>
      <c r="K319" s="478"/>
      <c r="L319" s="478"/>
      <c r="M319" s="478"/>
      <c r="N319" s="478"/>
      <c r="O319" s="478"/>
      <c r="P319" s="478"/>
      <c r="Q319" s="478"/>
      <c r="R319" s="478"/>
      <c r="S319" s="472">
        <f t="shared" si="61"/>
        <v>0</v>
      </c>
      <c r="T319" s="478"/>
      <c r="U319" s="478"/>
      <c r="V319" s="478"/>
    </row>
    <row r="320" spans="1:22" s="468" customFormat="1" ht="15.75">
      <c r="A320" s="621"/>
      <c r="B320" s="612">
        <v>80148</v>
      </c>
      <c r="C320" s="630"/>
      <c r="D320" s="271" t="s">
        <v>574</v>
      </c>
      <c r="E320" s="529">
        <f t="shared" si="57"/>
        <v>387190</v>
      </c>
      <c r="F320" s="472">
        <f t="shared" si="58"/>
        <v>387190</v>
      </c>
      <c r="G320" s="472">
        <f t="shared" si="59"/>
        <v>382540</v>
      </c>
      <c r="H320" s="475">
        <f>SUM(H321:H332)</f>
        <v>106110</v>
      </c>
      <c r="I320" s="472">
        <f t="shared" si="60"/>
        <v>276430</v>
      </c>
      <c r="J320" s="475">
        <f aca="true" t="shared" si="65" ref="J320:R320">SUM(J321:J332)</f>
        <v>217970</v>
      </c>
      <c r="K320" s="475">
        <f t="shared" si="65"/>
        <v>17780</v>
      </c>
      <c r="L320" s="475">
        <f t="shared" si="65"/>
        <v>40680</v>
      </c>
      <c r="M320" s="475">
        <f t="shared" si="65"/>
        <v>0</v>
      </c>
      <c r="N320" s="475">
        <f t="shared" si="65"/>
        <v>4650</v>
      </c>
      <c r="O320" s="475">
        <f t="shared" si="65"/>
        <v>0</v>
      </c>
      <c r="P320" s="475">
        <f>SUM(P321:P332)</f>
        <v>0</v>
      </c>
      <c r="Q320" s="475">
        <f t="shared" si="65"/>
        <v>0</v>
      </c>
      <c r="R320" s="475">
        <f t="shared" si="65"/>
        <v>0</v>
      </c>
      <c r="S320" s="472">
        <f t="shared" si="61"/>
        <v>0</v>
      </c>
      <c r="T320" s="475">
        <f>SUM(T321:T332)</f>
        <v>0</v>
      </c>
      <c r="U320" s="475">
        <f>SUM(U321:U332)</f>
        <v>0</v>
      </c>
      <c r="V320" s="475">
        <f>SUM(V321:V332)</f>
        <v>0</v>
      </c>
    </row>
    <row r="321" spans="1:22" s="468" customFormat="1" ht="45">
      <c r="A321" s="621"/>
      <c r="B321" s="611"/>
      <c r="C321" s="630">
        <v>3020</v>
      </c>
      <c r="D321" s="477" t="s">
        <v>709</v>
      </c>
      <c r="E321" s="529">
        <f t="shared" si="57"/>
        <v>4650</v>
      </c>
      <c r="F321" s="472">
        <f t="shared" si="58"/>
        <v>4650</v>
      </c>
      <c r="G321" s="472">
        <f t="shared" si="59"/>
        <v>0</v>
      </c>
      <c r="H321" s="478"/>
      <c r="I321" s="472">
        <f t="shared" si="60"/>
        <v>0</v>
      </c>
      <c r="J321" s="478"/>
      <c r="K321" s="478"/>
      <c r="L321" s="478"/>
      <c r="M321" s="478"/>
      <c r="N321" s="478">
        <v>4650</v>
      </c>
      <c r="O321" s="478"/>
      <c r="P321" s="478"/>
      <c r="Q321" s="478"/>
      <c r="R321" s="478"/>
      <c r="S321" s="472">
        <f t="shared" si="61"/>
        <v>0</v>
      </c>
      <c r="T321" s="478"/>
      <c r="U321" s="478"/>
      <c r="V321" s="478"/>
    </row>
    <row r="322" spans="1:22" s="468" customFormat="1" ht="34.5" customHeight="1">
      <c r="A322" s="621"/>
      <c r="B322" s="611"/>
      <c r="C322" s="630">
        <v>4010</v>
      </c>
      <c r="D322" s="477" t="s">
        <v>417</v>
      </c>
      <c r="E322" s="529">
        <f t="shared" si="57"/>
        <v>217970</v>
      </c>
      <c r="F322" s="472">
        <f t="shared" si="58"/>
        <v>217970</v>
      </c>
      <c r="G322" s="472">
        <f t="shared" si="59"/>
        <v>217970</v>
      </c>
      <c r="H322" s="478"/>
      <c r="I322" s="472">
        <f t="shared" si="60"/>
        <v>217970</v>
      </c>
      <c r="J322" s="478">
        <v>217970</v>
      </c>
      <c r="K322" s="478"/>
      <c r="L322" s="478"/>
      <c r="M322" s="478"/>
      <c r="N322" s="478"/>
      <c r="O322" s="478"/>
      <c r="P322" s="478"/>
      <c r="Q322" s="478"/>
      <c r="R322" s="478"/>
      <c r="S322" s="472">
        <f t="shared" si="61"/>
        <v>0</v>
      </c>
      <c r="T322" s="478"/>
      <c r="U322" s="478"/>
      <c r="V322" s="478"/>
    </row>
    <row r="323" spans="1:22" s="468" customFormat="1" ht="31.5" customHeight="1">
      <c r="A323" s="621"/>
      <c r="B323" s="611"/>
      <c r="C323" s="630">
        <v>4040</v>
      </c>
      <c r="D323" s="477" t="s">
        <v>418</v>
      </c>
      <c r="E323" s="529">
        <f t="shared" si="57"/>
        <v>17780</v>
      </c>
      <c r="F323" s="472">
        <f t="shared" si="58"/>
        <v>17780</v>
      </c>
      <c r="G323" s="472">
        <f t="shared" si="59"/>
        <v>17780</v>
      </c>
      <c r="H323" s="478"/>
      <c r="I323" s="472">
        <f t="shared" si="60"/>
        <v>17780</v>
      </c>
      <c r="J323" s="478"/>
      <c r="K323" s="478">
        <v>17780</v>
      </c>
      <c r="L323" s="478"/>
      <c r="M323" s="478"/>
      <c r="N323" s="478"/>
      <c r="O323" s="478"/>
      <c r="P323" s="478"/>
      <c r="Q323" s="478"/>
      <c r="R323" s="478"/>
      <c r="S323" s="472">
        <f t="shared" si="61"/>
        <v>0</v>
      </c>
      <c r="T323" s="478"/>
      <c r="U323" s="478"/>
      <c r="V323" s="478"/>
    </row>
    <row r="324" spans="1:22" s="468" customFormat="1" ht="35.25" customHeight="1">
      <c r="A324" s="621"/>
      <c r="B324" s="611"/>
      <c r="C324" s="630">
        <v>4110</v>
      </c>
      <c r="D324" s="477" t="s">
        <v>556</v>
      </c>
      <c r="E324" s="529">
        <f t="shared" si="57"/>
        <v>35020</v>
      </c>
      <c r="F324" s="472">
        <f t="shared" si="58"/>
        <v>35020</v>
      </c>
      <c r="G324" s="472">
        <f t="shared" si="59"/>
        <v>35020</v>
      </c>
      <c r="H324" s="478"/>
      <c r="I324" s="472">
        <f t="shared" si="60"/>
        <v>35020</v>
      </c>
      <c r="J324" s="478"/>
      <c r="K324" s="478"/>
      <c r="L324" s="478">
        <v>35020</v>
      </c>
      <c r="M324" s="478"/>
      <c r="N324" s="478"/>
      <c r="O324" s="478"/>
      <c r="P324" s="478"/>
      <c r="Q324" s="478"/>
      <c r="R324" s="478"/>
      <c r="S324" s="472">
        <f t="shared" si="61"/>
        <v>0</v>
      </c>
      <c r="T324" s="478"/>
      <c r="U324" s="478"/>
      <c r="V324" s="478"/>
    </row>
    <row r="325" spans="1:22" s="468" customFormat="1" ht="30">
      <c r="A325" s="621"/>
      <c r="B325" s="611"/>
      <c r="C325" s="630">
        <v>4120</v>
      </c>
      <c r="D325" s="477" t="s">
        <v>420</v>
      </c>
      <c r="E325" s="529">
        <f t="shared" si="57"/>
        <v>5660</v>
      </c>
      <c r="F325" s="472">
        <f t="shared" si="58"/>
        <v>5660</v>
      </c>
      <c r="G325" s="472">
        <f t="shared" si="59"/>
        <v>5660</v>
      </c>
      <c r="H325" s="478"/>
      <c r="I325" s="472">
        <f t="shared" si="60"/>
        <v>5660</v>
      </c>
      <c r="J325" s="478"/>
      <c r="K325" s="478"/>
      <c r="L325" s="478">
        <v>5660</v>
      </c>
      <c r="M325" s="478"/>
      <c r="N325" s="478"/>
      <c r="O325" s="478"/>
      <c r="P325" s="478"/>
      <c r="Q325" s="478"/>
      <c r="R325" s="478"/>
      <c r="S325" s="472">
        <f t="shared" si="61"/>
        <v>0</v>
      </c>
      <c r="T325" s="478"/>
      <c r="U325" s="478"/>
      <c r="V325" s="478"/>
    </row>
    <row r="326" spans="1:22" s="468" customFormat="1" ht="38.25" customHeight="1">
      <c r="A326" s="621"/>
      <c r="B326" s="611"/>
      <c r="C326" s="630">
        <v>4210</v>
      </c>
      <c r="D326" s="477" t="s">
        <v>422</v>
      </c>
      <c r="E326" s="529">
        <f t="shared" si="57"/>
        <v>73690</v>
      </c>
      <c r="F326" s="472">
        <f t="shared" si="58"/>
        <v>73690</v>
      </c>
      <c r="G326" s="472">
        <f t="shared" si="59"/>
        <v>73690</v>
      </c>
      <c r="H326" s="478">
        <v>73690</v>
      </c>
      <c r="I326" s="472">
        <f t="shared" si="60"/>
        <v>0</v>
      </c>
      <c r="J326" s="478"/>
      <c r="K326" s="478"/>
      <c r="L326" s="478"/>
      <c r="M326" s="478"/>
      <c r="N326" s="478"/>
      <c r="O326" s="478"/>
      <c r="P326" s="478"/>
      <c r="Q326" s="478"/>
      <c r="R326" s="478"/>
      <c r="S326" s="472">
        <f t="shared" si="61"/>
        <v>0</v>
      </c>
      <c r="T326" s="478"/>
      <c r="U326" s="478"/>
      <c r="V326" s="478"/>
    </row>
    <row r="327" spans="1:22" s="468" customFormat="1" ht="15.75">
      <c r="A327" s="621"/>
      <c r="B327" s="611"/>
      <c r="C327" s="630">
        <v>4260</v>
      </c>
      <c r="D327" s="477" t="s">
        <v>423</v>
      </c>
      <c r="E327" s="529">
        <f t="shared" si="57"/>
        <v>18370</v>
      </c>
      <c r="F327" s="472">
        <f t="shared" si="58"/>
        <v>18370</v>
      </c>
      <c r="G327" s="472">
        <f t="shared" si="59"/>
        <v>18370</v>
      </c>
      <c r="H327" s="478">
        <v>18370</v>
      </c>
      <c r="I327" s="472">
        <f t="shared" si="60"/>
        <v>0</v>
      </c>
      <c r="J327" s="478"/>
      <c r="K327" s="478"/>
      <c r="L327" s="478"/>
      <c r="M327" s="478"/>
      <c r="N327" s="478"/>
      <c r="O327" s="478"/>
      <c r="P327" s="478"/>
      <c r="Q327" s="478"/>
      <c r="R327" s="478"/>
      <c r="S327" s="472">
        <f t="shared" si="61"/>
        <v>0</v>
      </c>
      <c r="T327" s="478"/>
      <c r="U327" s="478"/>
      <c r="V327" s="478"/>
    </row>
    <row r="328" spans="1:22" s="468" customFormat="1" ht="30">
      <c r="A328" s="621"/>
      <c r="B328" s="611"/>
      <c r="C328" s="630">
        <v>4270</v>
      </c>
      <c r="D328" s="477" t="s">
        <v>424</v>
      </c>
      <c r="E328" s="529">
        <f t="shared" si="57"/>
        <v>590</v>
      </c>
      <c r="F328" s="472">
        <f t="shared" si="58"/>
        <v>590</v>
      </c>
      <c r="G328" s="472">
        <f t="shared" si="59"/>
        <v>590</v>
      </c>
      <c r="H328" s="478">
        <v>590</v>
      </c>
      <c r="I328" s="472">
        <f t="shared" si="60"/>
        <v>0</v>
      </c>
      <c r="J328" s="478"/>
      <c r="K328" s="478"/>
      <c r="L328" s="478"/>
      <c r="M328" s="478"/>
      <c r="N328" s="478"/>
      <c r="O328" s="478"/>
      <c r="P328" s="478"/>
      <c r="Q328" s="478"/>
      <c r="R328" s="478"/>
      <c r="S328" s="472">
        <f t="shared" si="61"/>
        <v>0</v>
      </c>
      <c r="T328" s="478"/>
      <c r="U328" s="478"/>
      <c r="V328" s="478"/>
    </row>
    <row r="329" spans="1:22" s="468" customFormat="1" ht="42.75" customHeight="1">
      <c r="A329" s="621"/>
      <c r="B329" s="611"/>
      <c r="C329" s="630">
        <v>4280</v>
      </c>
      <c r="D329" s="477" t="s">
        <v>425</v>
      </c>
      <c r="E329" s="529">
        <f t="shared" si="57"/>
        <v>270</v>
      </c>
      <c r="F329" s="472">
        <f t="shared" si="58"/>
        <v>270</v>
      </c>
      <c r="G329" s="472">
        <f t="shared" si="59"/>
        <v>270</v>
      </c>
      <c r="H329" s="478">
        <v>270</v>
      </c>
      <c r="I329" s="472">
        <f t="shared" si="60"/>
        <v>0</v>
      </c>
      <c r="J329" s="478"/>
      <c r="K329" s="478"/>
      <c r="L329" s="478"/>
      <c r="M329" s="478"/>
      <c r="N329" s="478"/>
      <c r="O329" s="478"/>
      <c r="P329" s="478"/>
      <c r="Q329" s="478"/>
      <c r="R329" s="478"/>
      <c r="S329" s="472">
        <f t="shared" si="61"/>
        <v>0</v>
      </c>
      <c r="T329" s="478"/>
      <c r="U329" s="478"/>
      <c r="V329" s="478"/>
    </row>
    <row r="330" spans="1:22" s="468" customFormat="1" ht="36" customHeight="1">
      <c r="A330" s="621"/>
      <c r="B330" s="611"/>
      <c r="C330" s="630">
        <v>4300</v>
      </c>
      <c r="D330" s="477" t="s">
        <v>529</v>
      </c>
      <c r="E330" s="529">
        <f t="shared" si="57"/>
        <v>3190</v>
      </c>
      <c r="F330" s="472">
        <f t="shared" si="58"/>
        <v>3190</v>
      </c>
      <c r="G330" s="472">
        <f t="shared" si="59"/>
        <v>3190</v>
      </c>
      <c r="H330" s="478">
        <v>3190</v>
      </c>
      <c r="I330" s="472">
        <f t="shared" si="60"/>
        <v>0</v>
      </c>
      <c r="J330" s="478"/>
      <c r="K330" s="478"/>
      <c r="L330" s="478"/>
      <c r="M330" s="478"/>
      <c r="N330" s="478"/>
      <c r="O330" s="478"/>
      <c r="P330" s="478"/>
      <c r="Q330" s="478"/>
      <c r="R330" s="478"/>
      <c r="S330" s="472">
        <f t="shared" si="61"/>
        <v>0</v>
      </c>
      <c r="T330" s="478"/>
      <c r="U330" s="478"/>
      <c r="V330" s="478"/>
    </row>
    <row r="331" spans="1:22" s="468" customFormat="1" ht="45">
      <c r="A331" s="621"/>
      <c r="B331" s="611"/>
      <c r="C331" s="630">
        <v>4440</v>
      </c>
      <c r="D331" s="477" t="s">
        <v>432</v>
      </c>
      <c r="E331" s="529">
        <f t="shared" si="57"/>
        <v>10000</v>
      </c>
      <c r="F331" s="472">
        <f t="shared" si="58"/>
        <v>10000</v>
      </c>
      <c r="G331" s="472">
        <f t="shared" si="59"/>
        <v>10000</v>
      </c>
      <c r="H331" s="478">
        <v>10000</v>
      </c>
      <c r="I331" s="472">
        <f t="shared" si="60"/>
        <v>0</v>
      </c>
      <c r="J331" s="478"/>
      <c r="K331" s="478"/>
      <c r="L331" s="478"/>
      <c r="M331" s="478"/>
      <c r="N331" s="478"/>
      <c r="O331" s="478"/>
      <c r="P331" s="478"/>
      <c r="Q331" s="478"/>
      <c r="R331" s="478"/>
      <c r="S331" s="472">
        <f t="shared" si="61"/>
        <v>0</v>
      </c>
      <c r="T331" s="478"/>
      <c r="U331" s="478"/>
      <c r="V331" s="478"/>
    </row>
    <row r="332" spans="1:22" s="468" customFormat="1" ht="45" customHeight="1" hidden="1">
      <c r="A332" s="621"/>
      <c r="B332" s="611"/>
      <c r="C332" s="630">
        <v>6060</v>
      </c>
      <c r="D332" s="477" t="s">
        <v>710</v>
      </c>
      <c r="E332" s="529">
        <f t="shared" si="57"/>
        <v>0</v>
      </c>
      <c r="F332" s="472">
        <f t="shared" si="58"/>
        <v>0</v>
      </c>
      <c r="G332" s="472">
        <f t="shared" si="59"/>
        <v>0</v>
      </c>
      <c r="H332" s="478"/>
      <c r="I332" s="472">
        <f t="shared" si="60"/>
        <v>0</v>
      </c>
      <c r="J332" s="478"/>
      <c r="K332" s="478"/>
      <c r="L332" s="478"/>
      <c r="M332" s="478"/>
      <c r="N332" s="478"/>
      <c r="O332" s="478"/>
      <c r="P332" s="478"/>
      <c r="Q332" s="478"/>
      <c r="R332" s="478"/>
      <c r="S332" s="472">
        <f t="shared" si="61"/>
        <v>0</v>
      </c>
      <c r="T332" s="478"/>
      <c r="U332" s="478"/>
      <c r="V332" s="478"/>
    </row>
    <row r="333" spans="1:22" s="476" customFormat="1" ht="15.75">
      <c r="A333" s="620"/>
      <c r="B333" s="612">
        <v>80195</v>
      </c>
      <c r="C333" s="629"/>
      <c r="D333" s="271" t="s">
        <v>546</v>
      </c>
      <c r="E333" s="529">
        <f t="shared" si="57"/>
        <v>433278</v>
      </c>
      <c r="F333" s="472">
        <f t="shared" si="58"/>
        <v>433278</v>
      </c>
      <c r="G333" s="472">
        <f t="shared" si="59"/>
        <v>431588</v>
      </c>
      <c r="H333" s="475">
        <f>SUM(H334:H380)</f>
        <v>121460</v>
      </c>
      <c r="I333" s="472">
        <f t="shared" si="60"/>
        <v>310128</v>
      </c>
      <c r="J333" s="475">
        <f>SUM(J334:J380)</f>
        <v>241078</v>
      </c>
      <c r="K333" s="475">
        <f aca="true" t="shared" si="66" ref="K333:Q333">SUM(K334:K380)</f>
        <v>18270</v>
      </c>
      <c r="L333" s="475">
        <f t="shared" si="66"/>
        <v>45980</v>
      </c>
      <c r="M333" s="475">
        <f t="shared" si="66"/>
        <v>4800</v>
      </c>
      <c r="N333" s="475">
        <f t="shared" si="66"/>
        <v>1690</v>
      </c>
      <c r="O333" s="475">
        <f t="shared" si="66"/>
        <v>0</v>
      </c>
      <c r="P333" s="475">
        <f>SUM(P334:P380)</f>
        <v>0</v>
      </c>
      <c r="Q333" s="475">
        <f t="shared" si="66"/>
        <v>0</v>
      </c>
      <c r="R333" s="475">
        <f>SUM(R334:R380)</f>
        <v>0</v>
      </c>
      <c r="S333" s="472">
        <f t="shared" si="61"/>
        <v>0</v>
      </c>
      <c r="T333" s="475">
        <f>SUM(T334:T380)</f>
        <v>0</v>
      </c>
      <c r="U333" s="475">
        <f>SUM(U334:U380)</f>
        <v>0</v>
      </c>
      <c r="V333" s="475">
        <f>SUM(V334:V380)</f>
        <v>0</v>
      </c>
    </row>
    <row r="334" spans="1:22" s="468" customFormat="1" ht="45">
      <c r="A334" s="621"/>
      <c r="B334" s="611"/>
      <c r="C334" s="630">
        <v>3020</v>
      </c>
      <c r="D334" s="477" t="s">
        <v>709</v>
      </c>
      <c r="E334" s="529">
        <f t="shared" si="57"/>
        <v>1690</v>
      </c>
      <c r="F334" s="472">
        <f t="shared" si="58"/>
        <v>1690</v>
      </c>
      <c r="G334" s="472">
        <f t="shared" si="59"/>
        <v>0</v>
      </c>
      <c r="H334" s="478"/>
      <c r="I334" s="472">
        <f t="shared" si="60"/>
        <v>0</v>
      </c>
      <c r="J334" s="478"/>
      <c r="K334" s="478"/>
      <c r="L334" s="478"/>
      <c r="M334" s="478"/>
      <c r="N334" s="478">
        <v>1690</v>
      </c>
      <c r="O334" s="478"/>
      <c r="P334" s="478"/>
      <c r="Q334" s="478"/>
      <c r="R334" s="478"/>
      <c r="S334" s="472">
        <f t="shared" si="61"/>
        <v>0</v>
      </c>
      <c r="T334" s="478"/>
      <c r="U334" s="478"/>
      <c r="V334" s="478"/>
    </row>
    <row r="335" spans="1:22" s="468" customFormat="1" ht="30">
      <c r="A335" s="621"/>
      <c r="B335" s="611"/>
      <c r="C335" s="630">
        <v>4010</v>
      </c>
      <c r="D335" s="477" t="s">
        <v>417</v>
      </c>
      <c r="E335" s="529">
        <f aca="true" t="shared" si="67" ref="E335:E398">F335+S335</f>
        <v>241078</v>
      </c>
      <c r="F335" s="472">
        <f t="shared" si="58"/>
        <v>241078</v>
      </c>
      <c r="G335" s="472">
        <f t="shared" si="59"/>
        <v>241078</v>
      </c>
      <c r="H335" s="478"/>
      <c r="I335" s="472">
        <f t="shared" si="60"/>
        <v>241078</v>
      </c>
      <c r="J335" s="478">
        <v>241078</v>
      </c>
      <c r="K335" s="478"/>
      <c r="L335" s="478"/>
      <c r="M335" s="478"/>
      <c r="N335" s="478"/>
      <c r="O335" s="478"/>
      <c r="P335" s="478"/>
      <c r="Q335" s="478"/>
      <c r="R335" s="478"/>
      <c r="S335" s="472">
        <f t="shared" si="61"/>
        <v>0</v>
      </c>
      <c r="T335" s="478"/>
      <c r="U335" s="478"/>
      <c r="V335" s="478"/>
    </row>
    <row r="336" spans="1:22" s="468" customFormat="1" ht="34.5" customHeight="1">
      <c r="A336" s="621"/>
      <c r="B336" s="611"/>
      <c r="C336" s="630">
        <v>4040</v>
      </c>
      <c r="D336" s="477" t="s">
        <v>418</v>
      </c>
      <c r="E336" s="529">
        <f t="shared" si="67"/>
        <v>18270</v>
      </c>
      <c r="F336" s="472">
        <f aca="true" t="shared" si="68" ref="F336:F399">G336+N336+O336+P336+Q336+R336</f>
        <v>18270</v>
      </c>
      <c r="G336" s="472">
        <f aca="true" t="shared" si="69" ref="G336:G399">H336+I336</f>
        <v>18270</v>
      </c>
      <c r="H336" s="478"/>
      <c r="I336" s="472">
        <f aca="true" t="shared" si="70" ref="I336:I399">SUM(J336:M336)</f>
        <v>18270</v>
      </c>
      <c r="J336" s="478"/>
      <c r="K336" s="478">
        <v>18270</v>
      </c>
      <c r="L336" s="478"/>
      <c r="M336" s="478"/>
      <c r="N336" s="478"/>
      <c r="O336" s="478"/>
      <c r="P336" s="478"/>
      <c r="Q336" s="478"/>
      <c r="R336" s="478"/>
      <c r="S336" s="472">
        <f aca="true" t="shared" si="71" ref="S336:S399">T336+V336</f>
        <v>0</v>
      </c>
      <c r="T336" s="478"/>
      <c r="U336" s="478"/>
      <c r="V336" s="478"/>
    </row>
    <row r="337" spans="1:22" s="468" customFormat="1" ht="30.75" customHeight="1">
      <c r="A337" s="621"/>
      <c r="B337" s="611"/>
      <c r="C337" s="630">
        <v>4110</v>
      </c>
      <c r="D337" s="477" t="s">
        <v>556</v>
      </c>
      <c r="E337" s="529">
        <f t="shared" si="67"/>
        <v>39720</v>
      </c>
      <c r="F337" s="472">
        <f t="shared" si="68"/>
        <v>39720</v>
      </c>
      <c r="G337" s="472">
        <f t="shared" si="69"/>
        <v>39720</v>
      </c>
      <c r="H337" s="478"/>
      <c r="I337" s="472">
        <f t="shared" si="70"/>
        <v>39720</v>
      </c>
      <c r="J337" s="478"/>
      <c r="K337" s="478"/>
      <c r="L337" s="478">
        <v>39720</v>
      </c>
      <c r="M337" s="478"/>
      <c r="N337" s="478"/>
      <c r="O337" s="478"/>
      <c r="P337" s="478"/>
      <c r="Q337" s="478"/>
      <c r="R337" s="478"/>
      <c r="S337" s="472">
        <f t="shared" si="71"/>
        <v>0</v>
      </c>
      <c r="T337" s="478"/>
      <c r="U337" s="478"/>
      <c r="V337" s="478"/>
    </row>
    <row r="338" spans="1:22" s="468" customFormat="1" ht="30">
      <c r="A338" s="621"/>
      <c r="B338" s="611"/>
      <c r="C338" s="630">
        <v>4120</v>
      </c>
      <c r="D338" s="477" t="s">
        <v>420</v>
      </c>
      <c r="E338" s="529">
        <f t="shared" si="67"/>
        <v>6260</v>
      </c>
      <c r="F338" s="472">
        <f t="shared" si="68"/>
        <v>6260</v>
      </c>
      <c r="G338" s="472">
        <f t="shared" si="69"/>
        <v>6260</v>
      </c>
      <c r="H338" s="478"/>
      <c r="I338" s="472">
        <f t="shared" si="70"/>
        <v>6260</v>
      </c>
      <c r="J338" s="478"/>
      <c r="K338" s="478"/>
      <c r="L338" s="478">
        <v>6260</v>
      </c>
      <c r="M338" s="478"/>
      <c r="N338" s="478"/>
      <c r="O338" s="478"/>
      <c r="P338" s="478"/>
      <c r="Q338" s="478"/>
      <c r="R338" s="478"/>
      <c r="S338" s="472">
        <f t="shared" si="71"/>
        <v>0</v>
      </c>
      <c r="T338" s="478"/>
      <c r="U338" s="478"/>
      <c r="V338" s="478"/>
    </row>
    <row r="339" spans="1:22" s="468" customFormat="1" ht="30" customHeight="1">
      <c r="A339" s="621"/>
      <c r="B339" s="611"/>
      <c r="C339" s="630">
        <v>4170</v>
      </c>
      <c r="D339" s="477" t="s">
        <v>518</v>
      </c>
      <c r="E339" s="529">
        <f t="shared" si="67"/>
        <v>4800</v>
      </c>
      <c r="F339" s="472">
        <f t="shared" si="68"/>
        <v>4800</v>
      </c>
      <c r="G339" s="472">
        <f t="shared" si="69"/>
        <v>4800</v>
      </c>
      <c r="H339" s="478"/>
      <c r="I339" s="472">
        <f t="shared" si="70"/>
        <v>4800</v>
      </c>
      <c r="J339" s="478"/>
      <c r="K339" s="478"/>
      <c r="L339" s="478"/>
      <c r="M339" s="478">
        <v>4800</v>
      </c>
      <c r="N339" s="478"/>
      <c r="O339" s="478"/>
      <c r="P339" s="478"/>
      <c r="Q339" s="478"/>
      <c r="R339" s="478"/>
      <c r="S339" s="472">
        <f t="shared" si="71"/>
        <v>0</v>
      </c>
      <c r="T339" s="478"/>
      <c r="U339" s="478"/>
      <c r="V339" s="478"/>
    </row>
    <row r="340" spans="1:22" s="468" customFormat="1" ht="30">
      <c r="A340" s="621"/>
      <c r="B340" s="611"/>
      <c r="C340" s="630">
        <v>4210</v>
      </c>
      <c r="D340" s="477" t="s">
        <v>422</v>
      </c>
      <c r="E340" s="529">
        <f t="shared" si="67"/>
        <v>13580</v>
      </c>
      <c r="F340" s="472">
        <f t="shared" si="68"/>
        <v>13580</v>
      </c>
      <c r="G340" s="472">
        <f t="shared" si="69"/>
        <v>13580</v>
      </c>
      <c r="H340" s="478">
        <v>13580</v>
      </c>
      <c r="I340" s="472">
        <f t="shared" si="70"/>
        <v>0</v>
      </c>
      <c r="J340" s="478"/>
      <c r="K340" s="478"/>
      <c r="L340" s="478"/>
      <c r="M340" s="478"/>
      <c r="N340" s="478"/>
      <c r="O340" s="478"/>
      <c r="P340" s="478"/>
      <c r="Q340" s="478"/>
      <c r="R340" s="478"/>
      <c r="S340" s="472">
        <f t="shared" si="71"/>
        <v>0</v>
      </c>
      <c r="T340" s="478"/>
      <c r="U340" s="478"/>
      <c r="V340" s="478"/>
    </row>
    <row r="341" spans="1:22" s="468" customFormat="1" ht="15.75">
      <c r="A341" s="621"/>
      <c r="B341" s="611"/>
      <c r="C341" s="630">
        <v>4260</v>
      </c>
      <c r="D341" s="477" t="s">
        <v>423</v>
      </c>
      <c r="E341" s="529">
        <f t="shared" si="67"/>
        <v>6760</v>
      </c>
      <c r="F341" s="472">
        <f t="shared" si="68"/>
        <v>6760</v>
      </c>
      <c r="G341" s="472">
        <f t="shared" si="69"/>
        <v>6760</v>
      </c>
      <c r="H341" s="478">
        <v>6760</v>
      </c>
      <c r="I341" s="472">
        <f t="shared" si="70"/>
        <v>0</v>
      </c>
      <c r="J341" s="478"/>
      <c r="K341" s="478"/>
      <c r="L341" s="478"/>
      <c r="M341" s="478"/>
      <c r="N341" s="478"/>
      <c r="O341" s="478"/>
      <c r="P341" s="478"/>
      <c r="Q341" s="478"/>
      <c r="R341" s="478"/>
      <c r="S341" s="472">
        <f t="shared" si="71"/>
        <v>0</v>
      </c>
      <c r="T341" s="478"/>
      <c r="U341" s="478"/>
      <c r="V341" s="478"/>
    </row>
    <row r="342" spans="1:22" s="468" customFormat="1" ht="30">
      <c r="A342" s="621"/>
      <c r="B342" s="611"/>
      <c r="C342" s="630">
        <v>4270</v>
      </c>
      <c r="D342" s="477" t="s">
        <v>439</v>
      </c>
      <c r="E342" s="529">
        <f t="shared" si="67"/>
        <v>660</v>
      </c>
      <c r="F342" s="472">
        <f t="shared" si="68"/>
        <v>660</v>
      </c>
      <c r="G342" s="472">
        <f t="shared" si="69"/>
        <v>660</v>
      </c>
      <c r="H342" s="478">
        <v>660</v>
      </c>
      <c r="I342" s="472">
        <f t="shared" si="70"/>
        <v>0</v>
      </c>
      <c r="J342" s="478"/>
      <c r="K342" s="478"/>
      <c r="L342" s="478"/>
      <c r="M342" s="478"/>
      <c r="N342" s="478"/>
      <c r="O342" s="478"/>
      <c r="P342" s="478"/>
      <c r="Q342" s="478"/>
      <c r="R342" s="478"/>
      <c r="S342" s="472">
        <f t="shared" si="71"/>
        <v>0</v>
      </c>
      <c r="T342" s="478"/>
      <c r="U342" s="478"/>
      <c r="V342" s="478"/>
    </row>
    <row r="343" spans="1:22" s="468" customFormat="1" ht="27.75" customHeight="1">
      <c r="A343" s="621"/>
      <c r="B343" s="611"/>
      <c r="C343" s="630">
        <v>4280</v>
      </c>
      <c r="D343" s="477" t="s">
        <v>425</v>
      </c>
      <c r="E343" s="529">
        <f t="shared" si="67"/>
        <v>270</v>
      </c>
      <c r="F343" s="472">
        <f t="shared" si="68"/>
        <v>270</v>
      </c>
      <c r="G343" s="472">
        <f t="shared" si="69"/>
        <v>270</v>
      </c>
      <c r="H343" s="478">
        <v>270</v>
      </c>
      <c r="I343" s="472">
        <f t="shared" si="70"/>
        <v>0</v>
      </c>
      <c r="J343" s="478"/>
      <c r="K343" s="478"/>
      <c r="L343" s="478"/>
      <c r="M343" s="478"/>
      <c r="N343" s="478"/>
      <c r="O343" s="478"/>
      <c r="P343" s="478"/>
      <c r="Q343" s="478"/>
      <c r="R343" s="478"/>
      <c r="S343" s="472">
        <f t="shared" si="71"/>
        <v>0</v>
      </c>
      <c r="T343" s="478"/>
      <c r="U343" s="478"/>
      <c r="V343" s="478"/>
    </row>
    <row r="344" spans="1:22" s="468" customFormat="1" ht="30.75" customHeight="1">
      <c r="A344" s="621"/>
      <c r="B344" s="611"/>
      <c r="C344" s="630">
        <v>4300</v>
      </c>
      <c r="D344" s="477" t="s">
        <v>577</v>
      </c>
      <c r="E344" s="529">
        <f t="shared" si="67"/>
        <v>9720</v>
      </c>
      <c r="F344" s="472">
        <f t="shared" si="68"/>
        <v>9720</v>
      </c>
      <c r="G344" s="472">
        <f t="shared" si="69"/>
        <v>9720</v>
      </c>
      <c r="H344" s="478">
        <v>9720</v>
      </c>
      <c r="I344" s="472">
        <f t="shared" si="70"/>
        <v>0</v>
      </c>
      <c r="J344" s="478"/>
      <c r="K344" s="478"/>
      <c r="L344" s="478"/>
      <c r="M344" s="478"/>
      <c r="N344" s="478"/>
      <c r="O344" s="478"/>
      <c r="P344" s="478"/>
      <c r="Q344" s="478"/>
      <c r="R344" s="478"/>
      <c r="S344" s="472">
        <f t="shared" si="71"/>
        <v>0</v>
      </c>
      <c r="T344" s="478"/>
      <c r="U344" s="478"/>
      <c r="V344" s="478"/>
    </row>
    <row r="345" spans="1:22" s="468" customFormat="1" ht="30">
      <c r="A345" s="621"/>
      <c r="B345" s="611"/>
      <c r="C345" s="630">
        <v>4350</v>
      </c>
      <c r="D345" s="477" t="s">
        <v>426</v>
      </c>
      <c r="E345" s="529">
        <f t="shared" si="67"/>
        <v>2090</v>
      </c>
      <c r="F345" s="472">
        <f t="shared" si="68"/>
        <v>2090</v>
      </c>
      <c r="G345" s="472">
        <f t="shared" si="69"/>
        <v>2090</v>
      </c>
      <c r="H345" s="478">
        <v>2090</v>
      </c>
      <c r="I345" s="472">
        <f t="shared" si="70"/>
        <v>0</v>
      </c>
      <c r="J345" s="478"/>
      <c r="K345" s="478"/>
      <c r="L345" s="478"/>
      <c r="M345" s="478"/>
      <c r="N345" s="478"/>
      <c r="O345" s="478"/>
      <c r="P345" s="478"/>
      <c r="Q345" s="478"/>
      <c r="R345" s="478"/>
      <c r="S345" s="472">
        <f t="shared" si="71"/>
        <v>0</v>
      </c>
      <c r="T345" s="478"/>
      <c r="U345" s="478"/>
      <c r="V345" s="478"/>
    </row>
    <row r="346" spans="1:22" s="468" customFormat="1" ht="60">
      <c r="A346" s="621"/>
      <c r="B346" s="611"/>
      <c r="C346" s="630">
        <v>4370</v>
      </c>
      <c r="D346" s="477" t="s">
        <v>560</v>
      </c>
      <c r="E346" s="529">
        <f t="shared" si="67"/>
        <v>3330</v>
      </c>
      <c r="F346" s="472">
        <f t="shared" si="68"/>
        <v>3330</v>
      </c>
      <c r="G346" s="472">
        <f t="shared" si="69"/>
        <v>3330</v>
      </c>
      <c r="H346" s="478">
        <v>3330</v>
      </c>
      <c r="I346" s="472">
        <f t="shared" si="70"/>
        <v>0</v>
      </c>
      <c r="J346" s="478"/>
      <c r="K346" s="478"/>
      <c r="L346" s="478"/>
      <c r="M346" s="478"/>
      <c r="N346" s="478"/>
      <c r="O346" s="478"/>
      <c r="P346" s="478"/>
      <c r="Q346" s="478"/>
      <c r="R346" s="478"/>
      <c r="S346" s="472">
        <f t="shared" si="71"/>
        <v>0</v>
      </c>
      <c r="T346" s="478"/>
      <c r="U346" s="478"/>
      <c r="V346" s="478"/>
    </row>
    <row r="347" spans="1:22" s="468" customFormat="1" ht="30">
      <c r="A347" s="621"/>
      <c r="B347" s="611"/>
      <c r="C347" s="630">
        <v>4410</v>
      </c>
      <c r="D347" s="477" t="s">
        <v>430</v>
      </c>
      <c r="E347" s="529">
        <f t="shared" si="67"/>
        <v>1130</v>
      </c>
      <c r="F347" s="472">
        <f t="shared" si="68"/>
        <v>1130</v>
      </c>
      <c r="G347" s="472">
        <f t="shared" si="69"/>
        <v>1130</v>
      </c>
      <c r="H347" s="478">
        <v>1130</v>
      </c>
      <c r="I347" s="472">
        <f t="shared" si="70"/>
        <v>0</v>
      </c>
      <c r="J347" s="478"/>
      <c r="K347" s="478"/>
      <c r="L347" s="478"/>
      <c r="M347" s="478"/>
      <c r="N347" s="478"/>
      <c r="O347" s="478"/>
      <c r="P347" s="478"/>
      <c r="Q347" s="478"/>
      <c r="R347" s="478"/>
      <c r="S347" s="472">
        <f t="shared" si="71"/>
        <v>0</v>
      </c>
      <c r="T347" s="478"/>
      <c r="U347" s="478"/>
      <c r="V347" s="478"/>
    </row>
    <row r="348" spans="1:22" s="468" customFormat="1" ht="15.75">
      <c r="A348" s="621"/>
      <c r="B348" s="611"/>
      <c r="C348" s="630">
        <v>4430</v>
      </c>
      <c r="D348" s="477" t="s">
        <v>431</v>
      </c>
      <c r="E348" s="529">
        <f t="shared" si="67"/>
        <v>220</v>
      </c>
      <c r="F348" s="472">
        <f t="shared" si="68"/>
        <v>220</v>
      </c>
      <c r="G348" s="472">
        <f t="shared" si="69"/>
        <v>220</v>
      </c>
      <c r="H348" s="478">
        <v>220</v>
      </c>
      <c r="I348" s="472">
        <f t="shared" si="70"/>
        <v>0</v>
      </c>
      <c r="J348" s="478"/>
      <c r="K348" s="478"/>
      <c r="L348" s="478"/>
      <c r="M348" s="478"/>
      <c r="N348" s="478"/>
      <c r="O348" s="478"/>
      <c r="P348" s="478"/>
      <c r="Q348" s="478"/>
      <c r="R348" s="478"/>
      <c r="S348" s="472">
        <f t="shared" si="71"/>
        <v>0</v>
      </c>
      <c r="T348" s="478"/>
      <c r="U348" s="478"/>
      <c r="V348" s="478"/>
    </row>
    <row r="349" spans="1:22" s="468" customFormat="1" ht="46.5" customHeight="1">
      <c r="A349" s="621"/>
      <c r="B349" s="611"/>
      <c r="C349" s="630">
        <v>4440</v>
      </c>
      <c r="D349" s="477" t="s">
        <v>432</v>
      </c>
      <c r="E349" s="529">
        <f t="shared" si="67"/>
        <v>71550</v>
      </c>
      <c r="F349" s="472">
        <f t="shared" si="68"/>
        <v>71550</v>
      </c>
      <c r="G349" s="472">
        <f t="shared" si="69"/>
        <v>71550</v>
      </c>
      <c r="H349" s="478">
        <v>71550</v>
      </c>
      <c r="I349" s="472">
        <f t="shared" si="70"/>
        <v>0</v>
      </c>
      <c r="J349" s="478"/>
      <c r="K349" s="478"/>
      <c r="L349" s="478"/>
      <c r="M349" s="478"/>
      <c r="N349" s="478"/>
      <c r="O349" s="478"/>
      <c r="P349" s="478"/>
      <c r="Q349" s="478"/>
      <c r="R349" s="478"/>
      <c r="S349" s="472">
        <f t="shared" si="71"/>
        <v>0</v>
      </c>
      <c r="T349" s="478"/>
      <c r="U349" s="478"/>
      <c r="V349" s="478"/>
    </row>
    <row r="350" spans="1:22" s="468" customFormat="1" ht="30">
      <c r="A350" s="621"/>
      <c r="B350" s="611"/>
      <c r="C350" s="630">
        <v>4480</v>
      </c>
      <c r="D350" s="477" t="s">
        <v>433</v>
      </c>
      <c r="E350" s="529">
        <f t="shared" si="67"/>
        <v>650</v>
      </c>
      <c r="F350" s="472">
        <f t="shared" si="68"/>
        <v>650</v>
      </c>
      <c r="G350" s="472">
        <f t="shared" si="69"/>
        <v>650</v>
      </c>
      <c r="H350" s="478">
        <v>650</v>
      </c>
      <c r="I350" s="472">
        <f t="shared" si="70"/>
        <v>0</v>
      </c>
      <c r="J350" s="478"/>
      <c r="K350" s="478"/>
      <c r="L350" s="478"/>
      <c r="M350" s="478"/>
      <c r="N350" s="478"/>
      <c r="O350" s="478"/>
      <c r="P350" s="478"/>
      <c r="Q350" s="478"/>
      <c r="R350" s="478"/>
      <c r="S350" s="472">
        <f t="shared" si="71"/>
        <v>0</v>
      </c>
      <c r="T350" s="478"/>
      <c r="U350" s="478"/>
      <c r="V350" s="478"/>
    </row>
    <row r="351" spans="1:22" s="468" customFormat="1" ht="30">
      <c r="A351" s="621"/>
      <c r="B351" s="611"/>
      <c r="C351" s="630">
        <v>4510</v>
      </c>
      <c r="D351" s="477" t="s">
        <v>743</v>
      </c>
      <c r="E351" s="529">
        <f t="shared" si="67"/>
        <v>160</v>
      </c>
      <c r="F351" s="472">
        <f t="shared" si="68"/>
        <v>160</v>
      </c>
      <c r="G351" s="472">
        <f t="shared" si="69"/>
        <v>160</v>
      </c>
      <c r="H351" s="478">
        <v>160</v>
      </c>
      <c r="I351" s="472">
        <f t="shared" si="70"/>
        <v>0</v>
      </c>
      <c r="J351" s="478"/>
      <c r="K351" s="478"/>
      <c r="L351" s="478"/>
      <c r="M351" s="478"/>
      <c r="N351" s="478"/>
      <c r="O351" s="478"/>
      <c r="P351" s="478"/>
      <c r="Q351" s="478"/>
      <c r="R351" s="478"/>
      <c r="S351" s="472">
        <f t="shared" si="71"/>
        <v>0</v>
      </c>
      <c r="T351" s="478"/>
      <c r="U351" s="478"/>
      <c r="V351" s="478"/>
    </row>
    <row r="352" spans="1:22" s="468" customFormat="1" ht="45">
      <c r="A352" s="621"/>
      <c r="B352" s="611"/>
      <c r="C352" s="630">
        <v>4700</v>
      </c>
      <c r="D352" s="477" t="s">
        <v>708</v>
      </c>
      <c r="E352" s="529">
        <f t="shared" si="67"/>
        <v>3060</v>
      </c>
      <c r="F352" s="472">
        <f t="shared" si="68"/>
        <v>3060</v>
      </c>
      <c r="G352" s="472">
        <f t="shared" si="69"/>
        <v>3060</v>
      </c>
      <c r="H352" s="478">
        <v>3060</v>
      </c>
      <c r="I352" s="472">
        <f t="shared" si="70"/>
        <v>0</v>
      </c>
      <c r="J352" s="478"/>
      <c r="K352" s="478"/>
      <c r="L352" s="478"/>
      <c r="M352" s="478"/>
      <c r="N352" s="478"/>
      <c r="O352" s="478"/>
      <c r="P352" s="478"/>
      <c r="Q352" s="478"/>
      <c r="R352" s="478"/>
      <c r="S352" s="472">
        <f t="shared" si="71"/>
        <v>0</v>
      </c>
      <c r="T352" s="478"/>
      <c r="U352" s="478"/>
      <c r="V352" s="478"/>
    </row>
    <row r="353" spans="1:22" s="468" customFormat="1" ht="63" customHeight="1">
      <c r="A353" s="621"/>
      <c r="B353" s="611"/>
      <c r="C353" s="630">
        <v>4740</v>
      </c>
      <c r="D353" s="477" t="s">
        <v>521</v>
      </c>
      <c r="E353" s="529">
        <f t="shared" si="67"/>
        <v>1080</v>
      </c>
      <c r="F353" s="472">
        <f t="shared" si="68"/>
        <v>1080</v>
      </c>
      <c r="G353" s="472">
        <f t="shared" si="69"/>
        <v>1080</v>
      </c>
      <c r="H353" s="478">
        <v>1080</v>
      </c>
      <c r="I353" s="472">
        <f t="shared" si="70"/>
        <v>0</v>
      </c>
      <c r="J353" s="478"/>
      <c r="K353" s="478"/>
      <c r="L353" s="478"/>
      <c r="M353" s="478"/>
      <c r="N353" s="478"/>
      <c r="O353" s="478"/>
      <c r="P353" s="478"/>
      <c r="Q353" s="478"/>
      <c r="R353" s="478"/>
      <c r="S353" s="472">
        <f t="shared" si="71"/>
        <v>0</v>
      </c>
      <c r="T353" s="478"/>
      <c r="U353" s="478"/>
      <c r="V353" s="478"/>
    </row>
    <row r="354" spans="1:22" s="468" customFormat="1" ht="45">
      <c r="A354" s="621"/>
      <c r="B354" s="611"/>
      <c r="C354" s="630">
        <v>4750</v>
      </c>
      <c r="D354" s="477" t="s">
        <v>561</v>
      </c>
      <c r="E354" s="529">
        <f t="shared" si="67"/>
        <v>7200</v>
      </c>
      <c r="F354" s="472">
        <f t="shared" si="68"/>
        <v>7200</v>
      </c>
      <c r="G354" s="472">
        <f t="shared" si="69"/>
        <v>7200</v>
      </c>
      <c r="H354" s="478">
        <v>7200</v>
      </c>
      <c r="I354" s="472">
        <f t="shared" si="70"/>
        <v>0</v>
      </c>
      <c r="J354" s="478"/>
      <c r="K354" s="478"/>
      <c r="L354" s="478"/>
      <c r="M354" s="478"/>
      <c r="N354" s="478"/>
      <c r="O354" s="478"/>
      <c r="P354" s="478"/>
      <c r="Q354" s="478"/>
      <c r="R354" s="478"/>
      <c r="S354" s="472">
        <f t="shared" si="71"/>
        <v>0</v>
      </c>
      <c r="T354" s="478"/>
      <c r="U354" s="478"/>
      <c r="V354" s="478"/>
    </row>
    <row r="355" spans="1:22" s="468" customFormat="1" ht="30" customHeight="1" hidden="1">
      <c r="A355" s="621"/>
      <c r="B355" s="611"/>
      <c r="C355" s="630">
        <v>6050</v>
      </c>
      <c r="D355" s="477" t="s">
        <v>39</v>
      </c>
      <c r="E355" s="529">
        <f t="shared" si="67"/>
        <v>0</v>
      </c>
      <c r="F355" s="472">
        <f t="shared" si="68"/>
        <v>0</v>
      </c>
      <c r="G355" s="472">
        <f t="shared" si="69"/>
        <v>0</v>
      </c>
      <c r="H355" s="478"/>
      <c r="I355" s="472">
        <f t="shared" si="70"/>
        <v>0</v>
      </c>
      <c r="J355" s="478"/>
      <c r="K355" s="478"/>
      <c r="L355" s="478"/>
      <c r="M355" s="478"/>
      <c r="N355" s="478"/>
      <c r="O355" s="478"/>
      <c r="P355" s="478"/>
      <c r="Q355" s="478"/>
      <c r="R355" s="478"/>
      <c r="S355" s="472">
        <f t="shared" si="71"/>
        <v>0</v>
      </c>
      <c r="T355" s="478"/>
      <c r="U355" s="478"/>
      <c r="V355" s="478"/>
    </row>
    <row r="356" spans="1:22" s="468" customFormat="1" ht="45" customHeight="1" hidden="1">
      <c r="A356" s="621"/>
      <c r="B356" s="611"/>
      <c r="C356" s="630">
        <v>6060</v>
      </c>
      <c r="D356" s="477" t="s">
        <v>710</v>
      </c>
      <c r="E356" s="529">
        <f t="shared" si="67"/>
        <v>0</v>
      </c>
      <c r="F356" s="472">
        <f t="shared" si="68"/>
        <v>0</v>
      </c>
      <c r="G356" s="472">
        <f t="shared" si="69"/>
        <v>0</v>
      </c>
      <c r="H356" s="478"/>
      <c r="I356" s="472">
        <f t="shared" si="70"/>
        <v>0</v>
      </c>
      <c r="J356" s="478"/>
      <c r="K356" s="478"/>
      <c r="L356" s="478"/>
      <c r="M356" s="478"/>
      <c r="N356" s="478"/>
      <c r="O356" s="478"/>
      <c r="P356" s="478"/>
      <c r="Q356" s="478"/>
      <c r="R356" s="478"/>
      <c r="S356" s="472">
        <f t="shared" si="71"/>
        <v>0</v>
      </c>
      <c r="T356" s="478"/>
      <c r="U356" s="478"/>
      <c r="V356" s="478"/>
    </row>
    <row r="357" spans="1:22" s="468" customFormat="1" ht="54.75" customHeight="1" hidden="1">
      <c r="A357" s="621"/>
      <c r="B357" s="611"/>
      <c r="C357" s="637">
        <v>4118</v>
      </c>
      <c r="D357" s="488" t="s">
        <v>556</v>
      </c>
      <c r="E357" s="529">
        <f t="shared" si="67"/>
        <v>0</v>
      </c>
      <c r="F357" s="472">
        <f t="shared" si="68"/>
        <v>0</v>
      </c>
      <c r="G357" s="472">
        <f t="shared" si="69"/>
        <v>0</v>
      </c>
      <c r="H357" s="478"/>
      <c r="I357" s="472">
        <f t="shared" si="70"/>
        <v>0</v>
      </c>
      <c r="J357" s="478"/>
      <c r="K357" s="478"/>
      <c r="L357" s="489"/>
      <c r="M357" s="489"/>
      <c r="N357" s="489"/>
      <c r="O357" s="478"/>
      <c r="P357" s="478"/>
      <c r="Q357" s="478"/>
      <c r="R357" s="478"/>
      <c r="S357" s="472">
        <f t="shared" si="71"/>
        <v>0</v>
      </c>
      <c r="T357" s="478"/>
      <c r="U357" s="478"/>
      <c r="V357" s="478"/>
    </row>
    <row r="358" spans="1:22" s="468" customFormat="1" ht="60.75" customHeight="1" hidden="1">
      <c r="A358" s="621"/>
      <c r="B358" s="611"/>
      <c r="C358" s="637">
        <v>4119</v>
      </c>
      <c r="D358" s="488" t="s">
        <v>556</v>
      </c>
      <c r="E358" s="529">
        <f t="shared" si="67"/>
        <v>0</v>
      </c>
      <c r="F358" s="472">
        <f t="shared" si="68"/>
        <v>0</v>
      </c>
      <c r="G358" s="472">
        <f t="shared" si="69"/>
        <v>0</v>
      </c>
      <c r="H358" s="478"/>
      <c r="I358" s="472">
        <f t="shared" si="70"/>
        <v>0</v>
      </c>
      <c r="J358" s="478"/>
      <c r="K358" s="478"/>
      <c r="L358" s="489"/>
      <c r="M358" s="489"/>
      <c r="N358" s="489"/>
      <c r="O358" s="478"/>
      <c r="P358" s="478"/>
      <c r="Q358" s="478"/>
      <c r="R358" s="478"/>
      <c r="S358" s="472">
        <f t="shared" si="71"/>
        <v>0</v>
      </c>
      <c r="T358" s="478"/>
      <c r="U358" s="478"/>
      <c r="V358" s="478"/>
    </row>
    <row r="359" spans="1:22" s="468" customFormat="1" ht="35.25" customHeight="1" hidden="1">
      <c r="A359" s="621"/>
      <c r="B359" s="611"/>
      <c r="C359" s="637">
        <v>4128</v>
      </c>
      <c r="D359" s="488" t="s">
        <v>420</v>
      </c>
      <c r="E359" s="529">
        <f t="shared" si="67"/>
        <v>0</v>
      </c>
      <c r="F359" s="472">
        <f t="shared" si="68"/>
        <v>0</v>
      </c>
      <c r="G359" s="472">
        <f t="shared" si="69"/>
        <v>0</v>
      </c>
      <c r="H359" s="478"/>
      <c r="I359" s="472">
        <f t="shared" si="70"/>
        <v>0</v>
      </c>
      <c r="J359" s="478"/>
      <c r="K359" s="478"/>
      <c r="O359" s="478"/>
      <c r="P359" s="478"/>
      <c r="Q359" s="478"/>
      <c r="R359" s="478"/>
      <c r="S359" s="472">
        <f t="shared" si="71"/>
        <v>0</v>
      </c>
      <c r="T359" s="478"/>
      <c r="U359" s="478"/>
      <c r="V359" s="478"/>
    </row>
    <row r="360" spans="1:22" s="468" customFormat="1" ht="18.75" customHeight="1" hidden="1">
      <c r="A360" s="621"/>
      <c r="B360" s="611"/>
      <c r="C360" s="637">
        <v>4129</v>
      </c>
      <c r="D360" s="488" t="s">
        <v>420</v>
      </c>
      <c r="E360" s="529">
        <f t="shared" si="67"/>
        <v>0</v>
      </c>
      <c r="F360" s="472">
        <f t="shared" si="68"/>
        <v>0</v>
      </c>
      <c r="G360" s="472">
        <f t="shared" si="69"/>
        <v>0</v>
      </c>
      <c r="H360" s="478"/>
      <c r="I360" s="472">
        <f t="shared" si="70"/>
        <v>0</v>
      </c>
      <c r="J360" s="478"/>
      <c r="K360" s="478"/>
      <c r="L360" s="487"/>
      <c r="M360" s="487"/>
      <c r="N360" s="487"/>
      <c r="O360" s="478"/>
      <c r="P360" s="478"/>
      <c r="Q360" s="478"/>
      <c r="R360" s="478"/>
      <c r="S360" s="472">
        <f t="shared" si="71"/>
        <v>0</v>
      </c>
      <c r="T360" s="478"/>
      <c r="U360" s="478"/>
      <c r="V360" s="478"/>
    </row>
    <row r="361" spans="1:22" s="468" customFormat="1" ht="36" customHeight="1" hidden="1">
      <c r="A361" s="621"/>
      <c r="B361" s="611"/>
      <c r="C361" s="637">
        <v>4178</v>
      </c>
      <c r="D361" s="488" t="s">
        <v>518</v>
      </c>
      <c r="E361" s="529">
        <f t="shared" si="67"/>
        <v>0</v>
      </c>
      <c r="F361" s="472">
        <f t="shared" si="68"/>
        <v>0</v>
      </c>
      <c r="G361" s="472">
        <f t="shared" si="69"/>
        <v>0</v>
      </c>
      <c r="H361" s="478"/>
      <c r="I361" s="472">
        <f t="shared" si="70"/>
        <v>0</v>
      </c>
      <c r="J361" s="478"/>
      <c r="K361" s="478"/>
      <c r="L361" s="489"/>
      <c r="M361" s="489"/>
      <c r="N361" s="489"/>
      <c r="O361" s="478"/>
      <c r="P361" s="478"/>
      <c r="Q361" s="478"/>
      <c r="R361" s="478"/>
      <c r="S361" s="472">
        <f t="shared" si="71"/>
        <v>0</v>
      </c>
      <c r="T361" s="478"/>
      <c r="U361" s="478"/>
      <c r="V361" s="478"/>
    </row>
    <row r="362" spans="1:22" s="468" customFormat="1" ht="28.5" customHeight="1" hidden="1">
      <c r="A362" s="621"/>
      <c r="B362" s="611"/>
      <c r="C362" s="637">
        <v>4179</v>
      </c>
      <c r="D362" s="488" t="s">
        <v>518</v>
      </c>
      <c r="E362" s="529">
        <f t="shared" si="67"/>
        <v>0</v>
      </c>
      <c r="F362" s="472">
        <f t="shared" si="68"/>
        <v>0</v>
      </c>
      <c r="G362" s="472">
        <f t="shared" si="69"/>
        <v>0</v>
      </c>
      <c r="H362" s="478"/>
      <c r="I362" s="472">
        <f t="shared" si="70"/>
        <v>0</v>
      </c>
      <c r="J362" s="478"/>
      <c r="K362" s="478"/>
      <c r="L362" s="489"/>
      <c r="M362" s="489"/>
      <c r="N362" s="489"/>
      <c r="O362" s="478"/>
      <c r="P362" s="478"/>
      <c r="Q362" s="478"/>
      <c r="R362" s="478"/>
      <c r="S362" s="472">
        <f t="shared" si="71"/>
        <v>0</v>
      </c>
      <c r="T362" s="478"/>
      <c r="U362" s="478"/>
      <c r="V362" s="478"/>
    </row>
    <row r="363" spans="1:22" s="468" customFormat="1" ht="30" customHeight="1" hidden="1">
      <c r="A363" s="621"/>
      <c r="B363" s="611"/>
      <c r="C363" s="637">
        <v>4218</v>
      </c>
      <c r="D363" s="488" t="s">
        <v>422</v>
      </c>
      <c r="E363" s="529">
        <f t="shared" si="67"/>
        <v>0</v>
      </c>
      <c r="F363" s="472">
        <f t="shared" si="68"/>
        <v>0</v>
      </c>
      <c r="G363" s="472">
        <f t="shared" si="69"/>
        <v>0</v>
      </c>
      <c r="H363" s="478"/>
      <c r="I363" s="472">
        <f t="shared" si="70"/>
        <v>0</v>
      </c>
      <c r="J363" s="478"/>
      <c r="K363" s="478"/>
      <c r="L363" s="478"/>
      <c r="M363" s="478"/>
      <c r="N363" s="478"/>
      <c r="O363" s="478"/>
      <c r="P363" s="478"/>
      <c r="Q363" s="478"/>
      <c r="R363" s="478"/>
      <c r="S363" s="472">
        <f t="shared" si="71"/>
        <v>0</v>
      </c>
      <c r="T363" s="478"/>
      <c r="U363" s="478"/>
      <c r="V363" s="478"/>
    </row>
    <row r="364" spans="1:22" s="468" customFormat="1" ht="30" customHeight="1" hidden="1">
      <c r="A364" s="621"/>
      <c r="B364" s="611"/>
      <c r="C364" s="637">
        <v>4219</v>
      </c>
      <c r="D364" s="488" t="s">
        <v>422</v>
      </c>
      <c r="E364" s="529">
        <f t="shared" si="67"/>
        <v>0</v>
      </c>
      <c r="F364" s="472">
        <f t="shared" si="68"/>
        <v>0</v>
      </c>
      <c r="G364" s="472">
        <f t="shared" si="69"/>
        <v>0</v>
      </c>
      <c r="H364" s="478"/>
      <c r="I364" s="472">
        <f t="shared" si="70"/>
        <v>0</v>
      </c>
      <c r="J364" s="478"/>
      <c r="K364" s="478"/>
      <c r="L364" s="478"/>
      <c r="M364" s="478"/>
      <c r="N364" s="478"/>
      <c r="O364" s="478"/>
      <c r="P364" s="478"/>
      <c r="Q364" s="478"/>
      <c r="R364" s="478"/>
      <c r="S364" s="472">
        <f t="shared" si="71"/>
        <v>0</v>
      </c>
      <c r="T364" s="478"/>
      <c r="U364" s="478"/>
      <c r="V364" s="478"/>
    </row>
    <row r="365" spans="1:22" s="468" customFormat="1" ht="15.75" customHeight="1" hidden="1">
      <c r="A365" s="621"/>
      <c r="B365" s="611"/>
      <c r="C365" s="637">
        <v>4268</v>
      </c>
      <c r="D365" s="488" t="s">
        <v>423</v>
      </c>
      <c r="E365" s="529">
        <f t="shared" si="67"/>
        <v>0</v>
      </c>
      <c r="F365" s="472">
        <f t="shared" si="68"/>
        <v>0</v>
      </c>
      <c r="G365" s="472">
        <f t="shared" si="69"/>
        <v>0</v>
      </c>
      <c r="H365" s="478"/>
      <c r="I365" s="472">
        <f t="shared" si="70"/>
        <v>0</v>
      </c>
      <c r="J365" s="478"/>
      <c r="K365" s="478"/>
      <c r="L365" s="478"/>
      <c r="M365" s="478"/>
      <c r="N365" s="478"/>
      <c r="O365" s="478"/>
      <c r="P365" s="478"/>
      <c r="Q365" s="478"/>
      <c r="R365" s="478"/>
      <c r="S365" s="472">
        <f t="shared" si="71"/>
        <v>0</v>
      </c>
      <c r="T365" s="478"/>
      <c r="U365" s="478"/>
      <c r="V365" s="478"/>
    </row>
    <row r="366" spans="1:22" s="468" customFormat="1" ht="15.75" customHeight="1" hidden="1">
      <c r="A366" s="621"/>
      <c r="B366" s="611"/>
      <c r="C366" s="637">
        <v>4269</v>
      </c>
      <c r="D366" s="488" t="s">
        <v>423</v>
      </c>
      <c r="E366" s="529">
        <f t="shared" si="67"/>
        <v>0</v>
      </c>
      <c r="F366" s="472">
        <f t="shared" si="68"/>
        <v>0</v>
      </c>
      <c r="G366" s="472">
        <f t="shared" si="69"/>
        <v>0</v>
      </c>
      <c r="H366" s="478"/>
      <c r="I366" s="472">
        <f t="shared" si="70"/>
        <v>0</v>
      </c>
      <c r="J366" s="478"/>
      <c r="K366" s="478"/>
      <c r="L366" s="478"/>
      <c r="M366" s="478"/>
      <c r="N366" s="478"/>
      <c r="O366" s="478"/>
      <c r="P366" s="478"/>
      <c r="Q366" s="478"/>
      <c r="R366" s="478"/>
      <c r="S366" s="472">
        <f t="shared" si="71"/>
        <v>0</v>
      </c>
      <c r="T366" s="478"/>
      <c r="U366" s="478"/>
      <c r="V366" s="478"/>
    </row>
    <row r="367" spans="1:22" s="468" customFormat="1" ht="27" customHeight="1" hidden="1">
      <c r="A367" s="621"/>
      <c r="B367" s="611"/>
      <c r="C367" s="637">
        <v>4308</v>
      </c>
      <c r="D367" s="488" t="s">
        <v>577</v>
      </c>
      <c r="E367" s="529">
        <f t="shared" si="67"/>
        <v>0</v>
      </c>
      <c r="F367" s="472">
        <f t="shared" si="68"/>
        <v>0</v>
      </c>
      <c r="G367" s="472">
        <f t="shared" si="69"/>
        <v>0</v>
      </c>
      <c r="H367" s="478"/>
      <c r="I367" s="472">
        <f t="shared" si="70"/>
        <v>0</v>
      </c>
      <c r="J367" s="478"/>
      <c r="K367" s="478"/>
      <c r="L367" s="478"/>
      <c r="M367" s="478"/>
      <c r="N367" s="478"/>
      <c r="O367" s="478"/>
      <c r="P367" s="478"/>
      <c r="Q367" s="478"/>
      <c r="R367" s="478"/>
      <c r="S367" s="472">
        <f t="shared" si="71"/>
        <v>0</v>
      </c>
      <c r="T367" s="478"/>
      <c r="U367" s="478"/>
      <c r="V367" s="478"/>
    </row>
    <row r="368" spans="1:22" s="468" customFormat="1" ht="27.75" customHeight="1" hidden="1">
      <c r="A368" s="621"/>
      <c r="B368" s="611"/>
      <c r="C368" s="637">
        <v>4309</v>
      </c>
      <c r="D368" s="488" t="s">
        <v>577</v>
      </c>
      <c r="E368" s="529">
        <f t="shared" si="67"/>
        <v>0</v>
      </c>
      <c r="F368" s="472">
        <f t="shared" si="68"/>
        <v>0</v>
      </c>
      <c r="G368" s="472">
        <f t="shared" si="69"/>
        <v>0</v>
      </c>
      <c r="H368" s="478"/>
      <c r="I368" s="472">
        <f t="shared" si="70"/>
        <v>0</v>
      </c>
      <c r="J368" s="478"/>
      <c r="K368" s="478"/>
      <c r="L368" s="478"/>
      <c r="M368" s="478"/>
      <c r="N368" s="478"/>
      <c r="O368" s="478"/>
      <c r="P368" s="478"/>
      <c r="Q368" s="478"/>
      <c r="R368" s="478"/>
      <c r="S368" s="472">
        <f t="shared" si="71"/>
        <v>0</v>
      </c>
      <c r="T368" s="478"/>
      <c r="U368" s="478"/>
      <c r="V368" s="478"/>
    </row>
    <row r="369" spans="1:22" s="468" customFormat="1" ht="33.75" customHeight="1" hidden="1">
      <c r="A369" s="621"/>
      <c r="B369" s="611"/>
      <c r="C369" s="630">
        <v>4358</v>
      </c>
      <c r="D369" s="477" t="s">
        <v>426</v>
      </c>
      <c r="E369" s="529">
        <f t="shared" si="67"/>
        <v>0</v>
      </c>
      <c r="F369" s="472">
        <f t="shared" si="68"/>
        <v>0</v>
      </c>
      <c r="G369" s="472">
        <f t="shared" si="69"/>
        <v>0</v>
      </c>
      <c r="H369" s="478"/>
      <c r="I369" s="472">
        <f t="shared" si="70"/>
        <v>0</v>
      </c>
      <c r="J369" s="478"/>
      <c r="K369" s="478"/>
      <c r="L369" s="478"/>
      <c r="M369" s="478"/>
      <c r="N369" s="478"/>
      <c r="O369" s="478"/>
      <c r="P369" s="478"/>
      <c r="Q369" s="478"/>
      <c r="R369" s="478"/>
      <c r="S369" s="472">
        <f t="shared" si="71"/>
        <v>0</v>
      </c>
      <c r="T369" s="478"/>
      <c r="U369" s="478"/>
      <c r="V369" s="478"/>
    </row>
    <row r="370" spans="1:22" s="468" customFormat="1" ht="32.25" customHeight="1" hidden="1">
      <c r="A370" s="621"/>
      <c r="B370" s="611"/>
      <c r="C370" s="630">
        <v>4359</v>
      </c>
      <c r="D370" s="477" t="s">
        <v>426</v>
      </c>
      <c r="E370" s="529">
        <f t="shared" si="67"/>
        <v>0</v>
      </c>
      <c r="F370" s="472">
        <f t="shared" si="68"/>
        <v>0</v>
      </c>
      <c r="G370" s="472">
        <f t="shared" si="69"/>
        <v>0</v>
      </c>
      <c r="H370" s="478"/>
      <c r="I370" s="472">
        <f t="shared" si="70"/>
        <v>0</v>
      </c>
      <c r="J370" s="478"/>
      <c r="K370" s="478"/>
      <c r="L370" s="478"/>
      <c r="M370" s="478"/>
      <c r="N370" s="478"/>
      <c r="O370" s="478"/>
      <c r="P370" s="478"/>
      <c r="Q370" s="478"/>
      <c r="R370" s="478"/>
      <c r="S370" s="472">
        <f t="shared" si="71"/>
        <v>0</v>
      </c>
      <c r="T370" s="478"/>
      <c r="U370" s="478"/>
      <c r="V370" s="478"/>
    </row>
    <row r="371" spans="1:22" s="468" customFormat="1" ht="60" customHeight="1" hidden="1">
      <c r="A371" s="621"/>
      <c r="B371" s="611"/>
      <c r="C371" s="637">
        <v>4368</v>
      </c>
      <c r="D371" s="488" t="s">
        <v>567</v>
      </c>
      <c r="E371" s="529">
        <f t="shared" si="67"/>
        <v>0</v>
      </c>
      <c r="F371" s="472">
        <f t="shared" si="68"/>
        <v>0</v>
      </c>
      <c r="G371" s="472">
        <f t="shared" si="69"/>
        <v>0</v>
      </c>
      <c r="H371" s="478"/>
      <c r="I371" s="472">
        <f t="shared" si="70"/>
        <v>0</v>
      </c>
      <c r="J371" s="478"/>
      <c r="K371" s="478"/>
      <c r="L371" s="478"/>
      <c r="M371" s="478"/>
      <c r="N371" s="478"/>
      <c r="O371" s="478"/>
      <c r="P371" s="478"/>
      <c r="Q371" s="478"/>
      <c r="R371" s="478"/>
      <c r="S371" s="472">
        <f t="shared" si="71"/>
        <v>0</v>
      </c>
      <c r="T371" s="478"/>
      <c r="U371" s="478"/>
      <c r="V371" s="478"/>
    </row>
    <row r="372" spans="1:22" s="468" customFormat="1" ht="60" customHeight="1" hidden="1">
      <c r="A372" s="621"/>
      <c r="B372" s="611"/>
      <c r="C372" s="637">
        <v>4369</v>
      </c>
      <c r="D372" s="488" t="s">
        <v>567</v>
      </c>
      <c r="E372" s="529">
        <f t="shared" si="67"/>
        <v>0</v>
      </c>
      <c r="F372" s="472">
        <f t="shared" si="68"/>
        <v>0</v>
      </c>
      <c r="G372" s="472">
        <f t="shared" si="69"/>
        <v>0</v>
      </c>
      <c r="H372" s="478"/>
      <c r="I372" s="472">
        <f t="shared" si="70"/>
        <v>0</v>
      </c>
      <c r="J372" s="478"/>
      <c r="K372" s="478"/>
      <c r="L372" s="478"/>
      <c r="M372" s="478"/>
      <c r="N372" s="478"/>
      <c r="O372" s="478"/>
      <c r="P372" s="478"/>
      <c r="Q372" s="478"/>
      <c r="R372" s="478"/>
      <c r="S372" s="472">
        <f t="shared" si="71"/>
        <v>0</v>
      </c>
      <c r="T372" s="478"/>
      <c r="U372" s="478"/>
      <c r="V372" s="478"/>
    </row>
    <row r="373" spans="1:22" s="468" customFormat="1" ht="60" customHeight="1" hidden="1">
      <c r="A373" s="621"/>
      <c r="B373" s="611"/>
      <c r="C373" s="637">
        <v>4378</v>
      </c>
      <c r="D373" s="488" t="s">
        <v>560</v>
      </c>
      <c r="E373" s="529">
        <f t="shared" si="67"/>
        <v>0</v>
      </c>
      <c r="F373" s="472">
        <f t="shared" si="68"/>
        <v>0</v>
      </c>
      <c r="G373" s="472">
        <f t="shared" si="69"/>
        <v>0</v>
      </c>
      <c r="H373" s="478"/>
      <c r="I373" s="472">
        <f t="shared" si="70"/>
        <v>0</v>
      </c>
      <c r="J373" s="478"/>
      <c r="K373" s="478"/>
      <c r="L373" s="478"/>
      <c r="M373" s="478"/>
      <c r="N373" s="478"/>
      <c r="O373" s="478"/>
      <c r="P373" s="478"/>
      <c r="Q373" s="478"/>
      <c r="R373" s="478"/>
      <c r="S373" s="472">
        <f t="shared" si="71"/>
        <v>0</v>
      </c>
      <c r="T373" s="478"/>
      <c r="U373" s="478"/>
      <c r="V373" s="478"/>
    </row>
    <row r="374" spans="1:22" s="468" customFormat="1" ht="60" customHeight="1" hidden="1">
      <c r="A374" s="621"/>
      <c r="B374" s="611"/>
      <c r="C374" s="637">
        <v>4379</v>
      </c>
      <c r="D374" s="488" t="s">
        <v>560</v>
      </c>
      <c r="E374" s="529">
        <f t="shared" si="67"/>
        <v>0</v>
      </c>
      <c r="F374" s="472">
        <f t="shared" si="68"/>
        <v>0</v>
      </c>
      <c r="G374" s="472">
        <f t="shared" si="69"/>
        <v>0</v>
      </c>
      <c r="H374" s="478"/>
      <c r="I374" s="472">
        <f t="shared" si="70"/>
        <v>0</v>
      </c>
      <c r="J374" s="478"/>
      <c r="K374" s="478"/>
      <c r="L374" s="478"/>
      <c r="M374" s="478"/>
      <c r="N374" s="478"/>
      <c r="O374" s="478"/>
      <c r="P374" s="478"/>
      <c r="Q374" s="478"/>
      <c r="R374" s="478"/>
      <c r="S374" s="472">
        <f t="shared" si="71"/>
        <v>0</v>
      </c>
      <c r="T374" s="478"/>
      <c r="U374" s="478"/>
      <c r="V374" s="478"/>
    </row>
    <row r="375" spans="1:22" s="468" customFormat="1" ht="30" customHeight="1" hidden="1">
      <c r="A375" s="621"/>
      <c r="B375" s="623" t="s">
        <v>275</v>
      </c>
      <c r="C375" s="630">
        <v>4410</v>
      </c>
      <c r="D375" s="477" t="s">
        <v>430</v>
      </c>
      <c r="E375" s="529">
        <f t="shared" si="67"/>
        <v>0</v>
      </c>
      <c r="F375" s="472">
        <f t="shared" si="68"/>
        <v>0</v>
      </c>
      <c r="G375" s="472">
        <f t="shared" si="69"/>
        <v>0</v>
      </c>
      <c r="H375" s="478"/>
      <c r="I375" s="472">
        <f t="shared" si="70"/>
        <v>0</v>
      </c>
      <c r="J375" s="478"/>
      <c r="K375" s="478"/>
      <c r="L375" s="478"/>
      <c r="M375" s="478"/>
      <c r="N375" s="478"/>
      <c r="O375" s="478"/>
      <c r="P375" s="478"/>
      <c r="Q375" s="478"/>
      <c r="R375" s="478"/>
      <c r="S375" s="472">
        <f t="shared" si="71"/>
        <v>0</v>
      </c>
      <c r="T375" s="478"/>
      <c r="U375" s="478"/>
      <c r="V375" s="478"/>
    </row>
    <row r="376" spans="1:22" s="468" customFormat="1" ht="30" customHeight="1" hidden="1">
      <c r="A376" s="621"/>
      <c r="B376" s="624"/>
      <c r="C376" s="630">
        <v>4410</v>
      </c>
      <c r="D376" s="477" t="s">
        <v>430</v>
      </c>
      <c r="E376" s="529">
        <f t="shared" si="67"/>
        <v>0</v>
      </c>
      <c r="F376" s="472">
        <f t="shared" si="68"/>
        <v>0</v>
      </c>
      <c r="G376" s="472">
        <f t="shared" si="69"/>
        <v>0</v>
      </c>
      <c r="H376" s="478"/>
      <c r="I376" s="472">
        <f t="shared" si="70"/>
        <v>0</v>
      </c>
      <c r="J376" s="478"/>
      <c r="K376" s="478"/>
      <c r="L376" s="478"/>
      <c r="M376" s="478"/>
      <c r="N376" s="478"/>
      <c r="O376" s="478"/>
      <c r="P376" s="478"/>
      <c r="Q376" s="478"/>
      <c r="R376" s="478"/>
      <c r="S376" s="472">
        <f t="shared" si="71"/>
        <v>0</v>
      </c>
      <c r="T376" s="478"/>
      <c r="U376" s="478"/>
      <c r="V376" s="478"/>
    </row>
    <row r="377" spans="1:22" s="468" customFormat="1" ht="60" customHeight="1" hidden="1">
      <c r="A377" s="621"/>
      <c r="B377" s="611"/>
      <c r="C377" s="630">
        <v>4748</v>
      </c>
      <c r="D377" s="477" t="s">
        <v>521</v>
      </c>
      <c r="E377" s="529">
        <f t="shared" si="67"/>
        <v>0</v>
      </c>
      <c r="F377" s="472">
        <f t="shared" si="68"/>
        <v>0</v>
      </c>
      <c r="G377" s="472">
        <f t="shared" si="69"/>
        <v>0</v>
      </c>
      <c r="H377" s="478"/>
      <c r="I377" s="472">
        <f t="shared" si="70"/>
        <v>0</v>
      </c>
      <c r="J377" s="478"/>
      <c r="K377" s="478"/>
      <c r="L377" s="478"/>
      <c r="M377" s="478"/>
      <c r="N377" s="478"/>
      <c r="O377" s="478"/>
      <c r="P377" s="478"/>
      <c r="Q377" s="478"/>
      <c r="R377" s="478"/>
      <c r="S377" s="472">
        <f t="shared" si="71"/>
        <v>0</v>
      </c>
      <c r="T377" s="478"/>
      <c r="U377" s="478"/>
      <c r="V377" s="478"/>
    </row>
    <row r="378" spans="1:22" s="468" customFormat="1" ht="60" customHeight="1" hidden="1">
      <c r="A378" s="621"/>
      <c r="B378" s="611"/>
      <c r="C378" s="630">
        <v>4749</v>
      </c>
      <c r="D378" s="477" t="s">
        <v>521</v>
      </c>
      <c r="E378" s="529">
        <f t="shared" si="67"/>
        <v>0</v>
      </c>
      <c r="F378" s="472">
        <f t="shared" si="68"/>
        <v>0</v>
      </c>
      <c r="G378" s="472">
        <f t="shared" si="69"/>
        <v>0</v>
      </c>
      <c r="H378" s="478"/>
      <c r="I378" s="472">
        <f t="shared" si="70"/>
        <v>0</v>
      </c>
      <c r="J378" s="478"/>
      <c r="K378" s="478"/>
      <c r="L378" s="478"/>
      <c r="M378" s="478"/>
      <c r="N378" s="478"/>
      <c r="O378" s="478"/>
      <c r="P378" s="478"/>
      <c r="Q378" s="478"/>
      <c r="R378" s="478"/>
      <c r="S378" s="472">
        <f t="shared" si="71"/>
        <v>0</v>
      </c>
      <c r="T378" s="478"/>
      <c r="U378" s="478"/>
      <c r="V378" s="478"/>
    </row>
    <row r="379" spans="1:22" s="468" customFormat="1" ht="45" customHeight="1" hidden="1">
      <c r="A379" s="621"/>
      <c r="B379" s="611"/>
      <c r="C379" s="637">
        <v>4758</v>
      </c>
      <c r="D379" s="488" t="s">
        <v>561</v>
      </c>
      <c r="E379" s="529">
        <f t="shared" si="67"/>
        <v>0</v>
      </c>
      <c r="F379" s="472">
        <f t="shared" si="68"/>
        <v>0</v>
      </c>
      <c r="G379" s="472">
        <f t="shared" si="69"/>
        <v>0</v>
      </c>
      <c r="H379" s="478"/>
      <c r="I379" s="472">
        <f t="shared" si="70"/>
        <v>0</v>
      </c>
      <c r="J379" s="478"/>
      <c r="K379" s="478"/>
      <c r="L379" s="478"/>
      <c r="M379" s="478"/>
      <c r="N379" s="478"/>
      <c r="O379" s="478"/>
      <c r="P379" s="478"/>
      <c r="Q379" s="478"/>
      <c r="S379" s="472">
        <f t="shared" si="71"/>
        <v>0</v>
      </c>
      <c r="T379" s="478"/>
      <c r="U379" s="478"/>
      <c r="V379" s="478"/>
    </row>
    <row r="380" spans="1:22" s="468" customFormat="1" ht="45" customHeight="1" hidden="1">
      <c r="A380" s="621"/>
      <c r="B380" s="611"/>
      <c r="C380" s="637">
        <v>4759</v>
      </c>
      <c r="D380" s="488" t="s">
        <v>561</v>
      </c>
      <c r="E380" s="529">
        <f t="shared" si="67"/>
        <v>0</v>
      </c>
      <c r="F380" s="472">
        <f t="shared" si="68"/>
        <v>0</v>
      </c>
      <c r="G380" s="472">
        <f t="shared" si="69"/>
        <v>0</v>
      </c>
      <c r="H380" s="478"/>
      <c r="I380" s="472">
        <f t="shared" si="70"/>
        <v>0</v>
      </c>
      <c r="J380" s="478"/>
      <c r="K380" s="478"/>
      <c r="L380" s="478"/>
      <c r="M380" s="478"/>
      <c r="N380" s="478"/>
      <c r="O380" s="478"/>
      <c r="P380" s="478"/>
      <c r="Q380" s="478"/>
      <c r="R380" s="487"/>
      <c r="S380" s="472">
        <f t="shared" si="71"/>
        <v>0</v>
      </c>
      <c r="T380" s="478"/>
      <c r="U380" s="478"/>
      <c r="V380" s="478"/>
    </row>
    <row r="381" spans="1:22" s="473" customFormat="1" ht="15.75">
      <c r="A381" s="611">
        <v>851</v>
      </c>
      <c r="B381" s="611"/>
      <c r="C381" s="628"/>
      <c r="D381" s="320" t="s">
        <v>579</v>
      </c>
      <c r="E381" s="529">
        <f t="shared" si="67"/>
        <v>5674300</v>
      </c>
      <c r="F381" s="472">
        <f t="shared" si="68"/>
        <v>2684300</v>
      </c>
      <c r="G381" s="472">
        <f t="shared" si="69"/>
        <v>2684300</v>
      </c>
      <c r="H381" s="472">
        <f>SUM(H388+H384+H382)</f>
        <v>45000</v>
      </c>
      <c r="I381" s="472">
        <f t="shared" si="70"/>
        <v>2639300</v>
      </c>
      <c r="J381" s="472">
        <f aca="true" t="shared" si="72" ref="J381:R381">SUM(J388+J384+J382)</f>
        <v>0</v>
      </c>
      <c r="K381" s="472">
        <f t="shared" si="72"/>
        <v>0</v>
      </c>
      <c r="L381" s="472">
        <f t="shared" si="72"/>
        <v>0</v>
      </c>
      <c r="M381" s="472">
        <f t="shared" si="72"/>
        <v>2639300</v>
      </c>
      <c r="N381" s="472">
        <f t="shared" si="72"/>
        <v>0</v>
      </c>
      <c r="O381" s="472">
        <f t="shared" si="72"/>
        <v>0</v>
      </c>
      <c r="P381" s="472">
        <f t="shared" si="72"/>
        <v>0</v>
      </c>
      <c r="Q381" s="472">
        <f t="shared" si="72"/>
        <v>0</v>
      </c>
      <c r="R381" s="472">
        <f t="shared" si="72"/>
        <v>0</v>
      </c>
      <c r="S381" s="472">
        <f t="shared" si="71"/>
        <v>2990000</v>
      </c>
      <c r="T381" s="472">
        <f>SUM(T388+T384+T382)</f>
        <v>0</v>
      </c>
      <c r="U381" s="472">
        <f>SUM(U388+U384+U382)</f>
        <v>0</v>
      </c>
      <c r="V381" s="472">
        <f>SUM(V388+V384+V382)</f>
        <v>2990000</v>
      </c>
    </row>
    <row r="382" spans="1:22" s="476" customFormat="1" ht="15.75">
      <c r="A382" s="612"/>
      <c r="B382" s="612">
        <v>85111</v>
      </c>
      <c r="C382" s="629"/>
      <c r="D382" s="271" t="s">
        <v>830</v>
      </c>
      <c r="E382" s="529">
        <f t="shared" si="67"/>
        <v>2990000</v>
      </c>
      <c r="F382" s="472">
        <f t="shared" si="68"/>
        <v>0</v>
      </c>
      <c r="G382" s="472">
        <f t="shared" si="69"/>
        <v>0</v>
      </c>
      <c r="H382" s="475">
        <f aca="true" t="shared" si="73" ref="H382:V382">SUM(H383)</f>
        <v>0</v>
      </c>
      <c r="I382" s="472">
        <f t="shared" si="70"/>
        <v>0</v>
      </c>
      <c r="J382" s="475">
        <f t="shared" si="73"/>
        <v>0</v>
      </c>
      <c r="K382" s="475">
        <f t="shared" si="73"/>
        <v>0</v>
      </c>
      <c r="L382" s="475">
        <f t="shared" si="73"/>
        <v>0</v>
      </c>
      <c r="M382" s="475">
        <f t="shared" si="73"/>
        <v>0</v>
      </c>
      <c r="N382" s="475">
        <f t="shared" si="73"/>
        <v>0</v>
      </c>
      <c r="O382" s="475">
        <f t="shared" si="73"/>
        <v>0</v>
      </c>
      <c r="P382" s="475">
        <f t="shared" si="73"/>
        <v>0</v>
      </c>
      <c r="Q382" s="475">
        <f t="shared" si="73"/>
        <v>0</v>
      </c>
      <c r="R382" s="475">
        <f t="shared" si="73"/>
        <v>0</v>
      </c>
      <c r="S382" s="472">
        <f t="shared" si="71"/>
        <v>2990000</v>
      </c>
      <c r="T382" s="475">
        <f t="shared" si="73"/>
        <v>0</v>
      </c>
      <c r="U382" s="475">
        <f t="shared" si="73"/>
        <v>0</v>
      </c>
      <c r="V382" s="475">
        <f t="shared" si="73"/>
        <v>2990000</v>
      </c>
    </row>
    <row r="383" spans="1:22" s="468" customFormat="1" ht="75">
      <c r="A383" s="613"/>
      <c r="B383" s="613"/>
      <c r="C383" s="630">
        <v>6010</v>
      </c>
      <c r="D383" s="477" t="s">
        <v>831</v>
      </c>
      <c r="E383" s="529">
        <f t="shared" si="67"/>
        <v>2990000</v>
      </c>
      <c r="F383" s="472">
        <f t="shared" si="68"/>
        <v>0</v>
      </c>
      <c r="G383" s="472">
        <f t="shared" si="69"/>
        <v>0</v>
      </c>
      <c r="H383" s="478"/>
      <c r="I383" s="472">
        <f t="shared" si="70"/>
        <v>0</v>
      </c>
      <c r="J383" s="478"/>
      <c r="K383" s="478"/>
      <c r="L383" s="478"/>
      <c r="M383" s="478"/>
      <c r="N383" s="478"/>
      <c r="O383" s="478"/>
      <c r="P383" s="478"/>
      <c r="Q383" s="478"/>
      <c r="R383" s="478"/>
      <c r="S383" s="472">
        <f t="shared" si="71"/>
        <v>2990000</v>
      </c>
      <c r="T383" s="478"/>
      <c r="U383" s="478"/>
      <c r="V383" s="478">
        <v>2990000</v>
      </c>
    </row>
    <row r="384" spans="1:22" s="476" customFormat="1" ht="110.25">
      <c r="A384" s="612"/>
      <c r="B384" s="612">
        <v>85156</v>
      </c>
      <c r="C384" s="629"/>
      <c r="D384" s="271" t="s">
        <v>580</v>
      </c>
      <c r="E384" s="529">
        <f t="shared" si="67"/>
        <v>2639300</v>
      </c>
      <c r="F384" s="472">
        <f t="shared" si="68"/>
        <v>2639300</v>
      </c>
      <c r="G384" s="472">
        <f t="shared" si="69"/>
        <v>2639300</v>
      </c>
      <c r="H384" s="475">
        <f>SUM(H385:H387)</f>
        <v>0</v>
      </c>
      <c r="I384" s="472">
        <f t="shared" si="70"/>
        <v>2639300</v>
      </c>
      <c r="J384" s="475">
        <f>SUM(J385:J387)</f>
        <v>0</v>
      </c>
      <c r="K384" s="475">
        <f aca="true" t="shared" si="74" ref="K384:R384">SUM(K385:K387)</f>
        <v>0</v>
      </c>
      <c r="L384" s="475">
        <f t="shared" si="74"/>
        <v>0</v>
      </c>
      <c r="M384" s="475">
        <f t="shared" si="74"/>
        <v>2639300</v>
      </c>
      <c r="N384" s="475">
        <f t="shared" si="74"/>
        <v>0</v>
      </c>
      <c r="O384" s="475">
        <f t="shared" si="74"/>
        <v>0</v>
      </c>
      <c r="P384" s="475">
        <f>SUM(P385:P387)</f>
        <v>0</v>
      </c>
      <c r="Q384" s="475">
        <f t="shared" si="74"/>
        <v>0</v>
      </c>
      <c r="R384" s="475">
        <f t="shared" si="74"/>
        <v>0</v>
      </c>
      <c r="S384" s="472">
        <f t="shared" si="71"/>
        <v>0</v>
      </c>
      <c r="T384" s="475">
        <f>SUM(T385:T387)</f>
        <v>0</v>
      </c>
      <c r="U384" s="475">
        <f>SUM(U385:U387)</f>
        <v>0</v>
      </c>
      <c r="V384" s="475">
        <f>SUM(V385:V387)</f>
        <v>0</v>
      </c>
    </row>
    <row r="385" spans="1:22" s="468" customFormat="1" ht="45">
      <c r="A385" s="613"/>
      <c r="B385" s="613"/>
      <c r="C385" s="630">
        <v>4130</v>
      </c>
      <c r="D385" s="477" t="s">
        <v>581</v>
      </c>
      <c r="E385" s="572">
        <f t="shared" si="67"/>
        <v>2639300</v>
      </c>
      <c r="F385" s="472">
        <f t="shared" si="68"/>
        <v>2639300</v>
      </c>
      <c r="G385" s="472">
        <f t="shared" si="69"/>
        <v>2639300</v>
      </c>
      <c r="H385" s="478"/>
      <c r="I385" s="472">
        <f t="shared" si="70"/>
        <v>2639300</v>
      </c>
      <c r="J385" s="478"/>
      <c r="K385" s="478"/>
      <c r="L385" s="478"/>
      <c r="M385" s="478">
        <f>2848400-209100</f>
        <v>2639300</v>
      </c>
      <c r="N385" s="478"/>
      <c r="O385" s="478"/>
      <c r="P385" s="478"/>
      <c r="Q385" s="478"/>
      <c r="R385" s="478"/>
      <c r="S385" s="472">
        <f t="shared" si="71"/>
        <v>0</v>
      </c>
      <c r="T385" s="478"/>
      <c r="U385" s="478"/>
      <c r="V385" s="478"/>
    </row>
    <row r="386" spans="1:22" s="468" customFormat="1" ht="15.75">
      <c r="A386" s="613"/>
      <c r="B386" s="613"/>
      <c r="C386" s="630">
        <v>4430</v>
      </c>
      <c r="D386" s="477" t="s">
        <v>431</v>
      </c>
      <c r="E386" s="572">
        <f t="shared" si="67"/>
        <v>0</v>
      </c>
      <c r="F386" s="472">
        <f t="shared" si="68"/>
        <v>0</v>
      </c>
      <c r="G386" s="472">
        <f t="shared" si="69"/>
        <v>0</v>
      </c>
      <c r="H386" s="478"/>
      <c r="I386" s="472">
        <f t="shared" si="70"/>
        <v>0</v>
      </c>
      <c r="J386" s="478"/>
      <c r="K386" s="478"/>
      <c r="L386" s="478"/>
      <c r="M386" s="478"/>
      <c r="N386" s="478"/>
      <c r="O386" s="478"/>
      <c r="P386" s="478"/>
      <c r="Q386" s="478"/>
      <c r="R386" s="478"/>
      <c r="S386" s="472">
        <f t="shared" si="71"/>
        <v>0</v>
      </c>
      <c r="T386" s="478"/>
      <c r="U386" s="478"/>
      <c r="V386" s="478"/>
    </row>
    <row r="387" spans="1:22" s="468" customFormat="1" ht="15.75">
      <c r="A387" s="613"/>
      <c r="B387" s="613"/>
      <c r="C387" s="630">
        <v>4580</v>
      </c>
      <c r="D387" s="477" t="s">
        <v>104</v>
      </c>
      <c r="E387" s="572">
        <f t="shared" si="67"/>
        <v>0</v>
      </c>
      <c r="F387" s="472">
        <f t="shared" si="68"/>
        <v>0</v>
      </c>
      <c r="G387" s="472">
        <f t="shared" si="69"/>
        <v>0</v>
      </c>
      <c r="H387" s="478"/>
      <c r="I387" s="472">
        <f t="shared" si="70"/>
        <v>0</v>
      </c>
      <c r="J387" s="478"/>
      <c r="K387" s="478"/>
      <c r="L387" s="478"/>
      <c r="M387" s="478"/>
      <c r="N387" s="478"/>
      <c r="O387" s="478"/>
      <c r="P387" s="478"/>
      <c r="Q387" s="478"/>
      <c r="R387" s="478"/>
      <c r="S387" s="472">
        <f t="shared" si="71"/>
        <v>0</v>
      </c>
      <c r="T387" s="478"/>
      <c r="U387" s="478"/>
      <c r="V387" s="478"/>
    </row>
    <row r="388" spans="1:22" s="476" customFormat="1" ht="31.5">
      <c r="A388" s="612"/>
      <c r="B388" s="612">
        <v>85149</v>
      </c>
      <c r="C388" s="629"/>
      <c r="D388" s="271" t="s">
        <v>582</v>
      </c>
      <c r="E388" s="529">
        <f t="shared" si="67"/>
        <v>45000</v>
      </c>
      <c r="F388" s="472">
        <f t="shared" si="68"/>
        <v>45000</v>
      </c>
      <c r="G388" s="472">
        <f t="shared" si="69"/>
        <v>45000</v>
      </c>
      <c r="H388" s="475">
        <f aca="true" t="shared" si="75" ref="H388:R388">H389</f>
        <v>45000</v>
      </c>
      <c r="I388" s="472">
        <f t="shared" si="70"/>
        <v>0</v>
      </c>
      <c r="J388" s="475">
        <f t="shared" si="75"/>
        <v>0</v>
      </c>
      <c r="K388" s="475">
        <f t="shared" si="75"/>
        <v>0</v>
      </c>
      <c r="L388" s="475">
        <f t="shared" si="75"/>
        <v>0</v>
      </c>
      <c r="M388" s="475">
        <f t="shared" si="75"/>
        <v>0</v>
      </c>
      <c r="N388" s="475">
        <f t="shared" si="75"/>
        <v>0</v>
      </c>
      <c r="O388" s="475">
        <f t="shared" si="75"/>
        <v>0</v>
      </c>
      <c r="P388" s="475">
        <f t="shared" si="75"/>
        <v>0</v>
      </c>
      <c r="Q388" s="475">
        <f t="shared" si="75"/>
        <v>0</v>
      </c>
      <c r="R388" s="475">
        <f t="shared" si="75"/>
        <v>0</v>
      </c>
      <c r="S388" s="472">
        <f t="shared" si="71"/>
        <v>0</v>
      </c>
      <c r="T388" s="475"/>
      <c r="U388" s="475"/>
      <c r="V388" s="475"/>
    </row>
    <row r="389" spans="1:22" s="468" customFormat="1" ht="30">
      <c r="A389" s="613"/>
      <c r="B389" s="613"/>
      <c r="C389" s="630">
        <v>4280</v>
      </c>
      <c r="D389" s="477" t="s">
        <v>583</v>
      </c>
      <c r="E389" s="529">
        <f t="shared" si="67"/>
        <v>45000</v>
      </c>
      <c r="F389" s="472">
        <f t="shared" si="68"/>
        <v>45000</v>
      </c>
      <c r="G389" s="472">
        <f t="shared" si="69"/>
        <v>45000</v>
      </c>
      <c r="H389" s="478">
        <v>45000</v>
      </c>
      <c r="I389" s="472">
        <f t="shared" si="70"/>
        <v>0</v>
      </c>
      <c r="J389" s="478"/>
      <c r="K389" s="478"/>
      <c r="L389" s="478"/>
      <c r="M389" s="478"/>
      <c r="N389" s="478"/>
      <c r="O389" s="478"/>
      <c r="P389" s="478"/>
      <c r="Q389" s="478"/>
      <c r="R389" s="478"/>
      <c r="S389" s="472">
        <f t="shared" si="71"/>
        <v>0</v>
      </c>
      <c r="T389" s="478"/>
      <c r="U389" s="478"/>
      <c r="V389" s="478"/>
    </row>
    <row r="390" spans="1:22" s="473" customFormat="1" ht="15.75">
      <c r="A390" s="611">
        <v>852</v>
      </c>
      <c r="B390" s="611"/>
      <c r="C390" s="628"/>
      <c r="D390" s="320" t="s">
        <v>584</v>
      </c>
      <c r="E390" s="529">
        <f t="shared" si="67"/>
        <v>17659000</v>
      </c>
      <c r="F390" s="472">
        <f t="shared" si="68"/>
        <v>15093786</v>
      </c>
      <c r="G390" s="472">
        <f t="shared" si="69"/>
        <v>12804449</v>
      </c>
      <c r="H390" s="472">
        <f>SUM(H391+H419+H449+H474+H480+H505+H517+H520)</f>
        <v>3996309</v>
      </c>
      <c r="I390" s="472">
        <f t="shared" si="70"/>
        <v>8808140</v>
      </c>
      <c r="J390" s="472">
        <f aca="true" t="shared" si="76" ref="J390:R390">SUM(J391+J419+J449+J474+J480+J505+J517+J520)</f>
        <v>6622843</v>
      </c>
      <c r="K390" s="472">
        <f t="shared" si="76"/>
        <v>537657</v>
      </c>
      <c r="L390" s="472">
        <f t="shared" si="76"/>
        <v>1325980</v>
      </c>
      <c r="M390" s="472">
        <f>SUM(M391+M419+M449+M474+M480+M505+M517+M520)</f>
        <v>321660</v>
      </c>
      <c r="N390" s="472">
        <f>SUM(N391+N419+N449+N474+N480+N505+N517+N520)</f>
        <v>1897337</v>
      </c>
      <c r="O390" s="472">
        <f t="shared" si="76"/>
        <v>392000</v>
      </c>
      <c r="P390" s="472">
        <f>SUM(P391+P419+P449+P474+P480+P505+P517+P520)</f>
        <v>0</v>
      </c>
      <c r="Q390" s="472">
        <f t="shared" si="76"/>
        <v>0</v>
      </c>
      <c r="R390" s="472">
        <f t="shared" si="76"/>
        <v>0</v>
      </c>
      <c r="S390" s="472">
        <f t="shared" si="71"/>
        <v>2565214</v>
      </c>
      <c r="T390" s="472">
        <f>SUM(T391+T419+T449+T474+T480+T505+T517+T520)</f>
        <v>2565214</v>
      </c>
      <c r="U390" s="472">
        <f>SUM(U391+U419+U449+U474+U480+U505+U517+U520)</f>
        <v>2541214</v>
      </c>
      <c r="V390" s="472">
        <f>SUM(V391+V419+V449+V474+V480+V505+V517+V520)</f>
        <v>0</v>
      </c>
    </row>
    <row r="391" spans="1:22" s="476" customFormat="1" ht="31.5">
      <c r="A391" s="612"/>
      <c r="B391" s="612">
        <v>85201</v>
      </c>
      <c r="C391" s="629"/>
      <c r="D391" s="271" t="s">
        <v>585</v>
      </c>
      <c r="E391" s="529">
        <f t="shared" si="67"/>
        <v>1631033</v>
      </c>
      <c r="F391" s="472">
        <f t="shared" si="68"/>
        <v>1631033</v>
      </c>
      <c r="G391" s="472">
        <f t="shared" si="69"/>
        <v>1260453</v>
      </c>
      <c r="H391" s="475">
        <f>SUM(H392:H418)</f>
        <v>253407</v>
      </c>
      <c r="I391" s="472">
        <f t="shared" si="70"/>
        <v>1007046</v>
      </c>
      <c r="J391" s="475">
        <f>SUM(J392:J418)</f>
        <v>781646</v>
      </c>
      <c r="K391" s="475">
        <f aca="true" t="shared" si="77" ref="K391:R391">SUM(K392:K418)</f>
        <v>58810</v>
      </c>
      <c r="L391" s="475">
        <f t="shared" si="77"/>
        <v>148590</v>
      </c>
      <c r="M391" s="475">
        <f>SUM(M392:M418)</f>
        <v>18000</v>
      </c>
      <c r="N391" s="475">
        <f>SUM(N392:N418)</f>
        <v>82580</v>
      </c>
      <c r="O391" s="475">
        <f t="shared" si="77"/>
        <v>288000</v>
      </c>
      <c r="P391" s="475">
        <f>SUM(P392:P418)</f>
        <v>0</v>
      </c>
      <c r="Q391" s="475">
        <f t="shared" si="77"/>
        <v>0</v>
      </c>
      <c r="R391" s="475">
        <f t="shared" si="77"/>
        <v>0</v>
      </c>
      <c r="S391" s="472">
        <f t="shared" si="71"/>
        <v>0</v>
      </c>
      <c r="T391" s="475">
        <f>SUM(T392:T418)</f>
        <v>0</v>
      </c>
      <c r="U391" s="475">
        <f>SUM(U392:U418)</f>
        <v>0</v>
      </c>
      <c r="V391" s="475">
        <f>SUM(V392:V418)</f>
        <v>0</v>
      </c>
    </row>
    <row r="392" spans="1:22" s="468" customFormat="1" ht="128.25" customHeight="1">
      <c r="A392" s="613"/>
      <c r="B392" s="613"/>
      <c r="C392" s="630">
        <v>2320</v>
      </c>
      <c r="D392" s="477" t="s">
        <v>586</v>
      </c>
      <c r="E392" s="529">
        <f t="shared" si="67"/>
        <v>288000</v>
      </c>
      <c r="F392" s="472">
        <f t="shared" si="68"/>
        <v>288000</v>
      </c>
      <c r="G392" s="472">
        <f t="shared" si="69"/>
        <v>0</v>
      </c>
      <c r="H392" s="487"/>
      <c r="I392" s="472">
        <f t="shared" si="70"/>
        <v>0</v>
      </c>
      <c r="J392" s="478"/>
      <c r="K392" s="478"/>
      <c r="L392" s="478"/>
      <c r="M392" s="478"/>
      <c r="N392" s="478"/>
      <c r="O392" s="478">
        <v>288000</v>
      </c>
      <c r="P392" s="478"/>
      <c r="Q392" s="478"/>
      <c r="R392" s="478"/>
      <c r="S392" s="472">
        <f t="shared" si="71"/>
        <v>0</v>
      </c>
      <c r="T392" s="478"/>
      <c r="U392" s="478"/>
      <c r="V392" s="478"/>
    </row>
    <row r="393" spans="1:22" s="468" customFormat="1" ht="34.5" customHeight="1">
      <c r="A393" s="613"/>
      <c r="B393" s="613"/>
      <c r="C393" s="630">
        <v>3020</v>
      </c>
      <c r="D393" s="477" t="s">
        <v>709</v>
      </c>
      <c r="E393" s="529">
        <f t="shared" si="67"/>
        <v>1500</v>
      </c>
      <c r="F393" s="472">
        <f t="shared" si="68"/>
        <v>1500</v>
      </c>
      <c r="G393" s="472">
        <f t="shared" si="69"/>
        <v>0</v>
      </c>
      <c r="H393" s="478"/>
      <c r="I393" s="472">
        <f t="shared" si="70"/>
        <v>0</v>
      </c>
      <c r="J393" s="478"/>
      <c r="K393" s="478"/>
      <c r="L393" s="478"/>
      <c r="M393" s="478"/>
      <c r="N393" s="478">
        <v>1500</v>
      </c>
      <c r="O393" s="478"/>
      <c r="P393" s="478"/>
      <c r="Q393" s="478"/>
      <c r="R393" s="478"/>
      <c r="S393" s="472">
        <f t="shared" si="71"/>
        <v>0</v>
      </c>
      <c r="T393" s="478"/>
      <c r="U393" s="478"/>
      <c r="V393" s="478"/>
    </row>
    <row r="394" spans="1:22" s="468" customFormat="1" ht="24.75" customHeight="1">
      <c r="A394" s="613"/>
      <c r="B394" s="613"/>
      <c r="C394" s="630">
        <v>3110</v>
      </c>
      <c r="D394" s="477" t="s">
        <v>587</v>
      </c>
      <c r="E394" s="529">
        <f t="shared" si="67"/>
        <v>81080</v>
      </c>
      <c r="F394" s="472">
        <f t="shared" si="68"/>
        <v>81080</v>
      </c>
      <c r="G394" s="472">
        <f t="shared" si="69"/>
        <v>0</v>
      </c>
      <c r="H394" s="478"/>
      <c r="I394" s="472">
        <f t="shared" si="70"/>
        <v>0</v>
      </c>
      <c r="J394" s="478"/>
      <c r="K394" s="478"/>
      <c r="L394" s="478"/>
      <c r="M394" s="478"/>
      <c r="N394" s="478">
        <v>81080</v>
      </c>
      <c r="O394" s="478"/>
      <c r="P394" s="478"/>
      <c r="Q394" s="478"/>
      <c r="R394" s="478"/>
      <c r="S394" s="472">
        <f t="shared" si="71"/>
        <v>0</v>
      </c>
      <c r="T394" s="478"/>
      <c r="U394" s="478"/>
      <c r="V394" s="478"/>
    </row>
    <row r="395" spans="1:22" s="468" customFormat="1" ht="30">
      <c r="A395" s="613"/>
      <c r="B395" s="613"/>
      <c r="C395" s="630">
        <v>4010</v>
      </c>
      <c r="D395" s="477" t="s">
        <v>417</v>
      </c>
      <c r="E395" s="529">
        <f t="shared" si="67"/>
        <v>781646</v>
      </c>
      <c r="F395" s="472">
        <f t="shared" si="68"/>
        <v>781646</v>
      </c>
      <c r="G395" s="472">
        <f t="shared" si="69"/>
        <v>781646</v>
      </c>
      <c r="H395" s="478"/>
      <c r="I395" s="472">
        <f t="shared" si="70"/>
        <v>781646</v>
      </c>
      <c r="J395" s="478">
        <v>781646</v>
      </c>
      <c r="K395" s="478"/>
      <c r="L395" s="478"/>
      <c r="M395" s="478"/>
      <c r="N395" s="478"/>
      <c r="O395" s="478"/>
      <c r="P395" s="478"/>
      <c r="Q395" s="478"/>
      <c r="R395" s="478"/>
      <c r="S395" s="472">
        <f t="shared" si="71"/>
        <v>0</v>
      </c>
      <c r="T395" s="478"/>
      <c r="U395" s="478"/>
      <c r="V395" s="478"/>
    </row>
    <row r="396" spans="1:22" s="468" customFormat="1" ht="30">
      <c r="A396" s="613"/>
      <c r="B396" s="613"/>
      <c r="C396" s="630">
        <v>4040</v>
      </c>
      <c r="D396" s="477" t="s">
        <v>418</v>
      </c>
      <c r="E396" s="529">
        <f t="shared" si="67"/>
        <v>58810</v>
      </c>
      <c r="F396" s="472">
        <f t="shared" si="68"/>
        <v>58810</v>
      </c>
      <c r="G396" s="472">
        <f t="shared" si="69"/>
        <v>58810</v>
      </c>
      <c r="H396" s="478"/>
      <c r="I396" s="472">
        <f t="shared" si="70"/>
        <v>58810</v>
      </c>
      <c r="J396" s="478"/>
      <c r="K396" s="478">
        <v>58810</v>
      </c>
      <c r="L396" s="478"/>
      <c r="M396" s="478"/>
      <c r="N396" s="478"/>
      <c r="O396" s="478"/>
      <c r="P396" s="478"/>
      <c r="Q396" s="478"/>
      <c r="R396" s="478"/>
      <c r="S396" s="472">
        <f t="shared" si="71"/>
        <v>0</v>
      </c>
      <c r="T396" s="478"/>
      <c r="U396" s="478"/>
      <c r="V396" s="478"/>
    </row>
    <row r="397" spans="1:22" s="468" customFormat="1" ht="45">
      <c r="A397" s="613"/>
      <c r="B397" s="613"/>
      <c r="C397" s="630">
        <v>4110</v>
      </c>
      <c r="D397" s="477" t="s">
        <v>419</v>
      </c>
      <c r="E397" s="529">
        <f t="shared" si="67"/>
        <v>128490</v>
      </c>
      <c r="F397" s="472">
        <f t="shared" si="68"/>
        <v>128490</v>
      </c>
      <c r="G397" s="472">
        <f t="shared" si="69"/>
        <v>128490</v>
      </c>
      <c r="H397" s="478"/>
      <c r="I397" s="472">
        <f t="shared" si="70"/>
        <v>128490</v>
      </c>
      <c r="J397" s="478"/>
      <c r="K397" s="478"/>
      <c r="L397" s="478">
        <v>128490</v>
      </c>
      <c r="M397" s="478"/>
      <c r="N397" s="478"/>
      <c r="O397" s="478"/>
      <c r="P397" s="478"/>
      <c r="Q397" s="478"/>
      <c r="R397" s="478"/>
      <c r="S397" s="472">
        <f t="shared" si="71"/>
        <v>0</v>
      </c>
      <c r="T397" s="478"/>
      <c r="U397" s="478"/>
      <c r="V397" s="478"/>
    </row>
    <row r="398" spans="1:22" s="468" customFormat="1" ht="30">
      <c r="A398" s="613"/>
      <c r="B398" s="613"/>
      <c r="C398" s="630">
        <v>4120</v>
      </c>
      <c r="D398" s="477" t="s">
        <v>420</v>
      </c>
      <c r="E398" s="529">
        <f t="shared" si="67"/>
        <v>20100</v>
      </c>
      <c r="F398" s="472">
        <f t="shared" si="68"/>
        <v>20100</v>
      </c>
      <c r="G398" s="472">
        <f t="shared" si="69"/>
        <v>20100</v>
      </c>
      <c r="H398" s="478"/>
      <c r="I398" s="472">
        <f t="shared" si="70"/>
        <v>20100</v>
      </c>
      <c r="J398" s="478"/>
      <c r="K398" s="478"/>
      <c r="L398" s="478">
        <v>20100</v>
      </c>
      <c r="M398" s="478"/>
      <c r="N398" s="478"/>
      <c r="O398" s="478"/>
      <c r="P398" s="478"/>
      <c r="Q398" s="478"/>
      <c r="R398" s="478"/>
      <c r="S398" s="472">
        <f t="shared" si="71"/>
        <v>0</v>
      </c>
      <c r="T398" s="478"/>
      <c r="U398" s="478"/>
      <c r="V398" s="478"/>
    </row>
    <row r="399" spans="1:22" s="468" customFormat="1" ht="33" customHeight="1">
      <c r="A399" s="621"/>
      <c r="B399" s="611"/>
      <c r="C399" s="637">
        <v>4170</v>
      </c>
      <c r="D399" s="488" t="s">
        <v>518</v>
      </c>
      <c r="E399" s="529">
        <f aca="true" t="shared" si="78" ref="E399:E464">F399+S399</f>
        <v>18000</v>
      </c>
      <c r="F399" s="472">
        <f t="shared" si="68"/>
        <v>18000</v>
      </c>
      <c r="G399" s="472">
        <f t="shared" si="69"/>
        <v>18000</v>
      </c>
      <c r="H399" s="478"/>
      <c r="I399" s="472">
        <f t="shared" si="70"/>
        <v>18000</v>
      </c>
      <c r="J399" s="478"/>
      <c r="K399" s="478"/>
      <c r="L399" s="489"/>
      <c r="M399" s="489">
        <v>18000</v>
      </c>
      <c r="N399" s="489"/>
      <c r="O399" s="478"/>
      <c r="P399" s="478"/>
      <c r="Q399" s="478"/>
      <c r="R399" s="489"/>
      <c r="S399" s="472">
        <f t="shared" si="71"/>
        <v>0</v>
      </c>
      <c r="T399" s="478"/>
      <c r="U399" s="478"/>
      <c r="V399" s="478"/>
    </row>
    <row r="400" spans="1:22" s="468" customFormat="1" ht="30">
      <c r="A400" s="613"/>
      <c r="B400" s="613"/>
      <c r="C400" s="630">
        <v>4210</v>
      </c>
      <c r="D400" s="477" t="s">
        <v>422</v>
      </c>
      <c r="E400" s="529">
        <f t="shared" si="78"/>
        <v>25000</v>
      </c>
      <c r="F400" s="472">
        <f aca="true" t="shared" si="79" ref="F400:F465">G400+N400+O400+P400+Q400+R400</f>
        <v>25000</v>
      </c>
      <c r="G400" s="472">
        <f aca="true" t="shared" si="80" ref="G400:G465">H400+I400</f>
        <v>25000</v>
      </c>
      <c r="H400" s="478">
        <v>25000</v>
      </c>
      <c r="I400" s="472">
        <f aca="true" t="shared" si="81" ref="I400:I465">SUM(J400:M400)</f>
        <v>0</v>
      </c>
      <c r="J400" s="478"/>
      <c r="K400" s="478"/>
      <c r="L400" s="478"/>
      <c r="M400" s="478"/>
      <c r="N400" s="478"/>
      <c r="O400" s="478"/>
      <c r="P400" s="478"/>
      <c r="Q400" s="478"/>
      <c r="R400" s="478"/>
      <c r="S400" s="472">
        <f aca="true" t="shared" si="82" ref="S400:S465">T400+V400</f>
        <v>0</v>
      </c>
      <c r="T400" s="478"/>
      <c r="U400" s="478"/>
      <c r="V400" s="478"/>
    </row>
    <row r="401" spans="1:22" s="468" customFormat="1" ht="39" customHeight="1">
      <c r="A401" s="613"/>
      <c r="B401" s="613"/>
      <c r="C401" s="630">
        <v>4220</v>
      </c>
      <c r="D401" s="477" t="s">
        <v>588</v>
      </c>
      <c r="E401" s="529">
        <f t="shared" si="78"/>
        <v>47300</v>
      </c>
      <c r="F401" s="472">
        <f t="shared" si="79"/>
        <v>47300</v>
      </c>
      <c r="G401" s="472">
        <f t="shared" si="80"/>
        <v>47300</v>
      </c>
      <c r="H401" s="478">
        <v>47300</v>
      </c>
      <c r="I401" s="472">
        <f t="shared" si="81"/>
        <v>0</v>
      </c>
      <c r="J401" s="478"/>
      <c r="K401" s="478"/>
      <c r="L401" s="478"/>
      <c r="M401" s="478"/>
      <c r="N401" s="478"/>
      <c r="O401" s="478"/>
      <c r="P401" s="478"/>
      <c r="Q401" s="478"/>
      <c r="R401" s="478"/>
      <c r="S401" s="472">
        <f t="shared" si="82"/>
        <v>0</v>
      </c>
      <c r="T401" s="478"/>
      <c r="U401" s="478"/>
      <c r="V401" s="478"/>
    </row>
    <row r="402" spans="1:22" s="468" customFormat="1" ht="45">
      <c r="A402" s="613"/>
      <c r="B402" s="613"/>
      <c r="C402" s="630">
        <v>4230</v>
      </c>
      <c r="D402" s="477" t="s">
        <v>23</v>
      </c>
      <c r="E402" s="529">
        <f t="shared" si="78"/>
        <v>2100</v>
      </c>
      <c r="F402" s="472">
        <f t="shared" si="79"/>
        <v>2100</v>
      </c>
      <c r="G402" s="472">
        <f t="shared" si="80"/>
        <v>2100</v>
      </c>
      <c r="H402" s="478">
        <v>2100</v>
      </c>
      <c r="I402" s="472">
        <f t="shared" si="81"/>
        <v>0</v>
      </c>
      <c r="J402" s="478"/>
      <c r="K402" s="478"/>
      <c r="L402" s="478"/>
      <c r="M402" s="478"/>
      <c r="N402" s="478"/>
      <c r="O402" s="478"/>
      <c r="P402" s="478"/>
      <c r="Q402" s="478"/>
      <c r="R402" s="478"/>
      <c r="S402" s="472">
        <f t="shared" si="82"/>
        <v>0</v>
      </c>
      <c r="T402" s="478"/>
      <c r="U402" s="478"/>
      <c r="V402" s="478"/>
    </row>
    <row r="403" spans="1:22" s="468" customFormat="1" ht="45">
      <c r="A403" s="613"/>
      <c r="B403" s="613"/>
      <c r="C403" s="630">
        <v>4240</v>
      </c>
      <c r="D403" s="477" t="s">
        <v>559</v>
      </c>
      <c r="E403" s="529">
        <f t="shared" si="78"/>
        <v>2100</v>
      </c>
      <c r="F403" s="472">
        <f t="shared" si="79"/>
        <v>2100</v>
      </c>
      <c r="G403" s="472">
        <f t="shared" si="80"/>
        <v>2100</v>
      </c>
      <c r="H403" s="478">
        <v>2100</v>
      </c>
      <c r="I403" s="472">
        <f t="shared" si="81"/>
        <v>0</v>
      </c>
      <c r="J403" s="478"/>
      <c r="K403" s="478"/>
      <c r="L403" s="478"/>
      <c r="M403" s="478"/>
      <c r="N403" s="478"/>
      <c r="O403" s="478"/>
      <c r="P403" s="478"/>
      <c r="Q403" s="478"/>
      <c r="R403" s="478"/>
      <c r="S403" s="472">
        <f t="shared" si="82"/>
        <v>0</v>
      </c>
      <c r="T403" s="478"/>
      <c r="U403" s="478"/>
      <c r="V403" s="478"/>
    </row>
    <row r="404" spans="1:22" s="468" customFormat="1" ht="15.75">
      <c r="A404" s="613"/>
      <c r="B404" s="613"/>
      <c r="C404" s="630">
        <v>4260</v>
      </c>
      <c r="D404" s="477" t="s">
        <v>423</v>
      </c>
      <c r="E404" s="529">
        <f t="shared" si="78"/>
        <v>76250</v>
      </c>
      <c r="F404" s="472">
        <f t="shared" si="79"/>
        <v>76250</v>
      </c>
      <c r="G404" s="472">
        <f t="shared" si="80"/>
        <v>76250</v>
      </c>
      <c r="H404" s="478">
        <v>76250</v>
      </c>
      <c r="I404" s="472">
        <f t="shared" si="81"/>
        <v>0</v>
      </c>
      <c r="J404" s="478"/>
      <c r="K404" s="478"/>
      <c r="L404" s="478"/>
      <c r="M404" s="478"/>
      <c r="N404" s="478"/>
      <c r="O404" s="478"/>
      <c r="P404" s="478"/>
      <c r="Q404" s="478"/>
      <c r="R404" s="478"/>
      <c r="S404" s="472">
        <f t="shared" si="82"/>
        <v>0</v>
      </c>
      <c r="T404" s="478"/>
      <c r="U404" s="478"/>
      <c r="V404" s="478"/>
    </row>
    <row r="405" spans="1:22" s="468" customFormat="1" ht="30">
      <c r="A405" s="613"/>
      <c r="B405" s="613"/>
      <c r="C405" s="630">
        <v>4270</v>
      </c>
      <c r="D405" s="477" t="s">
        <v>439</v>
      </c>
      <c r="E405" s="529">
        <f t="shared" si="78"/>
        <v>6600</v>
      </c>
      <c r="F405" s="472">
        <f t="shared" si="79"/>
        <v>6600</v>
      </c>
      <c r="G405" s="472">
        <f t="shared" si="80"/>
        <v>6600</v>
      </c>
      <c r="H405" s="478">
        <v>6600</v>
      </c>
      <c r="I405" s="472">
        <f t="shared" si="81"/>
        <v>0</v>
      </c>
      <c r="J405" s="478"/>
      <c r="K405" s="478"/>
      <c r="L405" s="478"/>
      <c r="M405" s="478"/>
      <c r="N405" s="478"/>
      <c r="O405" s="478"/>
      <c r="P405" s="478"/>
      <c r="Q405" s="478"/>
      <c r="R405" s="478"/>
      <c r="S405" s="472">
        <f t="shared" si="82"/>
        <v>0</v>
      </c>
      <c r="T405" s="478"/>
      <c r="U405" s="478"/>
      <c r="V405" s="478"/>
    </row>
    <row r="406" spans="1:22" s="468" customFormat="1" ht="15.75">
      <c r="A406" s="613"/>
      <c r="B406" s="613"/>
      <c r="C406" s="630">
        <v>4280</v>
      </c>
      <c r="D406" s="477" t="s">
        <v>425</v>
      </c>
      <c r="E406" s="529">
        <f t="shared" si="78"/>
        <v>300</v>
      </c>
      <c r="F406" s="472">
        <f t="shared" si="79"/>
        <v>300</v>
      </c>
      <c r="G406" s="472">
        <f t="shared" si="80"/>
        <v>300</v>
      </c>
      <c r="H406" s="478">
        <v>300</v>
      </c>
      <c r="I406" s="472">
        <f t="shared" si="81"/>
        <v>0</v>
      </c>
      <c r="J406" s="478"/>
      <c r="K406" s="478"/>
      <c r="L406" s="478"/>
      <c r="M406" s="478"/>
      <c r="N406" s="478"/>
      <c r="O406" s="478"/>
      <c r="P406" s="478"/>
      <c r="Q406" s="478"/>
      <c r="R406" s="478"/>
      <c r="S406" s="472">
        <f t="shared" si="82"/>
        <v>0</v>
      </c>
      <c r="T406" s="478"/>
      <c r="U406" s="478"/>
      <c r="V406" s="478"/>
    </row>
    <row r="407" spans="1:22" s="468" customFormat="1" ht="30.75" customHeight="1">
      <c r="A407" s="613"/>
      <c r="B407" s="613"/>
      <c r="C407" s="630">
        <v>4300</v>
      </c>
      <c r="D407" s="477" t="s">
        <v>529</v>
      </c>
      <c r="E407" s="529">
        <f t="shared" si="78"/>
        <v>13640</v>
      </c>
      <c r="F407" s="472">
        <f t="shared" si="79"/>
        <v>13640</v>
      </c>
      <c r="G407" s="472">
        <f t="shared" si="80"/>
        <v>13640</v>
      </c>
      <c r="H407" s="478">
        <v>13640</v>
      </c>
      <c r="I407" s="472">
        <f t="shared" si="81"/>
        <v>0</v>
      </c>
      <c r="J407" s="478"/>
      <c r="K407" s="478"/>
      <c r="L407" s="478"/>
      <c r="M407" s="478"/>
      <c r="N407" s="478"/>
      <c r="O407" s="478"/>
      <c r="P407" s="478"/>
      <c r="Q407" s="478"/>
      <c r="R407" s="478"/>
      <c r="S407" s="472">
        <f t="shared" si="82"/>
        <v>0</v>
      </c>
      <c r="T407" s="478"/>
      <c r="U407" s="478"/>
      <c r="V407" s="478"/>
    </row>
    <row r="408" spans="1:22" s="468" customFormat="1" ht="30">
      <c r="A408" s="613"/>
      <c r="B408" s="613"/>
      <c r="C408" s="630">
        <v>4350</v>
      </c>
      <c r="D408" s="477" t="s">
        <v>426</v>
      </c>
      <c r="E408" s="529">
        <f t="shared" si="78"/>
        <v>1200</v>
      </c>
      <c r="F408" s="472">
        <f t="shared" si="79"/>
        <v>1200</v>
      </c>
      <c r="G408" s="472">
        <f t="shared" si="80"/>
        <v>1200</v>
      </c>
      <c r="H408" s="478">
        <v>1200</v>
      </c>
      <c r="I408" s="472">
        <f t="shared" si="81"/>
        <v>0</v>
      </c>
      <c r="J408" s="478"/>
      <c r="K408" s="478"/>
      <c r="L408" s="478"/>
      <c r="M408" s="478"/>
      <c r="N408" s="478"/>
      <c r="O408" s="478"/>
      <c r="P408" s="478"/>
      <c r="Q408" s="478"/>
      <c r="R408" s="478"/>
      <c r="S408" s="472">
        <f t="shared" si="82"/>
        <v>0</v>
      </c>
      <c r="T408" s="478"/>
      <c r="U408" s="478"/>
      <c r="V408" s="478"/>
    </row>
    <row r="409" spans="1:22" s="468" customFormat="1" ht="60">
      <c r="A409" s="613"/>
      <c r="B409" s="613"/>
      <c r="C409" s="630">
        <v>4360</v>
      </c>
      <c r="D409" s="477" t="s">
        <v>567</v>
      </c>
      <c r="E409" s="529">
        <f t="shared" si="78"/>
        <v>1300</v>
      </c>
      <c r="F409" s="472">
        <f t="shared" si="79"/>
        <v>1300</v>
      </c>
      <c r="G409" s="472">
        <f t="shared" si="80"/>
        <v>1300</v>
      </c>
      <c r="H409" s="478">
        <v>1300</v>
      </c>
      <c r="I409" s="472">
        <f t="shared" si="81"/>
        <v>0</v>
      </c>
      <c r="J409" s="478"/>
      <c r="K409" s="478"/>
      <c r="L409" s="478"/>
      <c r="M409" s="478"/>
      <c r="N409" s="478"/>
      <c r="O409" s="478"/>
      <c r="P409" s="478"/>
      <c r="Q409" s="478"/>
      <c r="R409" s="478"/>
      <c r="S409" s="472">
        <f t="shared" si="82"/>
        <v>0</v>
      </c>
      <c r="T409" s="478"/>
      <c r="U409" s="478"/>
      <c r="V409" s="478"/>
    </row>
    <row r="410" spans="1:22" s="468" customFormat="1" ht="60">
      <c r="A410" s="613"/>
      <c r="B410" s="613"/>
      <c r="C410" s="630">
        <v>4370</v>
      </c>
      <c r="D410" s="477" t="s">
        <v>560</v>
      </c>
      <c r="E410" s="529">
        <f t="shared" si="78"/>
        <v>5200</v>
      </c>
      <c r="F410" s="472">
        <f t="shared" si="79"/>
        <v>5200</v>
      </c>
      <c r="G410" s="472">
        <f t="shared" si="80"/>
        <v>5200</v>
      </c>
      <c r="H410" s="478">
        <v>5200</v>
      </c>
      <c r="I410" s="472">
        <f t="shared" si="81"/>
        <v>0</v>
      </c>
      <c r="J410" s="478"/>
      <c r="K410" s="478"/>
      <c r="L410" s="478"/>
      <c r="M410" s="478"/>
      <c r="N410" s="478"/>
      <c r="O410" s="478"/>
      <c r="P410" s="478"/>
      <c r="Q410" s="478"/>
      <c r="R410" s="478"/>
      <c r="S410" s="472">
        <f t="shared" si="82"/>
        <v>0</v>
      </c>
      <c r="T410" s="478"/>
      <c r="U410" s="478"/>
      <c r="V410" s="478"/>
    </row>
    <row r="411" spans="1:22" s="468" customFormat="1" ht="30">
      <c r="A411" s="613"/>
      <c r="B411" s="613"/>
      <c r="C411" s="630">
        <v>4410</v>
      </c>
      <c r="D411" s="477" t="s">
        <v>430</v>
      </c>
      <c r="E411" s="529">
        <f t="shared" si="78"/>
        <v>3200</v>
      </c>
      <c r="F411" s="472">
        <f t="shared" si="79"/>
        <v>3200</v>
      </c>
      <c r="G411" s="472">
        <f t="shared" si="80"/>
        <v>3200</v>
      </c>
      <c r="H411" s="478">
        <v>3200</v>
      </c>
      <c r="I411" s="472">
        <f t="shared" si="81"/>
        <v>0</v>
      </c>
      <c r="J411" s="478"/>
      <c r="K411" s="478"/>
      <c r="L411" s="478"/>
      <c r="M411" s="478"/>
      <c r="N411" s="478"/>
      <c r="O411" s="478"/>
      <c r="P411" s="478"/>
      <c r="Q411" s="478"/>
      <c r="R411" s="478"/>
      <c r="S411" s="472">
        <f t="shared" si="82"/>
        <v>0</v>
      </c>
      <c r="T411" s="478"/>
      <c r="U411" s="478"/>
      <c r="V411" s="478"/>
    </row>
    <row r="412" spans="1:22" s="468" customFormat="1" ht="15.75">
      <c r="A412" s="613"/>
      <c r="B412" s="613"/>
      <c r="C412" s="630">
        <v>4430</v>
      </c>
      <c r="D412" s="477" t="s">
        <v>431</v>
      </c>
      <c r="E412" s="529">
        <f t="shared" si="78"/>
        <v>2600</v>
      </c>
      <c r="F412" s="472">
        <f t="shared" si="79"/>
        <v>2600</v>
      </c>
      <c r="G412" s="472">
        <f t="shared" si="80"/>
        <v>2600</v>
      </c>
      <c r="H412" s="478">
        <v>2600</v>
      </c>
      <c r="I412" s="472">
        <f t="shared" si="81"/>
        <v>0</v>
      </c>
      <c r="J412" s="478"/>
      <c r="K412" s="478"/>
      <c r="L412" s="478"/>
      <c r="M412" s="478"/>
      <c r="N412" s="478"/>
      <c r="O412" s="478"/>
      <c r="P412" s="478"/>
      <c r="Q412" s="478"/>
      <c r="R412" s="478"/>
      <c r="S412" s="472">
        <f t="shared" si="82"/>
        <v>0</v>
      </c>
      <c r="T412" s="478"/>
      <c r="U412" s="478"/>
      <c r="V412" s="478"/>
    </row>
    <row r="413" spans="1:22" s="468" customFormat="1" ht="45">
      <c r="A413" s="613"/>
      <c r="B413" s="613"/>
      <c r="C413" s="630">
        <v>4440</v>
      </c>
      <c r="D413" s="477" t="s">
        <v>432</v>
      </c>
      <c r="E413" s="529">
        <f t="shared" si="78"/>
        <v>42600</v>
      </c>
      <c r="F413" s="472">
        <f t="shared" si="79"/>
        <v>42600</v>
      </c>
      <c r="G413" s="472">
        <f t="shared" si="80"/>
        <v>42600</v>
      </c>
      <c r="H413" s="478">
        <v>42600</v>
      </c>
      <c r="I413" s="472">
        <f t="shared" si="81"/>
        <v>0</v>
      </c>
      <c r="J413" s="478"/>
      <c r="K413" s="478"/>
      <c r="L413" s="478"/>
      <c r="M413" s="478"/>
      <c r="N413" s="478"/>
      <c r="O413" s="478"/>
      <c r="P413" s="478"/>
      <c r="Q413" s="478"/>
      <c r="R413" s="478"/>
      <c r="S413" s="472">
        <f t="shared" si="82"/>
        <v>0</v>
      </c>
      <c r="T413" s="478"/>
      <c r="U413" s="478"/>
      <c r="V413" s="478"/>
    </row>
    <row r="414" spans="1:22" s="468" customFormat="1" ht="30">
      <c r="A414" s="613"/>
      <c r="B414" s="613"/>
      <c r="C414" s="630">
        <v>4480</v>
      </c>
      <c r="D414" s="477" t="s">
        <v>433</v>
      </c>
      <c r="E414" s="529">
        <f t="shared" si="78"/>
        <v>10000</v>
      </c>
      <c r="F414" s="472">
        <f t="shared" si="79"/>
        <v>10000</v>
      </c>
      <c r="G414" s="472">
        <f t="shared" si="80"/>
        <v>10000</v>
      </c>
      <c r="H414" s="478">
        <v>10000</v>
      </c>
      <c r="I414" s="472">
        <f t="shared" si="81"/>
        <v>0</v>
      </c>
      <c r="J414" s="478"/>
      <c r="K414" s="478"/>
      <c r="L414" s="478"/>
      <c r="M414" s="478"/>
      <c r="N414" s="478"/>
      <c r="O414" s="478"/>
      <c r="P414" s="478"/>
      <c r="Q414" s="478"/>
      <c r="R414" s="478"/>
      <c r="S414" s="472">
        <f t="shared" si="82"/>
        <v>0</v>
      </c>
      <c r="T414" s="478"/>
      <c r="U414" s="478"/>
      <c r="V414" s="478"/>
    </row>
    <row r="415" spans="1:22" s="468" customFormat="1" ht="30">
      <c r="A415" s="613"/>
      <c r="B415" s="613"/>
      <c r="C415" s="630">
        <v>4520</v>
      </c>
      <c r="D415" s="477" t="s">
        <v>589</v>
      </c>
      <c r="E415" s="529">
        <f t="shared" si="78"/>
        <v>7617</v>
      </c>
      <c r="F415" s="472">
        <f t="shared" si="79"/>
        <v>7617</v>
      </c>
      <c r="G415" s="472">
        <f t="shared" si="80"/>
        <v>7617</v>
      </c>
      <c r="H415" s="478">
        <v>7617</v>
      </c>
      <c r="I415" s="472">
        <f t="shared" si="81"/>
        <v>0</v>
      </c>
      <c r="J415" s="478"/>
      <c r="K415" s="478"/>
      <c r="L415" s="478"/>
      <c r="M415" s="478"/>
      <c r="N415" s="478"/>
      <c r="O415" s="478"/>
      <c r="P415" s="478"/>
      <c r="Q415" s="478"/>
      <c r="R415" s="478"/>
      <c r="S415" s="472">
        <f t="shared" si="82"/>
        <v>0</v>
      </c>
      <c r="T415" s="478"/>
      <c r="U415" s="478"/>
      <c r="V415" s="478"/>
    </row>
    <row r="416" spans="1:22" s="468" customFormat="1" ht="60">
      <c r="A416" s="613"/>
      <c r="B416" s="613"/>
      <c r="C416" s="630">
        <v>4740</v>
      </c>
      <c r="D416" s="477" t="s">
        <v>521</v>
      </c>
      <c r="E416" s="529">
        <f t="shared" si="78"/>
        <v>1300</v>
      </c>
      <c r="F416" s="472">
        <f t="shared" si="79"/>
        <v>1300</v>
      </c>
      <c r="G416" s="472">
        <f t="shared" si="80"/>
        <v>1300</v>
      </c>
      <c r="H416" s="478">
        <v>1300</v>
      </c>
      <c r="I416" s="472">
        <f t="shared" si="81"/>
        <v>0</v>
      </c>
      <c r="J416" s="478"/>
      <c r="K416" s="478"/>
      <c r="L416" s="478"/>
      <c r="M416" s="478"/>
      <c r="N416" s="478"/>
      <c r="O416" s="478"/>
      <c r="P416" s="478"/>
      <c r="Q416" s="478"/>
      <c r="R416" s="478"/>
      <c r="S416" s="472">
        <f t="shared" si="82"/>
        <v>0</v>
      </c>
      <c r="T416" s="478"/>
      <c r="U416" s="478"/>
      <c r="V416" s="478"/>
    </row>
    <row r="417" spans="1:22" s="468" customFormat="1" ht="45">
      <c r="A417" s="613"/>
      <c r="B417" s="613"/>
      <c r="C417" s="630">
        <v>4750</v>
      </c>
      <c r="D417" s="477" t="s">
        <v>561</v>
      </c>
      <c r="E417" s="529">
        <f t="shared" si="78"/>
        <v>5100</v>
      </c>
      <c r="F417" s="472">
        <f t="shared" si="79"/>
        <v>5100</v>
      </c>
      <c r="G417" s="472">
        <f t="shared" si="80"/>
        <v>5100</v>
      </c>
      <c r="H417" s="478">
        <f>1100+4000</f>
        <v>5100</v>
      </c>
      <c r="I417" s="472">
        <f t="shared" si="81"/>
        <v>0</v>
      </c>
      <c r="J417" s="478"/>
      <c r="K417" s="478"/>
      <c r="L417" s="478"/>
      <c r="M417" s="478"/>
      <c r="N417" s="478"/>
      <c r="O417" s="478"/>
      <c r="P417" s="478"/>
      <c r="Q417" s="478"/>
      <c r="R417" s="478"/>
      <c r="S417" s="472">
        <f t="shared" si="82"/>
        <v>0</v>
      </c>
      <c r="T417" s="478"/>
      <c r="U417" s="478"/>
      <c r="V417" s="478"/>
    </row>
    <row r="418" spans="1:22" s="468" customFormat="1" ht="30">
      <c r="A418" s="621"/>
      <c r="B418" s="611"/>
      <c r="C418" s="630">
        <v>6050</v>
      </c>
      <c r="D418" s="477" t="s">
        <v>39</v>
      </c>
      <c r="E418" s="529">
        <f t="shared" si="78"/>
        <v>0</v>
      </c>
      <c r="F418" s="472">
        <f t="shared" si="79"/>
        <v>0</v>
      </c>
      <c r="G418" s="472">
        <f t="shared" si="80"/>
        <v>0</v>
      </c>
      <c r="H418" s="478"/>
      <c r="I418" s="472">
        <f t="shared" si="81"/>
        <v>0</v>
      </c>
      <c r="J418" s="478"/>
      <c r="K418" s="478"/>
      <c r="L418" s="478"/>
      <c r="M418" s="478"/>
      <c r="N418" s="478"/>
      <c r="O418" s="478"/>
      <c r="P418" s="478"/>
      <c r="Q418" s="478"/>
      <c r="R418" s="478"/>
      <c r="S418" s="472">
        <f t="shared" si="82"/>
        <v>0</v>
      </c>
      <c r="T418" s="478"/>
      <c r="U418" s="478"/>
      <c r="V418" s="478"/>
    </row>
    <row r="419" spans="1:22" s="476" customFormat="1" ht="31.5">
      <c r="A419" s="620"/>
      <c r="B419" s="612">
        <v>85202</v>
      </c>
      <c r="C419" s="629"/>
      <c r="D419" s="271" t="s">
        <v>590</v>
      </c>
      <c r="E419" s="529">
        <f t="shared" si="78"/>
        <v>12389420</v>
      </c>
      <c r="F419" s="472">
        <f t="shared" si="79"/>
        <v>9848206</v>
      </c>
      <c r="G419" s="472">
        <f t="shared" si="80"/>
        <v>9826106</v>
      </c>
      <c r="H419" s="475">
        <f>SUM(H420:H448)</f>
        <v>3361420</v>
      </c>
      <c r="I419" s="472">
        <f t="shared" si="81"/>
        <v>6464686</v>
      </c>
      <c r="J419" s="475">
        <f aca="true" t="shared" si="83" ref="J419:R419">SUM(J420:J448)</f>
        <v>4993657</v>
      </c>
      <c r="K419" s="475">
        <f t="shared" si="83"/>
        <v>412049</v>
      </c>
      <c r="L419" s="475">
        <f t="shared" si="83"/>
        <v>981980</v>
      </c>
      <c r="M419" s="475">
        <f t="shared" si="83"/>
        <v>77000</v>
      </c>
      <c r="N419" s="475">
        <f t="shared" si="83"/>
        <v>22100</v>
      </c>
      <c r="O419" s="475">
        <f t="shared" si="83"/>
        <v>0</v>
      </c>
      <c r="P419" s="475">
        <f>SUM(P420:P448)</f>
        <v>0</v>
      </c>
      <c r="Q419" s="475">
        <f t="shared" si="83"/>
        <v>0</v>
      </c>
      <c r="R419" s="475">
        <f t="shared" si="83"/>
        <v>0</v>
      </c>
      <c r="S419" s="472">
        <f t="shared" si="82"/>
        <v>2541214</v>
      </c>
      <c r="T419" s="475">
        <f>SUM(T420:T448)</f>
        <v>2541214</v>
      </c>
      <c r="U419" s="475">
        <f>SUM(U420:U448)</f>
        <v>2541214</v>
      </c>
      <c r="V419" s="475">
        <f>SUM(V420:V448)</f>
        <v>0</v>
      </c>
    </row>
    <row r="420" spans="1:22" s="468" customFormat="1" ht="47.25" customHeight="1">
      <c r="A420" s="621"/>
      <c r="B420" s="613"/>
      <c r="C420" s="630">
        <v>3020</v>
      </c>
      <c r="D420" s="477" t="s">
        <v>591</v>
      </c>
      <c r="E420" s="529">
        <f t="shared" si="78"/>
        <v>22100</v>
      </c>
      <c r="F420" s="472">
        <f t="shared" si="79"/>
        <v>22100</v>
      </c>
      <c r="G420" s="472">
        <f t="shared" si="80"/>
        <v>0</v>
      </c>
      <c r="H420" s="478"/>
      <c r="I420" s="472">
        <f t="shared" si="81"/>
        <v>0</v>
      </c>
      <c r="J420" s="478"/>
      <c r="K420" s="478"/>
      <c r="L420" s="478"/>
      <c r="M420" s="478"/>
      <c r="N420" s="478">
        <v>22100</v>
      </c>
      <c r="O420" s="478"/>
      <c r="P420" s="478"/>
      <c r="Q420" s="478"/>
      <c r="R420" s="478"/>
      <c r="S420" s="472">
        <f t="shared" si="82"/>
        <v>0</v>
      </c>
      <c r="T420" s="478"/>
      <c r="U420" s="478"/>
      <c r="V420" s="478"/>
    </row>
    <row r="421" spans="1:22" s="468" customFormat="1" ht="42.75" customHeight="1">
      <c r="A421" s="621"/>
      <c r="B421" s="613"/>
      <c r="C421" s="630">
        <v>4010</v>
      </c>
      <c r="D421" s="477" t="s">
        <v>417</v>
      </c>
      <c r="E421" s="529">
        <f t="shared" si="78"/>
        <v>4993657</v>
      </c>
      <c r="F421" s="472">
        <f t="shared" si="79"/>
        <v>4993657</v>
      </c>
      <c r="G421" s="472">
        <f t="shared" si="80"/>
        <v>4993657</v>
      </c>
      <c r="H421" s="478"/>
      <c r="I421" s="472">
        <f t="shared" si="81"/>
        <v>4993657</v>
      </c>
      <c r="J421" s="478">
        <v>4993657</v>
      </c>
      <c r="K421" s="478"/>
      <c r="L421" s="478"/>
      <c r="M421" s="478"/>
      <c r="N421" s="478"/>
      <c r="O421" s="478"/>
      <c r="P421" s="478"/>
      <c r="Q421" s="478"/>
      <c r="R421" s="478"/>
      <c r="S421" s="472">
        <f t="shared" si="82"/>
        <v>0</v>
      </c>
      <c r="T421" s="478"/>
      <c r="U421" s="478"/>
      <c r="V421" s="478"/>
    </row>
    <row r="422" spans="1:22" s="468" customFormat="1" ht="30">
      <c r="A422" s="621"/>
      <c r="B422" s="613"/>
      <c r="C422" s="630">
        <v>4040</v>
      </c>
      <c r="D422" s="477" t="s">
        <v>418</v>
      </c>
      <c r="E422" s="529">
        <f t="shared" si="78"/>
        <v>412049</v>
      </c>
      <c r="F422" s="472">
        <f t="shared" si="79"/>
        <v>412049</v>
      </c>
      <c r="G422" s="472">
        <f t="shared" si="80"/>
        <v>412049</v>
      </c>
      <c r="H422" s="478"/>
      <c r="I422" s="472">
        <f t="shared" si="81"/>
        <v>412049</v>
      </c>
      <c r="J422" s="478"/>
      <c r="K422" s="478">
        <v>412049</v>
      </c>
      <c r="L422" s="478"/>
      <c r="M422" s="478"/>
      <c r="N422" s="478"/>
      <c r="O422" s="478"/>
      <c r="P422" s="478"/>
      <c r="Q422" s="478"/>
      <c r="R422" s="478"/>
      <c r="S422" s="472">
        <f t="shared" si="82"/>
        <v>0</v>
      </c>
      <c r="T422" s="478"/>
      <c r="U422" s="478"/>
      <c r="V422" s="478"/>
    </row>
    <row r="423" spans="1:22" s="468" customFormat="1" ht="45">
      <c r="A423" s="621"/>
      <c r="B423" s="613"/>
      <c r="C423" s="630">
        <v>4110</v>
      </c>
      <c r="D423" s="477" t="s">
        <v>419</v>
      </c>
      <c r="E423" s="529">
        <f t="shared" si="78"/>
        <v>848744</v>
      </c>
      <c r="F423" s="472">
        <f t="shared" si="79"/>
        <v>848744</v>
      </c>
      <c r="G423" s="472">
        <f t="shared" si="80"/>
        <v>848744</v>
      </c>
      <c r="H423" s="478"/>
      <c r="I423" s="472">
        <f t="shared" si="81"/>
        <v>848744</v>
      </c>
      <c r="J423" s="478"/>
      <c r="K423" s="478"/>
      <c r="L423" s="478">
        <v>848744</v>
      </c>
      <c r="M423" s="478"/>
      <c r="N423" s="478"/>
      <c r="O423" s="478"/>
      <c r="P423" s="478"/>
      <c r="Q423" s="478"/>
      <c r="R423" s="478"/>
      <c r="S423" s="472">
        <f t="shared" si="82"/>
        <v>0</v>
      </c>
      <c r="T423" s="478"/>
      <c r="U423" s="478"/>
      <c r="V423" s="478"/>
    </row>
    <row r="424" spans="1:22" s="468" customFormat="1" ht="30">
      <c r="A424" s="621"/>
      <c r="B424" s="613"/>
      <c r="C424" s="630">
        <v>4120</v>
      </c>
      <c r="D424" s="477" t="s">
        <v>420</v>
      </c>
      <c r="E424" s="529">
        <f t="shared" si="78"/>
        <v>133236</v>
      </c>
      <c r="F424" s="472">
        <f t="shared" si="79"/>
        <v>133236</v>
      </c>
      <c r="G424" s="472">
        <f t="shared" si="80"/>
        <v>133236</v>
      </c>
      <c r="H424" s="478"/>
      <c r="I424" s="472">
        <f t="shared" si="81"/>
        <v>133236</v>
      </c>
      <c r="J424" s="478"/>
      <c r="K424" s="478"/>
      <c r="L424" s="478">
        <v>133236</v>
      </c>
      <c r="M424" s="478"/>
      <c r="N424" s="478"/>
      <c r="O424" s="478"/>
      <c r="P424" s="478"/>
      <c r="Q424" s="478"/>
      <c r="R424" s="478"/>
      <c r="S424" s="472">
        <f t="shared" si="82"/>
        <v>0</v>
      </c>
      <c r="T424" s="478"/>
      <c r="U424" s="478"/>
      <c r="V424" s="478"/>
    </row>
    <row r="425" spans="1:22" s="468" customFormat="1" ht="15.75" customHeight="1" hidden="1">
      <c r="A425" s="621"/>
      <c r="B425" s="613"/>
      <c r="C425" s="630">
        <v>4140</v>
      </c>
      <c r="D425" s="477" t="s">
        <v>22</v>
      </c>
      <c r="E425" s="529">
        <f t="shared" si="78"/>
        <v>0</v>
      </c>
      <c r="F425" s="472">
        <f t="shared" si="79"/>
        <v>0</v>
      </c>
      <c r="G425" s="472">
        <f t="shared" si="80"/>
        <v>0</v>
      </c>
      <c r="H425" s="478"/>
      <c r="I425" s="472">
        <f t="shared" si="81"/>
        <v>0</v>
      </c>
      <c r="J425" s="478"/>
      <c r="K425" s="478"/>
      <c r="L425" s="478"/>
      <c r="M425" s="478"/>
      <c r="N425" s="478"/>
      <c r="O425" s="478"/>
      <c r="P425" s="478"/>
      <c r="Q425" s="478"/>
      <c r="R425" s="478"/>
      <c r="S425" s="472">
        <f t="shared" si="82"/>
        <v>0</v>
      </c>
      <c r="T425" s="478"/>
      <c r="U425" s="478"/>
      <c r="V425" s="478"/>
    </row>
    <row r="426" spans="1:22" s="468" customFormat="1" ht="30">
      <c r="A426" s="621"/>
      <c r="B426" s="613"/>
      <c r="C426" s="630">
        <v>4170</v>
      </c>
      <c r="D426" s="477" t="s">
        <v>592</v>
      </c>
      <c r="E426" s="529">
        <f t="shared" si="78"/>
        <v>77000</v>
      </c>
      <c r="F426" s="472">
        <f t="shared" si="79"/>
        <v>77000</v>
      </c>
      <c r="G426" s="472">
        <f t="shared" si="80"/>
        <v>77000</v>
      </c>
      <c r="H426" s="478"/>
      <c r="I426" s="472">
        <f t="shared" si="81"/>
        <v>77000</v>
      </c>
      <c r="J426" s="478"/>
      <c r="K426" s="478"/>
      <c r="L426" s="478"/>
      <c r="M426" s="478">
        <v>77000</v>
      </c>
      <c r="N426" s="478"/>
      <c r="O426" s="478"/>
      <c r="P426" s="478"/>
      <c r="Q426" s="478"/>
      <c r="R426" s="478"/>
      <c r="S426" s="472">
        <f t="shared" si="82"/>
        <v>0</v>
      </c>
      <c r="T426" s="478"/>
      <c r="U426" s="478"/>
      <c r="V426" s="478"/>
    </row>
    <row r="427" spans="1:22" s="468" customFormat="1" ht="50.25" customHeight="1">
      <c r="A427" s="621"/>
      <c r="B427" s="613"/>
      <c r="C427" s="630">
        <v>4210</v>
      </c>
      <c r="D427" s="477" t="s">
        <v>422</v>
      </c>
      <c r="E427" s="529">
        <f t="shared" si="78"/>
        <v>1038500</v>
      </c>
      <c r="F427" s="472">
        <f t="shared" si="79"/>
        <v>1038500</v>
      </c>
      <c r="G427" s="472">
        <f t="shared" si="80"/>
        <v>1038500</v>
      </c>
      <c r="H427" s="478">
        <v>1038500</v>
      </c>
      <c r="I427" s="472">
        <f t="shared" si="81"/>
        <v>0</v>
      </c>
      <c r="J427" s="478"/>
      <c r="K427" s="478"/>
      <c r="L427" s="478"/>
      <c r="M427" s="478"/>
      <c r="N427" s="478"/>
      <c r="O427" s="478"/>
      <c r="P427" s="478"/>
      <c r="Q427" s="478"/>
      <c r="R427" s="478"/>
      <c r="S427" s="472">
        <f t="shared" si="82"/>
        <v>0</v>
      </c>
      <c r="T427" s="478"/>
      <c r="U427" s="478"/>
      <c r="V427" s="478"/>
    </row>
    <row r="428" spans="1:22" s="468" customFormat="1" ht="30.75" customHeight="1">
      <c r="A428" s="621"/>
      <c r="B428" s="613"/>
      <c r="C428" s="630">
        <v>4220</v>
      </c>
      <c r="D428" s="477" t="s">
        <v>588</v>
      </c>
      <c r="E428" s="529">
        <f t="shared" si="78"/>
        <v>719350</v>
      </c>
      <c r="F428" s="472">
        <f t="shared" si="79"/>
        <v>719350</v>
      </c>
      <c r="G428" s="472">
        <f t="shared" si="80"/>
        <v>719350</v>
      </c>
      <c r="H428" s="478">
        <v>719350</v>
      </c>
      <c r="I428" s="472">
        <f t="shared" si="81"/>
        <v>0</v>
      </c>
      <c r="J428" s="478"/>
      <c r="K428" s="478"/>
      <c r="L428" s="478"/>
      <c r="M428" s="478"/>
      <c r="N428" s="478"/>
      <c r="O428" s="478"/>
      <c r="P428" s="478"/>
      <c r="Q428" s="478"/>
      <c r="R428" s="478"/>
      <c r="S428" s="472">
        <f t="shared" si="82"/>
        <v>0</v>
      </c>
      <c r="T428" s="478"/>
      <c r="U428" s="478"/>
      <c r="V428" s="478"/>
    </row>
    <row r="429" spans="1:22" s="468" customFormat="1" ht="45">
      <c r="A429" s="621"/>
      <c r="B429" s="613"/>
      <c r="C429" s="630">
        <v>4230</v>
      </c>
      <c r="D429" s="477" t="s">
        <v>23</v>
      </c>
      <c r="E429" s="529">
        <f t="shared" si="78"/>
        <v>210680</v>
      </c>
      <c r="F429" s="472">
        <f t="shared" si="79"/>
        <v>210680</v>
      </c>
      <c r="G429" s="472">
        <f t="shared" si="80"/>
        <v>210680</v>
      </c>
      <c r="H429" s="478">
        <v>210680</v>
      </c>
      <c r="I429" s="472">
        <f t="shared" si="81"/>
        <v>0</v>
      </c>
      <c r="J429" s="478"/>
      <c r="K429" s="478"/>
      <c r="L429" s="478"/>
      <c r="M429" s="478"/>
      <c r="N429" s="478"/>
      <c r="O429" s="478"/>
      <c r="P429" s="478"/>
      <c r="Q429" s="478"/>
      <c r="R429" s="478"/>
      <c r="S429" s="472">
        <f t="shared" si="82"/>
        <v>0</v>
      </c>
      <c r="T429" s="478"/>
      <c r="U429" s="478"/>
      <c r="V429" s="478"/>
    </row>
    <row r="430" spans="1:22" s="468" customFormat="1" ht="15.75">
      <c r="A430" s="621"/>
      <c r="B430" s="613"/>
      <c r="C430" s="630">
        <v>4260</v>
      </c>
      <c r="D430" s="477" t="s">
        <v>423</v>
      </c>
      <c r="E430" s="529">
        <f t="shared" si="78"/>
        <v>292930</v>
      </c>
      <c r="F430" s="472">
        <f t="shared" si="79"/>
        <v>292930</v>
      </c>
      <c r="G430" s="472">
        <f t="shared" si="80"/>
        <v>292930</v>
      </c>
      <c r="H430" s="478">
        <v>292930</v>
      </c>
      <c r="I430" s="472">
        <f t="shared" si="81"/>
        <v>0</v>
      </c>
      <c r="J430" s="478"/>
      <c r="K430" s="478"/>
      <c r="L430" s="478"/>
      <c r="M430" s="478"/>
      <c r="N430" s="478"/>
      <c r="O430" s="478"/>
      <c r="P430" s="478"/>
      <c r="Q430" s="478"/>
      <c r="R430" s="478"/>
      <c r="S430" s="472">
        <f t="shared" si="82"/>
        <v>0</v>
      </c>
      <c r="T430" s="478"/>
      <c r="U430" s="478"/>
      <c r="V430" s="478"/>
    </row>
    <row r="431" spans="1:22" s="468" customFormat="1" ht="30">
      <c r="A431" s="621"/>
      <c r="B431" s="613"/>
      <c r="C431" s="630">
        <v>4270</v>
      </c>
      <c r="D431" s="477" t="s">
        <v>424</v>
      </c>
      <c r="E431" s="529">
        <f t="shared" si="78"/>
        <v>89100</v>
      </c>
      <c r="F431" s="472">
        <f t="shared" si="79"/>
        <v>89100</v>
      </c>
      <c r="G431" s="472">
        <f t="shared" si="80"/>
        <v>89100</v>
      </c>
      <c r="H431" s="478">
        <v>89100</v>
      </c>
      <c r="I431" s="472">
        <f t="shared" si="81"/>
        <v>0</v>
      </c>
      <c r="J431" s="478"/>
      <c r="K431" s="478"/>
      <c r="L431" s="478"/>
      <c r="M431" s="478"/>
      <c r="N431" s="478"/>
      <c r="O431" s="478"/>
      <c r="P431" s="478"/>
      <c r="Q431" s="478"/>
      <c r="R431" s="478"/>
      <c r="S431" s="472">
        <f t="shared" si="82"/>
        <v>0</v>
      </c>
      <c r="T431" s="478"/>
      <c r="U431" s="478"/>
      <c r="V431" s="478"/>
    </row>
    <row r="432" spans="1:22" s="468" customFormat="1" ht="53.25" customHeight="1">
      <c r="A432" s="621"/>
      <c r="B432" s="613"/>
      <c r="C432" s="630">
        <v>4280</v>
      </c>
      <c r="D432" s="477" t="s">
        <v>425</v>
      </c>
      <c r="E432" s="529">
        <f t="shared" si="78"/>
        <v>17900</v>
      </c>
      <c r="F432" s="472">
        <f t="shared" si="79"/>
        <v>17900</v>
      </c>
      <c r="G432" s="472">
        <f t="shared" si="80"/>
        <v>17900</v>
      </c>
      <c r="H432" s="478">
        <v>17900</v>
      </c>
      <c r="I432" s="472">
        <f t="shared" si="81"/>
        <v>0</v>
      </c>
      <c r="J432" s="478"/>
      <c r="K432" s="478"/>
      <c r="L432" s="478"/>
      <c r="M432" s="478"/>
      <c r="N432" s="478"/>
      <c r="O432" s="478"/>
      <c r="P432" s="478"/>
      <c r="Q432" s="478"/>
      <c r="R432" s="478"/>
      <c r="S432" s="472">
        <f t="shared" si="82"/>
        <v>0</v>
      </c>
      <c r="T432" s="478"/>
      <c r="U432" s="478"/>
      <c r="V432" s="478"/>
    </row>
    <row r="433" spans="1:22" s="468" customFormat="1" ht="30">
      <c r="A433" s="621"/>
      <c r="B433" s="613"/>
      <c r="C433" s="630">
        <v>4300</v>
      </c>
      <c r="D433" s="477" t="s">
        <v>405</v>
      </c>
      <c r="E433" s="529">
        <f t="shared" si="78"/>
        <v>560097</v>
      </c>
      <c r="F433" s="472">
        <f t="shared" si="79"/>
        <v>560097</v>
      </c>
      <c r="G433" s="472">
        <f t="shared" si="80"/>
        <v>560097</v>
      </c>
      <c r="H433" s="478">
        <v>560097</v>
      </c>
      <c r="I433" s="472">
        <f t="shared" si="81"/>
        <v>0</v>
      </c>
      <c r="J433" s="478"/>
      <c r="K433" s="478"/>
      <c r="L433" s="478"/>
      <c r="M433" s="478"/>
      <c r="N433" s="478"/>
      <c r="O433" s="478"/>
      <c r="P433" s="478"/>
      <c r="Q433" s="478"/>
      <c r="R433" s="478"/>
      <c r="S433" s="472">
        <f t="shared" si="82"/>
        <v>0</v>
      </c>
      <c r="T433" s="478"/>
      <c r="U433" s="478"/>
      <c r="V433" s="478"/>
    </row>
    <row r="434" spans="1:22" s="468" customFormat="1" ht="30">
      <c r="A434" s="621"/>
      <c r="B434" s="613"/>
      <c r="C434" s="630">
        <v>4350</v>
      </c>
      <c r="D434" s="477" t="s">
        <v>426</v>
      </c>
      <c r="E434" s="529">
        <f t="shared" si="78"/>
        <v>6550</v>
      </c>
      <c r="F434" s="472">
        <f t="shared" si="79"/>
        <v>6550</v>
      </c>
      <c r="G434" s="472">
        <f t="shared" si="80"/>
        <v>6550</v>
      </c>
      <c r="H434" s="478">
        <v>6550</v>
      </c>
      <c r="I434" s="472">
        <f t="shared" si="81"/>
        <v>0</v>
      </c>
      <c r="J434" s="478"/>
      <c r="K434" s="478"/>
      <c r="L434" s="478"/>
      <c r="M434" s="478"/>
      <c r="N434" s="478"/>
      <c r="O434" s="478"/>
      <c r="P434" s="478"/>
      <c r="Q434" s="478"/>
      <c r="R434" s="478"/>
      <c r="S434" s="472">
        <f t="shared" si="82"/>
        <v>0</v>
      </c>
      <c r="T434" s="478"/>
      <c r="U434" s="478"/>
      <c r="V434" s="478"/>
    </row>
    <row r="435" spans="1:22" s="468" customFormat="1" ht="60">
      <c r="A435" s="621"/>
      <c r="B435" s="613"/>
      <c r="C435" s="630">
        <v>4360</v>
      </c>
      <c r="D435" s="477" t="s">
        <v>567</v>
      </c>
      <c r="E435" s="529">
        <f t="shared" si="78"/>
        <v>12500</v>
      </c>
      <c r="F435" s="472">
        <f t="shared" si="79"/>
        <v>12500</v>
      </c>
      <c r="G435" s="472">
        <f t="shared" si="80"/>
        <v>12500</v>
      </c>
      <c r="H435" s="478">
        <v>12500</v>
      </c>
      <c r="I435" s="472">
        <f t="shared" si="81"/>
        <v>0</v>
      </c>
      <c r="J435" s="478"/>
      <c r="K435" s="478"/>
      <c r="L435" s="478"/>
      <c r="M435" s="478"/>
      <c r="N435" s="478"/>
      <c r="O435" s="478"/>
      <c r="P435" s="478"/>
      <c r="Q435" s="478"/>
      <c r="R435" s="478"/>
      <c r="S435" s="472">
        <f t="shared" si="82"/>
        <v>0</v>
      </c>
      <c r="T435" s="478"/>
      <c r="U435" s="478"/>
      <c r="V435" s="478"/>
    </row>
    <row r="436" spans="1:22" s="468" customFormat="1" ht="60">
      <c r="A436" s="621"/>
      <c r="B436" s="613"/>
      <c r="C436" s="630">
        <v>4370</v>
      </c>
      <c r="D436" s="477" t="s">
        <v>560</v>
      </c>
      <c r="E436" s="529">
        <f t="shared" si="78"/>
        <v>23300</v>
      </c>
      <c r="F436" s="472">
        <f t="shared" si="79"/>
        <v>23300</v>
      </c>
      <c r="G436" s="472">
        <f t="shared" si="80"/>
        <v>23300</v>
      </c>
      <c r="H436" s="478">
        <v>23300</v>
      </c>
      <c r="I436" s="472">
        <f t="shared" si="81"/>
        <v>0</v>
      </c>
      <c r="J436" s="478"/>
      <c r="K436" s="478"/>
      <c r="L436" s="478"/>
      <c r="M436" s="478"/>
      <c r="N436" s="478"/>
      <c r="O436" s="478"/>
      <c r="P436" s="478"/>
      <c r="Q436" s="478"/>
      <c r="R436" s="478"/>
      <c r="S436" s="472">
        <f t="shared" si="82"/>
        <v>0</v>
      </c>
      <c r="T436" s="478"/>
      <c r="U436" s="478"/>
      <c r="V436" s="478"/>
    </row>
    <row r="437" spans="1:22" s="468" customFormat="1" ht="30">
      <c r="A437" s="621"/>
      <c r="B437" s="613"/>
      <c r="C437" s="630">
        <v>4410</v>
      </c>
      <c r="D437" s="477" t="s">
        <v>430</v>
      </c>
      <c r="E437" s="529">
        <f t="shared" si="78"/>
        <v>10560</v>
      </c>
      <c r="F437" s="472">
        <f t="shared" si="79"/>
        <v>10560</v>
      </c>
      <c r="G437" s="472">
        <f t="shared" si="80"/>
        <v>10560</v>
      </c>
      <c r="H437" s="478">
        <v>10560</v>
      </c>
      <c r="I437" s="472">
        <f t="shared" si="81"/>
        <v>0</v>
      </c>
      <c r="J437" s="478"/>
      <c r="K437" s="478"/>
      <c r="L437" s="478"/>
      <c r="M437" s="478"/>
      <c r="N437" s="478"/>
      <c r="O437" s="478"/>
      <c r="P437" s="478"/>
      <c r="Q437" s="478"/>
      <c r="R437" s="478"/>
      <c r="S437" s="472">
        <f t="shared" si="82"/>
        <v>0</v>
      </c>
      <c r="T437" s="478"/>
      <c r="U437" s="478"/>
      <c r="V437" s="478"/>
    </row>
    <row r="438" spans="1:22" s="468" customFormat="1" ht="15.75">
      <c r="A438" s="621"/>
      <c r="B438" s="613"/>
      <c r="C438" s="630">
        <v>4430</v>
      </c>
      <c r="D438" s="477" t="s">
        <v>431</v>
      </c>
      <c r="E438" s="529">
        <f t="shared" si="78"/>
        <v>31100</v>
      </c>
      <c r="F438" s="472">
        <f t="shared" si="79"/>
        <v>31100</v>
      </c>
      <c r="G438" s="472">
        <f t="shared" si="80"/>
        <v>31100</v>
      </c>
      <c r="H438" s="478">
        <v>31100</v>
      </c>
      <c r="I438" s="472">
        <f t="shared" si="81"/>
        <v>0</v>
      </c>
      <c r="J438" s="478"/>
      <c r="K438" s="478"/>
      <c r="L438" s="478"/>
      <c r="M438" s="478"/>
      <c r="N438" s="478"/>
      <c r="O438" s="478"/>
      <c r="P438" s="478"/>
      <c r="Q438" s="478"/>
      <c r="R438" s="478"/>
      <c r="S438" s="472">
        <f t="shared" si="82"/>
        <v>0</v>
      </c>
      <c r="T438" s="478"/>
      <c r="U438" s="478"/>
      <c r="V438" s="478"/>
    </row>
    <row r="439" spans="1:22" s="468" customFormat="1" ht="45">
      <c r="A439" s="621"/>
      <c r="B439" s="613"/>
      <c r="C439" s="630">
        <v>4440</v>
      </c>
      <c r="D439" s="477" t="s">
        <v>432</v>
      </c>
      <c r="E439" s="529">
        <f t="shared" si="78"/>
        <v>215305</v>
      </c>
      <c r="F439" s="472">
        <f t="shared" si="79"/>
        <v>215305</v>
      </c>
      <c r="G439" s="472">
        <f t="shared" si="80"/>
        <v>215305</v>
      </c>
      <c r="H439" s="478">
        <v>215305</v>
      </c>
      <c r="I439" s="472">
        <f t="shared" si="81"/>
        <v>0</v>
      </c>
      <c r="J439" s="478"/>
      <c r="K439" s="478"/>
      <c r="L439" s="478"/>
      <c r="M439" s="478"/>
      <c r="N439" s="478"/>
      <c r="O439" s="478"/>
      <c r="P439" s="478"/>
      <c r="Q439" s="478"/>
      <c r="R439" s="478"/>
      <c r="S439" s="472">
        <f t="shared" si="82"/>
        <v>0</v>
      </c>
      <c r="T439" s="478"/>
      <c r="U439" s="478"/>
      <c r="V439" s="478"/>
    </row>
    <row r="440" spans="1:22" s="468" customFormat="1" ht="36" customHeight="1">
      <c r="A440" s="621"/>
      <c r="B440" s="613"/>
      <c r="C440" s="630">
        <v>4480</v>
      </c>
      <c r="D440" s="477" t="s">
        <v>433</v>
      </c>
      <c r="E440" s="529">
        <f t="shared" si="78"/>
        <v>46400</v>
      </c>
      <c r="F440" s="472">
        <f t="shared" si="79"/>
        <v>46400</v>
      </c>
      <c r="G440" s="472">
        <f t="shared" si="80"/>
        <v>46400</v>
      </c>
      <c r="H440" s="478">
        <v>46400</v>
      </c>
      <c r="I440" s="472">
        <f t="shared" si="81"/>
        <v>0</v>
      </c>
      <c r="J440" s="478"/>
      <c r="K440" s="478"/>
      <c r="L440" s="478"/>
      <c r="M440" s="478"/>
      <c r="N440" s="478"/>
      <c r="O440" s="478"/>
      <c r="P440" s="478"/>
      <c r="Q440" s="478"/>
      <c r="R440" s="478"/>
      <c r="S440" s="472">
        <f t="shared" si="82"/>
        <v>0</v>
      </c>
      <c r="T440" s="478"/>
      <c r="U440" s="478"/>
      <c r="V440" s="478"/>
    </row>
    <row r="441" spans="1:22" s="468" customFormat="1" ht="47.25" customHeight="1">
      <c r="A441" s="621"/>
      <c r="B441" s="613"/>
      <c r="C441" s="630">
        <v>4520</v>
      </c>
      <c r="D441" s="477" t="s">
        <v>593</v>
      </c>
      <c r="E441" s="529">
        <f t="shared" si="78"/>
        <v>48018</v>
      </c>
      <c r="F441" s="472">
        <f t="shared" si="79"/>
        <v>48018</v>
      </c>
      <c r="G441" s="472">
        <f t="shared" si="80"/>
        <v>48018</v>
      </c>
      <c r="H441" s="478">
        <v>48018</v>
      </c>
      <c r="I441" s="472">
        <f t="shared" si="81"/>
        <v>0</v>
      </c>
      <c r="J441" s="478"/>
      <c r="K441" s="478"/>
      <c r="L441" s="478"/>
      <c r="M441" s="478"/>
      <c r="N441" s="478"/>
      <c r="O441" s="478"/>
      <c r="P441" s="478"/>
      <c r="Q441" s="478"/>
      <c r="R441" s="478"/>
      <c r="S441" s="472">
        <f t="shared" si="82"/>
        <v>0</v>
      </c>
      <c r="T441" s="478"/>
      <c r="U441" s="478"/>
      <c r="V441" s="478"/>
    </row>
    <row r="442" spans="1:22" s="468" customFormat="1" ht="48" customHeight="1">
      <c r="A442" s="621"/>
      <c r="B442" s="613"/>
      <c r="C442" s="630">
        <v>4700</v>
      </c>
      <c r="D442" s="477" t="s">
        <v>708</v>
      </c>
      <c r="E442" s="529">
        <f t="shared" si="78"/>
        <v>12890</v>
      </c>
      <c r="F442" s="472">
        <f t="shared" si="79"/>
        <v>12890</v>
      </c>
      <c r="G442" s="472">
        <f t="shared" si="80"/>
        <v>12890</v>
      </c>
      <c r="H442" s="478">
        <v>12890</v>
      </c>
      <c r="I442" s="472">
        <f t="shared" si="81"/>
        <v>0</v>
      </c>
      <c r="J442" s="478"/>
      <c r="K442" s="478"/>
      <c r="L442" s="478"/>
      <c r="M442" s="478"/>
      <c r="N442" s="478"/>
      <c r="O442" s="478"/>
      <c r="P442" s="478"/>
      <c r="Q442" s="478"/>
      <c r="R442" s="478"/>
      <c r="S442" s="472">
        <f t="shared" si="82"/>
        <v>0</v>
      </c>
      <c r="T442" s="478"/>
      <c r="U442" s="478"/>
      <c r="V442" s="478"/>
    </row>
    <row r="443" spans="1:22" s="468" customFormat="1" ht="60">
      <c r="A443" s="621"/>
      <c r="B443" s="613"/>
      <c r="C443" s="630">
        <v>4740</v>
      </c>
      <c r="D443" s="477" t="s">
        <v>521</v>
      </c>
      <c r="E443" s="529">
        <f t="shared" si="78"/>
        <v>7170</v>
      </c>
      <c r="F443" s="472">
        <f t="shared" si="79"/>
        <v>7170</v>
      </c>
      <c r="G443" s="472">
        <f t="shared" si="80"/>
        <v>7170</v>
      </c>
      <c r="H443" s="478">
        <v>7170</v>
      </c>
      <c r="I443" s="472">
        <f t="shared" si="81"/>
        <v>0</v>
      </c>
      <c r="J443" s="478"/>
      <c r="K443" s="478"/>
      <c r="L443" s="478"/>
      <c r="M443" s="478"/>
      <c r="N443" s="478"/>
      <c r="O443" s="478"/>
      <c r="P443" s="478"/>
      <c r="Q443" s="478"/>
      <c r="R443" s="478"/>
      <c r="S443" s="472">
        <f t="shared" si="82"/>
        <v>0</v>
      </c>
      <c r="T443" s="478"/>
      <c r="U443" s="478"/>
      <c r="V443" s="478"/>
    </row>
    <row r="444" spans="1:22" s="468" customFormat="1" ht="45">
      <c r="A444" s="621"/>
      <c r="B444" s="613"/>
      <c r="C444" s="630">
        <v>4750</v>
      </c>
      <c r="D444" s="477" t="s">
        <v>561</v>
      </c>
      <c r="E444" s="529">
        <f t="shared" si="78"/>
        <v>8270</v>
      </c>
      <c r="F444" s="472">
        <f t="shared" si="79"/>
        <v>8270</v>
      </c>
      <c r="G444" s="472">
        <f t="shared" si="80"/>
        <v>8270</v>
      </c>
      <c r="H444" s="478">
        <v>8270</v>
      </c>
      <c r="I444" s="472">
        <f t="shared" si="81"/>
        <v>0</v>
      </c>
      <c r="J444" s="478"/>
      <c r="K444" s="478"/>
      <c r="L444" s="478"/>
      <c r="M444" s="478"/>
      <c r="N444" s="478"/>
      <c r="O444" s="478"/>
      <c r="P444" s="478"/>
      <c r="Q444" s="478"/>
      <c r="R444" s="478"/>
      <c r="S444" s="472">
        <f t="shared" si="82"/>
        <v>0</v>
      </c>
      <c r="T444" s="478"/>
      <c r="U444" s="478"/>
      <c r="V444" s="478"/>
    </row>
    <row r="445" spans="1:22" s="468" customFormat="1" ht="45">
      <c r="A445" s="621"/>
      <c r="B445" s="613"/>
      <c r="C445" s="630">
        <v>4780</v>
      </c>
      <c r="D445" s="477" t="s">
        <v>833</v>
      </c>
      <c r="E445" s="529">
        <f>F445+S445</f>
        <v>10800</v>
      </c>
      <c r="F445" s="472">
        <f>G445+N445+O445+P445+Q445+R445</f>
        <v>10800</v>
      </c>
      <c r="G445" s="472">
        <f>H445+I445</f>
        <v>10800</v>
      </c>
      <c r="H445" s="478">
        <v>10800</v>
      </c>
      <c r="I445" s="472">
        <f>SUM(J445:M445)</f>
        <v>0</v>
      </c>
      <c r="J445" s="478"/>
      <c r="K445" s="478"/>
      <c r="L445" s="478"/>
      <c r="M445" s="478"/>
      <c r="N445" s="478"/>
      <c r="O445" s="478"/>
      <c r="P445" s="478"/>
      <c r="Q445" s="478"/>
      <c r="R445" s="478"/>
      <c r="S445" s="472">
        <f>T445+V445</f>
        <v>0</v>
      </c>
      <c r="T445" s="478"/>
      <c r="U445" s="478"/>
      <c r="V445" s="478"/>
    </row>
    <row r="446" spans="1:22" s="468" customFormat="1" ht="41.25" customHeight="1">
      <c r="A446" s="611"/>
      <c r="B446" s="611"/>
      <c r="C446" s="630">
        <v>6050</v>
      </c>
      <c r="D446" s="480" t="s">
        <v>39</v>
      </c>
      <c r="E446" s="529">
        <f t="shared" si="78"/>
        <v>0</v>
      </c>
      <c r="F446" s="472">
        <f t="shared" si="79"/>
        <v>0</v>
      </c>
      <c r="G446" s="472">
        <f t="shared" si="80"/>
        <v>0</v>
      </c>
      <c r="H446" s="478"/>
      <c r="I446" s="472">
        <f t="shared" si="81"/>
        <v>0</v>
      </c>
      <c r="J446" s="478"/>
      <c r="K446" s="478"/>
      <c r="L446" s="478"/>
      <c r="M446" s="478"/>
      <c r="N446" s="478"/>
      <c r="O446" s="478"/>
      <c r="P446" s="478"/>
      <c r="Q446" s="478"/>
      <c r="R446" s="478"/>
      <c r="S446" s="472">
        <f t="shared" si="82"/>
        <v>0</v>
      </c>
      <c r="T446" s="478"/>
      <c r="U446" s="478"/>
      <c r="V446" s="478"/>
    </row>
    <row r="447" spans="1:22" s="468" customFormat="1" ht="33" customHeight="1">
      <c r="A447" s="611"/>
      <c r="B447" s="611"/>
      <c r="C447" s="630">
        <v>6057</v>
      </c>
      <c r="D447" s="480" t="s">
        <v>39</v>
      </c>
      <c r="E447" s="529">
        <f>F447+S447</f>
        <v>1996614</v>
      </c>
      <c r="F447" s="472">
        <f>G447+N447+O447+P447+Q447+R447</f>
        <v>0</v>
      </c>
      <c r="G447" s="472">
        <f>H447+I447</f>
        <v>0</v>
      </c>
      <c r="H447" s="478"/>
      <c r="I447" s="472">
        <f>SUM(J447:M447)</f>
        <v>0</v>
      </c>
      <c r="J447" s="478"/>
      <c r="K447" s="478"/>
      <c r="L447" s="478"/>
      <c r="M447" s="478"/>
      <c r="N447" s="478"/>
      <c r="O447" s="478"/>
      <c r="P447" s="478"/>
      <c r="Q447" s="478"/>
      <c r="R447" s="478"/>
      <c r="S447" s="472">
        <f>T447+V447</f>
        <v>1996614</v>
      </c>
      <c r="T447" s="478">
        <f>SUM(U447)</f>
        <v>1996614</v>
      </c>
      <c r="U447" s="478">
        <v>1996614</v>
      </c>
      <c r="V447" s="478"/>
    </row>
    <row r="448" spans="1:22" s="468" customFormat="1" ht="33" customHeight="1">
      <c r="A448" s="611"/>
      <c r="B448" s="611"/>
      <c r="C448" s="630">
        <v>6059</v>
      </c>
      <c r="D448" s="480" t="s">
        <v>39</v>
      </c>
      <c r="E448" s="529">
        <f t="shared" si="78"/>
        <v>544600</v>
      </c>
      <c r="F448" s="472">
        <f t="shared" si="79"/>
        <v>0</v>
      </c>
      <c r="G448" s="472">
        <f t="shared" si="80"/>
        <v>0</v>
      </c>
      <c r="H448" s="478"/>
      <c r="I448" s="472">
        <f t="shared" si="81"/>
        <v>0</v>
      </c>
      <c r="J448" s="478"/>
      <c r="K448" s="478"/>
      <c r="L448" s="478"/>
      <c r="M448" s="478"/>
      <c r="N448" s="478"/>
      <c r="O448" s="478"/>
      <c r="P448" s="478"/>
      <c r="Q448" s="478"/>
      <c r="R448" s="478"/>
      <c r="S448" s="472">
        <f t="shared" si="82"/>
        <v>544600</v>
      </c>
      <c r="T448" s="478">
        <f>SUM(U448)</f>
        <v>544600</v>
      </c>
      <c r="U448" s="478">
        <v>544600</v>
      </c>
      <c r="V448" s="478"/>
    </row>
    <row r="449" spans="1:22" s="476" customFormat="1" ht="15.75">
      <c r="A449" s="620"/>
      <c r="B449" s="612">
        <v>85203</v>
      </c>
      <c r="C449" s="629"/>
      <c r="D449" s="271" t="s">
        <v>594</v>
      </c>
      <c r="E449" s="529">
        <f t="shared" si="78"/>
        <v>754000</v>
      </c>
      <c r="F449" s="472">
        <f t="shared" si="79"/>
        <v>754000</v>
      </c>
      <c r="G449" s="472">
        <f t="shared" si="80"/>
        <v>751200</v>
      </c>
      <c r="H449" s="475">
        <f>SUM(H450:H473)</f>
        <v>202740</v>
      </c>
      <c r="I449" s="472">
        <f t="shared" si="81"/>
        <v>548460</v>
      </c>
      <c r="J449" s="475">
        <f aca="true" t="shared" si="84" ref="J449:R449">SUM(J450:J473)</f>
        <v>425780</v>
      </c>
      <c r="K449" s="475">
        <f t="shared" si="84"/>
        <v>34700</v>
      </c>
      <c r="L449" s="475">
        <f t="shared" si="84"/>
        <v>79280</v>
      </c>
      <c r="M449" s="475">
        <f t="shared" si="84"/>
        <v>8700</v>
      </c>
      <c r="N449" s="475">
        <f t="shared" si="84"/>
        <v>2800</v>
      </c>
      <c r="O449" s="475">
        <f t="shared" si="84"/>
        <v>0</v>
      </c>
      <c r="P449" s="475">
        <f>SUM(P450:P473)</f>
        <v>0</v>
      </c>
      <c r="Q449" s="475">
        <f t="shared" si="84"/>
        <v>0</v>
      </c>
      <c r="R449" s="475">
        <f t="shared" si="84"/>
        <v>0</v>
      </c>
      <c r="S449" s="472">
        <f t="shared" si="82"/>
        <v>0</v>
      </c>
      <c r="T449" s="475">
        <f>SUM(T450:T473)</f>
        <v>0</v>
      </c>
      <c r="U449" s="475">
        <f>SUM(U450:U473)</f>
        <v>0</v>
      </c>
      <c r="V449" s="475">
        <f>SUM(V450:V473)</f>
        <v>0</v>
      </c>
    </row>
    <row r="450" spans="1:22" s="468" customFormat="1" ht="45">
      <c r="A450" s="621"/>
      <c r="B450" s="613"/>
      <c r="C450" s="630">
        <v>3020</v>
      </c>
      <c r="D450" s="477" t="s">
        <v>591</v>
      </c>
      <c r="E450" s="529">
        <f t="shared" si="78"/>
        <v>2800</v>
      </c>
      <c r="F450" s="472">
        <f t="shared" si="79"/>
        <v>2800</v>
      </c>
      <c r="G450" s="472">
        <f t="shared" si="80"/>
        <v>0</v>
      </c>
      <c r="H450" s="478"/>
      <c r="I450" s="472">
        <f t="shared" si="81"/>
        <v>0</v>
      </c>
      <c r="J450" s="478"/>
      <c r="K450" s="478"/>
      <c r="L450" s="478"/>
      <c r="M450" s="478"/>
      <c r="N450" s="478">
        <v>2800</v>
      </c>
      <c r="O450" s="478"/>
      <c r="P450" s="478"/>
      <c r="Q450" s="478"/>
      <c r="R450" s="478"/>
      <c r="S450" s="472">
        <f t="shared" si="82"/>
        <v>0</v>
      </c>
      <c r="T450" s="478"/>
      <c r="U450" s="478"/>
      <c r="V450" s="478"/>
    </row>
    <row r="451" spans="1:22" s="468" customFormat="1" ht="30">
      <c r="A451" s="621"/>
      <c r="B451" s="613"/>
      <c r="C451" s="630">
        <v>4010</v>
      </c>
      <c r="D451" s="477" t="s">
        <v>417</v>
      </c>
      <c r="E451" s="529">
        <f t="shared" si="78"/>
        <v>425780</v>
      </c>
      <c r="F451" s="472">
        <f t="shared" si="79"/>
        <v>425780</v>
      </c>
      <c r="G451" s="472">
        <f t="shared" si="80"/>
        <v>425780</v>
      </c>
      <c r="H451" s="478"/>
      <c r="I451" s="472">
        <f t="shared" si="81"/>
        <v>425780</v>
      </c>
      <c r="J451" s="478">
        <v>425780</v>
      </c>
      <c r="K451" s="478"/>
      <c r="L451" s="478"/>
      <c r="M451" s="478"/>
      <c r="N451" s="478"/>
      <c r="O451" s="478"/>
      <c r="P451" s="478"/>
      <c r="Q451" s="478"/>
      <c r="R451" s="478"/>
      <c r="S451" s="472">
        <f t="shared" si="82"/>
        <v>0</v>
      </c>
      <c r="T451" s="478"/>
      <c r="U451" s="478"/>
      <c r="V451" s="478"/>
    </row>
    <row r="452" spans="1:22" s="468" customFormat="1" ht="30">
      <c r="A452" s="621"/>
      <c r="B452" s="613"/>
      <c r="C452" s="630">
        <v>4040</v>
      </c>
      <c r="D452" s="477" t="s">
        <v>418</v>
      </c>
      <c r="E452" s="529">
        <f t="shared" si="78"/>
        <v>34700</v>
      </c>
      <c r="F452" s="472">
        <f t="shared" si="79"/>
        <v>34700</v>
      </c>
      <c r="G452" s="472">
        <f t="shared" si="80"/>
        <v>34700</v>
      </c>
      <c r="H452" s="478"/>
      <c r="I452" s="472">
        <f t="shared" si="81"/>
        <v>34700</v>
      </c>
      <c r="J452" s="478"/>
      <c r="K452" s="478">
        <v>34700</v>
      </c>
      <c r="L452" s="478"/>
      <c r="M452" s="478"/>
      <c r="N452" s="478"/>
      <c r="O452" s="478"/>
      <c r="P452" s="478"/>
      <c r="Q452" s="478"/>
      <c r="R452" s="478"/>
      <c r="S452" s="472">
        <f t="shared" si="82"/>
        <v>0</v>
      </c>
      <c r="T452" s="478"/>
      <c r="U452" s="478"/>
      <c r="V452" s="478"/>
    </row>
    <row r="453" spans="1:22" s="468" customFormat="1" ht="45">
      <c r="A453" s="621"/>
      <c r="B453" s="613"/>
      <c r="C453" s="630">
        <v>4110</v>
      </c>
      <c r="D453" s="477" t="s">
        <v>419</v>
      </c>
      <c r="E453" s="529">
        <f t="shared" si="78"/>
        <v>68540</v>
      </c>
      <c r="F453" s="472">
        <f t="shared" si="79"/>
        <v>68540</v>
      </c>
      <c r="G453" s="472">
        <f t="shared" si="80"/>
        <v>68540</v>
      </c>
      <c r="H453" s="478"/>
      <c r="I453" s="472">
        <f t="shared" si="81"/>
        <v>68540</v>
      </c>
      <c r="J453" s="478"/>
      <c r="K453" s="478"/>
      <c r="L453" s="478">
        <v>68540</v>
      </c>
      <c r="M453" s="478"/>
      <c r="N453" s="478"/>
      <c r="O453" s="478"/>
      <c r="P453" s="478"/>
      <c r="Q453" s="478"/>
      <c r="R453" s="478"/>
      <c r="S453" s="472">
        <f t="shared" si="82"/>
        <v>0</v>
      </c>
      <c r="T453" s="478"/>
      <c r="U453" s="478"/>
      <c r="V453" s="478"/>
    </row>
    <row r="454" spans="1:22" s="468" customFormat="1" ht="30">
      <c r="A454" s="621"/>
      <c r="B454" s="613"/>
      <c r="C454" s="630">
        <v>4120</v>
      </c>
      <c r="D454" s="477" t="s">
        <v>420</v>
      </c>
      <c r="E454" s="529">
        <f t="shared" si="78"/>
        <v>10740</v>
      </c>
      <c r="F454" s="472">
        <f t="shared" si="79"/>
        <v>10740</v>
      </c>
      <c r="G454" s="472">
        <f t="shared" si="80"/>
        <v>10740</v>
      </c>
      <c r="H454" s="478"/>
      <c r="I454" s="472">
        <f t="shared" si="81"/>
        <v>10740</v>
      </c>
      <c r="J454" s="478"/>
      <c r="K454" s="478"/>
      <c r="L454" s="478">
        <v>10740</v>
      </c>
      <c r="M454" s="478"/>
      <c r="N454" s="478"/>
      <c r="O454" s="478"/>
      <c r="P454" s="478"/>
      <c r="Q454" s="478"/>
      <c r="R454" s="478"/>
      <c r="S454" s="472">
        <f t="shared" si="82"/>
        <v>0</v>
      </c>
      <c r="T454" s="478"/>
      <c r="U454" s="478"/>
      <c r="V454" s="478"/>
    </row>
    <row r="455" spans="1:22" s="468" customFormat="1" ht="31.5" customHeight="1">
      <c r="A455" s="621"/>
      <c r="B455" s="613"/>
      <c r="C455" s="630">
        <v>4170</v>
      </c>
      <c r="D455" s="477" t="s">
        <v>592</v>
      </c>
      <c r="E455" s="529">
        <f t="shared" si="78"/>
        <v>8700</v>
      </c>
      <c r="F455" s="472">
        <f t="shared" si="79"/>
        <v>8700</v>
      </c>
      <c r="G455" s="472">
        <f t="shared" si="80"/>
        <v>8700</v>
      </c>
      <c r="H455" s="478"/>
      <c r="I455" s="472">
        <f t="shared" si="81"/>
        <v>8700</v>
      </c>
      <c r="J455" s="478"/>
      <c r="K455" s="478"/>
      <c r="L455" s="478"/>
      <c r="M455" s="478">
        <v>8700</v>
      </c>
      <c r="N455" s="478"/>
      <c r="O455" s="478"/>
      <c r="P455" s="478"/>
      <c r="Q455" s="478"/>
      <c r="R455" s="478"/>
      <c r="S455" s="472">
        <f t="shared" si="82"/>
        <v>0</v>
      </c>
      <c r="T455" s="478"/>
      <c r="U455" s="478"/>
      <c r="V455" s="478"/>
    </row>
    <row r="456" spans="1:22" s="468" customFormat="1" ht="32.25" customHeight="1">
      <c r="A456" s="621"/>
      <c r="B456" s="613"/>
      <c r="C456" s="630">
        <v>4210</v>
      </c>
      <c r="D456" s="477" t="s">
        <v>422</v>
      </c>
      <c r="E456" s="529">
        <f t="shared" si="78"/>
        <v>69560</v>
      </c>
      <c r="F456" s="472">
        <f t="shared" si="79"/>
        <v>69560</v>
      </c>
      <c r="G456" s="472">
        <f t="shared" si="80"/>
        <v>69560</v>
      </c>
      <c r="H456" s="478">
        <v>69560</v>
      </c>
      <c r="I456" s="472">
        <f t="shared" si="81"/>
        <v>0</v>
      </c>
      <c r="J456" s="478"/>
      <c r="K456" s="478"/>
      <c r="L456" s="478"/>
      <c r="M456" s="478"/>
      <c r="N456" s="478"/>
      <c r="O456" s="478"/>
      <c r="P456" s="478"/>
      <c r="Q456" s="478"/>
      <c r="R456" s="478"/>
      <c r="S456" s="472">
        <f t="shared" si="82"/>
        <v>0</v>
      </c>
      <c r="T456" s="478"/>
      <c r="U456" s="478"/>
      <c r="V456" s="478"/>
    </row>
    <row r="457" spans="1:22" s="468" customFormat="1" ht="30" customHeight="1">
      <c r="A457" s="621"/>
      <c r="B457" s="613"/>
      <c r="C457" s="630">
        <v>4220</v>
      </c>
      <c r="D457" s="477" t="s">
        <v>588</v>
      </c>
      <c r="E457" s="529">
        <f t="shared" si="78"/>
        <v>28902</v>
      </c>
      <c r="F457" s="472">
        <f t="shared" si="79"/>
        <v>28902</v>
      </c>
      <c r="G457" s="472">
        <f t="shared" si="80"/>
        <v>28902</v>
      </c>
      <c r="H457" s="478">
        <v>28902</v>
      </c>
      <c r="I457" s="472">
        <f t="shared" si="81"/>
        <v>0</v>
      </c>
      <c r="J457" s="478"/>
      <c r="K457" s="478"/>
      <c r="L457" s="478"/>
      <c r="M457" s="478"/>
      <c r="N457" s="478"/>
      <c r="O457" s="478"/>
      <c r="P457" s="478"/>
      <c r="Q457" s="478"/>
      <c r="R457" s="478"/>
      <c r="S457" s="472">
        <f t="shared" si="82"/>
        <v>0</v>
      </c>
      <c r="T457" s="478"/>
      <c r="U457" s="478"/>
      <c r="V457" s="478"/>
    </row>
    <row r="458" spans="1:22" s="468" customFormat="1" ht="51.75" customHeight="1">
      <c r="A458" s="621"/>
      <c r="B458" s="613"/>
      <c r="C458" s="630">
        <v>4230</v>
      </c>
      <c r="D458" s="477" t="s">
        <v>23</v>
      </c>
      <c r="E458" s="529">
        <f t="shared" si="78"/>
        <v>200</v>
      </c>
      <c r="F458" s="472">
        <f t="shared" si="79"/>
        <v>200</v>
      </c>
      <c r="G458" s="472">
        <f t="shared" si="80"/>
        <v>200</v>
      </c>
      <c r="H458" s="478">
        <v>200</v>
      </c>
      <c r="I458" s="472">
        <f t="shared" si="81"/>
        <v>0</v>
      </c>
      <c r="J458" s="478"/>
      <c r="K458" s="478"/>
      <c r="L458" s="478"/>
      <c r="M458" s="478"/>
      <c r="N458" s="478"/>
      <c r="O458" s="478"/>
      <c r="P458" s="478"/>
      <c r="Q458" s="478"/>
      <c r="R458" s="478"/>
      <c r="S458" s="472">
        <f t="shared" si="82"/>
        <v>0</v>
      </c>
      <c r="T458" s="478"/>
      <c r="U458" s="478"/>
      <c r="V458" s="478"/>
    </row>
    <row r="459" spans="1:22" s="468" customFormat="1" ht="15.75">
      <c r="A459" s="621"/>
      <c r="B459" s="613"/>
      <c r="C459" s="630">
        <v>4260</v>
      </c>
      <c r="D459" s="477" t="s">
        <v>423</v>
      </c>
      <c r="E459" s="529">
        <f t="shared" si="78"/>
        <v>13800</v>
      </c>
      <c r="F459" s="472">
        <f t="shared" si="79"/>
        <v>13800</v>
      </c>
      <c r="G459" s="472">
        <f t="shared" si="80"/>
        <v>13800</v>
      </c>
      <c r="H459" s="478">
        <v>13800</v>
      </c>
      <c r="I459" s="472">
        <f t="shared" si="81"/>
        <v>0</v>
      </c>
      <c r="J459" s="478"/>
      <c r="K459" s="478"/>
      <c r="L459" s="478"/>
      <c r="M459" s="478"/>
      <c r="N459" s="478"/>
      <c r="O459" s="478"/>
      <c r="P459" s="478"/>
      <c r="Q459" s="478"/>
      <c r="R459" s="478"/>
      <c r="S459" s="472">
        <f t="shared" si="82"/>
        <v>0</v>
      </c>
      <c r="T459" s="478"/>
      <c r="U459" s="478"/>
      <c r="V459" s="478"/>
    </row>
    <row r="460" spans="1:22" s="468" customFormat="1" ht="30">
      <c r="A460" s="621"/>
      <c r="B460" s="613"/>
      <c r="C460" s="630">
        <v>4270</v>
      </c>
      <c r="D460" s="477" t="s">
        <v>424</v>
      </c>
      <c r="E460" s="529">
        <f t="shared" si="78"/>
        <v>11400</v>
      </c>
      <c r="F460" s="472">
        <f t="shared" si="79"/>
        <v>11400</v>
      </c>
      <c r="G460" s="472">
        <f t="shared" si="80"/>
        <v>11400</v>
      </c>
      <c r="H460" s="478">
        <v>11400</v>
      </c>
      <c r="I460" s="472">
        <f t="shared" si="81"/>
        <v>0</v>
      </c>
      <c r="J460" s="478"/>
      <c r="K460" s="478"/>
      <c r="L460" s="478"/>
      <c r="M460" s="478"/>
      <c r="N460" s="478"/>
      <c r="O460" s="478"/>
      <c r="P460" s="478"/>
      <c r="Q460" s="478"/>
      <c r="R460" s="478"/>
      <c r="S460" s="472">
        <f t="shared" si="82"/>
        <v>0</v>
      </c>
      <c r="T460" s="478"/>
      <c r="U460" s="478"/>
      <c r="V460" s="478"/>
    </row>
    <row r="461" spans="1:22" s="468" customFormat="1" ht="32.25" customHeight="1">
      <c r="A461" s="621"/>
      <c r="B461" s="613"/>
      <c r="C461" s="630">
        <v>4280</v>
      </c>
      <c r="D461" s="477" t="s">
        <v>425</v>
      </c>
      <c r="E461" s="529">
        <f t="shared" si="78"/>
        <v>1400</v>
      </c>
      <c r="F461" s="472">
        <f t="shared" si="79"/>
        <v>1400</v>
      </c>
      <c r="G461" s="472">
        <f t="shared" si="80"/>
        <v>1400</v>
      </c>
      <c r="H461" s="478">
        <v>1400</v>
      </c>
      <c r="I461" s="472">
        <f t="shared" si="81"/>
        <v>0</v>
      </c>
      <c r="J461" s="478"/>
      <c r="K461" s="478"/>
      <c r="L461" s="478"/>
      <c r="M461" s="478"/>
      <c r="N461" s="478"/>
      <c r="O461" s="478"/>
      <c r="P461" s="478"/>
      <c r="Q461" s="478"/>
      <c r="R461" s="478"/>
      <c r="S461" s="472">
        <f t="shared" si="82"/>
        <v>0</v>
      </c>
      <c r="T461" s="478"/>
      <c r="U461" s="478"/>
      <c r="V461" s="478"/>
    </row>
    <row r="462" spans="1:22" s="468" customFormat="1" ht="30">
      <c r="A462" s="621"/>
      <c r="B462" s="613"/>
      <c r="C462" s="630">
        <v>4300</v>
      </c>
      <c r="D462" s="477" t="s">
        <v>405</v>
      </c>
      <c r="E462" s="529">
        <f t="shared" si="78"/>
        <v>31800</v>
      </c>
      <c r="F462" s="472">
        <f t="shared" si="79"/>
        <v>31800</v>
      </c>
      <c r="G462" s="472">
        <f t="shared" si="80"/>
        <v>31800</v>
      </c>
      <c r="H462" s="478">
        <v>31800</v>
      </c>
      <c r="I462" s="472">
        <f t="shared" si="81"/>
        <v>0</v>
      </c>
      <c r="J462" s="478"/>
      <c r="K462" s="478"/>
      <c r="L462" s="478"/>
      <c r="M462" s="478"/>
      <c r="N462" s="478"/>
      <c r="O462" s="478"/>
      <c r="P462" s="478"/>
      <c r="Q462" s="478"/>
      <c r="R462" s="478"/>
      <c r="S462" s="472">
        <f t="shared" si="82"/>
        <v>0</v>
      </c>
      <c r="T462" s="478"/>
      <c r="U462" s="478"/>
      <c r="V462" s="478"/>
    </row>
    <row r="463" spans="1:22" s="468" customFormat="1" ht="59.25" customHeight="1">
      <c r="A463" s="621"/>
      <c r="B463" s="613"/>
      <c r="C463" s="630">
        <v>4350</v>
      </c>
      <c r="D463" s="477" t="s">
        <v>276</v>
      </c>
      <c r="E463" s="529">
        <f t="shared" si="78"/>
        <v>1600</v>
      </c>
      <c r="F463" s="472">
        <f t="shared" si="79"/>
        <v>1600</v>
      </c>
      <c r="G463" s="472">
        <f t="shared" si="80"/>
        <v>1600</v>
      </c>
      <c r="H463" s="478">
        <v>1600</v>
      </c>
      <c r="I463" s="472">
        <f t="shared" si="81"/>
        <v>0</v>
      </c>
      <c r="J463" s="478"/>
      <c r="K463" s="478"/>
      <c r="L463" s="478"/>
      <c r="M463" s="478"/>
      <c r="N463" s="478"/>
      <c r="O463" s="478"/>
      <c r="P463" s="478"/>
      <c r="Q463" s="478"/>
      <c r="R463" s="478"/>
      <c r="S463" s="472">
        <f t="shared" si="82"/>
        <v>0</v>
      </c>
      <c r="T463" s="478"/>
      <c r="U463" s="478"/>
      <c r="V463" s="478"/>
    </row>
    <row r="464" spans="1:22" s="468" customFormat="1" ht="59.25" customHeight="1">
      <c r="A464" s="621"/>
      <c r="B464" s="613"/>
      <c r="C464" s="630">
        <v>4360</v>
      </c>
      <c r="D464" s="477" t="s">
        <v>567</v>
      </c>
      <c r="E464" s="529">
        <f t="shared" si="78"/>
        <v>500</v>
      </c>
      <c r="F464" s="472">
        <f t="shared" si="79"/>
        <v>500</v>
      </c>
      <c r="G464" s="472">
        <f t="shared" si="80"/>
        <v>500</v>
      </c>
      <c r="H464" s="478">
        <v>500</v>
      </c>
      <c r="I464" s="472">
        <f t="shared" si="81"/>
        <v>0</v>
      </c>
      <c r="J464" s="478"/>
      <c r="K464" s="478"/>
      <c r="L464" s="478"/>
      <c r="M464" s="478"/>
      <c r="N464" s="478"/>
      <c r="O464" s="478"/>
      <c r="P464" s="478"/>
      <c r="Q464" s="478"/>
      <c r="R464" s="478"/>
      <c r="S464" s="472">
        <f t="shared" si="82"/>
        <v>0</v>
      </c>
      <c r="T464" s="478"/>
      <c r="U464" s="478"/>
      <c r="V464" s="478"/>
    </row>
    <row r="465" spans="1:22" s="468" customFormat="1" ht="72.75" customHeight="1">
      <c r="A465" s="621"/>
      <c r="B465" s="613"/>
      <c r="C465" s="630">
        <v>4370</v>
      </c>
      <c r="D465" s="477" t="s">
        <v>560</v>
      </c>
      <c r="E465" s="529">
        <f aca="true" t="shared" si="85" ref="E465:E528">F465+S465</f>
        <v>3100</v>
      </c>
      <c r="F465" s="472">
        <f t="shared" si="79"/>
        <v>3100</v>
      </c>
      <c r="G465" s="472">
        <f t="shared" si="80"/>
        <v>3100</v>
      </c>
      <c r="H465" s="478">
        <v>3100</v>
      </c>
      <c r="I465" s="472">
        <f t="shared" si="81"/>
        <v>0</v>
      </c>
      <c r="J465" s="478"/>
      <c r="K465" s="478"/>
      <c r="L465" s="478"/>
      <c r="M465" s="478"/>
      <c r="N465" s="478"/>
      <c r="O465" s="478"/>
      <c r="P465" s="478"/>
      <c r="Q465" s="478"/>
      <c r="R465" s="478"/>
      <c r="S465" s="472">
        <f t="shared" si="82"/>
        <v>0</v>
      </c>
      <c r="T465" s="478"/>
      <c r="U465" s="478"/>
      <c r="V465" s="478"/>
    </row>
    <row r="466" spans="1:22" s="468" customFormat="1" ht="41.25" customHeight="1">
      <c r="A466" s="621"/>
      <c r="B466" s="613"/>
      <c r="C466" s="630">
        <v>4410</v>
      </c>
      <c r="D466" s="477" t="s">
        <v>430</v>
      </c>
      <c r="E466" s="529">
        <f t="shared" si="85"/>
        <v>630</v>
      </c>
      <c r="F466" s="472">
        <f aca="true" t="shared" si="86" ref="F466:F529">G466+N466+O466+P466+Q466+R466</f>
        <v>630</v>
      </c>
      <c r="G466" s="472">
        <f aca="true" t="shared" si="87" ref="G466:G529">H466+I466</f>
        <v>630</v>
      </c>
      <c r="H466" s="478">
        <v>630</v>
      </c>
      <c r="I466" s="472">
        <f aca="true" t="shared" si="88" ref="I466:I529">SUM(J466:M466)</f>
        <v>0</v>
      </c>
      <c r="J466" s="478"/>
      <c r="K466" s="478"/>
      <c r="L466" s="478"/>
      <c r="M466" s="478"/>
      <c r="N466" s="478"/>
      <c r="O466" s="478"/>
      <c r="P466" s="478"/>
      <c r="Q466" s="478"/>
      <c r="R466" s="478"/>
      <c r="S466" s="472">
        <f aca="true" t="shared" si="89" ref="S466:S529">T466+V466</f>
        <v>0</v>
      </c>
      <c r="T466" s="478"/>
      <c r="U466" s="478"/>
      <c r="V466" s="478"/>
    </row>
    <row r="467" spans="1:22" s="468" customFormat="1" ht="21.75" customHeight="1">
      <c r="A467" s="621"/>
      <c r="B467" s="613"/>
      <c r="C467" s="630">
        <v>4430</v>
      </c>
      <c r="D467" s="477" t="s">
        <v>431</v>
      </c>
      <c r="E467" s="529">
        <f t="shared" si="85"/>
        <v>9200</v>
      </c>
      <c r="F467" s="472">
        <f t="shared" si="86"/>
        <v>9200</v>
      </c>
      <c r="G467" s="472">
        <f t="shared" si="87"/>
        <v>9200</v>
      </c>
      <c r="H467" s="478">
        <v>9200</v>
      </c>
      <c r="I467" s="472">
        <f t="shared" si="88"/>
        <v>0</v>
      </c>
      <c r="J467" s="478"/>
      <c r="K467" s="478"/>
      <c r="L467" s="478"/>
      <c r="M467" s="478"/>
      <c r="N467" s="478"/>
      <c r="O467" s="478"/>
      <c r="P467" s="478"/>
      <c r="Q467" s="478"/>
      <c r="R467" s="478"/>
      <c r="S467" s="472">
        <f t="shared" si="89"/>
        <v>0</v>
      </c>
      <c r="T467" s="478"/>
      <c r="U467" s="478"/>
      <c r="V467" s="478"/>
    </row>
    <row r="468" spans="1:22" s="468" customFormat="1" ht="45.75" customHeight="1">
      <c r="A468" s="621"/>
      <c r="B468" s="613"/>
      <c r="C468" s="630">
        <v>4440</v>
      </c>
      <c r="D468" s="477" t="s">
        <v>432</v>
      </c>
      <c r="E468" s="529">
        <f t="shared" si="85"/>
        <v>17400</v>
      </c>
      <c r="F468" s="472">
        <f t="shared" si="86"/>
        <v>17400</v>
      </c>
      <c r="G468" s="472">
        <f t="shared" si="87"/>
        <v>17400</v>
      </c>
      <c r="H468" s="478">
        <v>17400</v>
      </c>
      <c r="I468" s="472">
        <f t="shared" si="88"/>
        <v>0</v>
      </c>
      <c r="J468" s="478"/>
      <c r="K468" s="478"/>
      <c r="L468" s="478"/>
      <c r="M468" s="478"/>
      <c r="N468" s="478"/>
      <c r="O468" s="478"/>
      <c r="P468" s="478"/>
      <c r="Q468" s="478"/>
      <c r="R468" s="478"/>
      <c r="S468" s="472">
        <f t="shared" si="89"/>
        <v>0</v>
      </c>
      <c r="T468" s="478"/>
      <c r="U468" s="478"/>
      <c r="V468" s="478"/>
    </row>
    <row r="469" spans="1:22" s="468" customFormat="1" ht="30">
      <c r="A469" s="621"/>
      <c r="B469" s="613"/>
      <c r="C469" s="630">
        <v>4480</v>
      </c>
      <c r="D469" s="477" t="s">
        <v>433</v>
      </c>
      <c r="E469" s="529">
        <f t="shared" si="85"/>
        <v>1200</v>
      </c>
      <c r="F469" s="472">
        <f t="shared" si="86"/>
        <v>1200</v>
      </c>
      <c r="G469" s="472">
        <f t="shared" si="87"/>
        <v>1200</v>
      </c>
      <c r="H469" s="478">
        <v>1200</v>
      </c>
      <c r="I469" s="472">
        <f t="shared" si="88"/>
        <v>0</v>
      </c>
      <c r="J469" s="478"/>
      <c r="K469" s="478"/>
      <c r="L469" s="478"/>
      <c r="M469" s="478"/>
      <c r="N469" s="478"/>
      <c r="O469" s="478"/>
      <c r="P469" s="478"/>
      <c r="Q469" s="478"/>
      <c r="R469" s="478"/>
      <c r="S469" s="472">
        <f t="shared" si="89"/>
        <v>0</v>
      </c>
      <c r="T469" s="478"/>
      <c r="U469" s="478"/>
      <c r="V469" s="478"/>
    </row>
    <row r="470" spans="1:22" s="468" customFormat="1" ht="37.5" customHeight="1">
      <c r="A470" s="621"/>
      <c r="B470" s="613"/>
      <c r="C470" s="630">
        <v>4520</v>
      </c>
      <c r="D470" s="477" t="s">
        <v>24</v>
      </c>
      <c r="E470" s="529">
        <f t="shared" si="85"/>
        <v>6648</v>
      </c>
      <c r="F470" s="472">
        <f t="shared" si="86"/>
        <v>6648</v>
      </c>
      <c r="G470" s="472">
        <f t="shared" si="87"/>
        <v>6648</v>
      </c>
      <c r="H470" s="478">
        <v>6648</v>
      </c>
      <c r="I470" s="472">
        <f t="shared" si="88"/>
        <v>0</v>
      </c>
      <c r="J470" s="478"/>
      <c r="K470" s="478"/>
      <c r="L470" s="478"/>
      <c r="M470" s="478"/>
      <c r="N470" s="478"/>
      <c r="O470" s="478"/>
      <c r="P470" s="478"/>
      <c r="Q470" s="478"/>
      <c r="R470" s="478"/>
      <c r="S470" s="472">
        <f t="shared" si="89"/>
        <v>0</v>
      </c>
      <c r="T470" s="478"/>
      <c r="U470" s="478"/>
      <c r="V470" s="478"/>
    </row>
    <row r="471" spans="1:22" s="468" customFormat="1" ht="48" customHeight="1">
      <c r="A471" s="621"/>
      <c r="B471" s="613"/>
      <c r="C471" s="630">
        <v>4700</v>
      </c>
      <c r="D471" s="477" t="s">
        <v>708</v>
      </c>
      <c r="E471" s="529">
        <f t="shared" si="85"/>
        <v>3200</v>
      </c>
      <c r="F471" s="472">
        <f t="shared" si="86"/>
        <v>3200</v>
      </c>
      <c r="G471" s="472">
        <f t="shared" si="87"/>
        <v>3200</v>
      </c>
      <c r="H471" s="478">
        <v>3200</v>
      </c>
      <c r="I471" s="472">
        <f t="shared" si="88"/>
        <v>0</v>
      </c>
      <c r="J471" s="478"/>
      <c r="K471" s="478"/>
      <c r="L471" s="478"/>
      <c r="M471" s="478"/>
      <c r="N471" s="478"/>
      <c r="O471" s="478"/>
      <c r="P471" s="478"/>
      <c r="Q471" s="478"/>
      <c r="R471" s="478"/>
      <c r="S471" s="472">
        <f t="shared" si="89"/>
        <v>0</v>
      </c>
      <c r="T471" s="478"/>
      <c r="U471" s="478"/>
      <c r="V471" s="478"/>
    </row>
    <row r="472" spans="1:22" s="468" customFormat="1" ht="60.75" customHeight="1">
      <c r="A472" s="621"/>
      <c r="B472" s="613"/>
      <c r="C472" s="630">
        <v>4740</v>
      </c>
      <c r="D472" s="477" t="s">
        <v>521</v>
      </c>
      <c r="E472" s="529">
        <f t="shared" si="85"/>
        <v>1000</v>
      </c>
      <c r="F472" s="472">
        <f t="shared" si="86"/>
        <v>1000</v>
      </c>
      <c r="G472" s="472">
        <f t="shared" si="87"/>
        <v>1000</v>
      </c>
      <c r="H472" s="478">
        <v>1000</v>
      </c>
      <c r="I472" s="472">
        <f t="shared" si="88"/>
        <v>0</v>
      </c>
      <c r="J472" s="478"/>
      <c r="K472" s="478"/>
      <c r="L472" s="478"/>
      <c r="M472" s="478"/>
      <c r="N472" s="478"/>
      <c r="O472" s="478"/>
      <c r="P472" s="478"/>
      <c r="Q472" s="478"/>
      <c r="R472" s="478"/>
      <c r="S472" s="472">
        <f t="shared" si="89"/>
        <v>0</v>
      </c>
      <c r="T472" s="478"/>
      <c r="U472" s="478"/>
      <c r="V472" s="478"/>
    </row>
    <row r="473" spans="1:22" s="468" customFormat="1" ht="50.25" customHeight="1">
      <c r="A473" s="621"/>
      <c r="B473" s="613"/>
      <c r="C473" s="630">
        <v>4750</v>
      </c>
      <c r="D473" s="477" t="s">
        <v>561</v>
      </c>
      <c r="E473" s="529">
        <f t="shared" si="85"/>
        <v>1200</v>
      </c>
      <c r="F473" s="472">
        <f t="shared" si="86"/>
        <v>1200</v>
      </c>
      <c r="G473" s="472">
        <f t="shared" si="87"/>
        <v>1200</v>
      </c>
      <c r="H473" s="478">
        <v>1200</v>
      </c>
      <c r="I473" s="472">
        <f t="shared" si="88"/>
        <v>0</v>
      </c>
      <c r="J473" s="478"/>
      <c r="K473" s="478"/>
      <c r="L473" s="478"/>
      <c r="M473" s="478"/>
      <c r="N473" s="478"/>
      <c r="O473" s="478"/>
      <c r="P473" s="478"/>
      <c r="Q473" s="478"/>
      <c r="R473" s="478"/>
      <c r="S473" s="472">
        <f t="shared" si="89"/>
        <v>0</v>
      </c>
      <c r="T473" s="478"/>
      <c r="U473" s="478"/>
      <c r="V473" s="478"/>
    </row>
    <row r="474" spans="1:22" s="476" customFormat="1" ht="15.75">
      <c r="A474" s="620"/>
      <c r="B474" s="612">
        <v>85204</v>
      </c>
      <c r="C474" s="629"/>
      <c r="D474" s="271" t="s">
        <v>595</v>
      </c>
      <c r="E474" s="529">
        <f t="shared" si="85"/>
        <v>2136777</v>
      </c>
      <c r="F474" s="472">
        <f t="shared" si="86"/>
        <v>2136777</v>
      </c>
      <c r="G474" s="472">
        <f t="shared" si="87"/>
        <v>243920</v>
      </c>
      <c r="H474" s="475">
        <f>SUM(H475:H479)</f>
        <v>0</v>
      </c>
      <c r="I474" s="472">
        <f t="shared" si="88"/>
        <v>243920</v>
      </c>
      <c r="J474" s="475">
        <f aca="true" t="shared" si="90" ref="J474:R474">SUM(J475:J479)</f>
        <v>0</v>
      </c>
      <c r="K474" s="475">
        <f t="shared" si="90"/>
        <v>0</v>
      </c>
      <c r="L474" s="475">
        <f t="shared" si="90"/>
        <v>35920</v>
      </c>
      <c r="M474" s="475">
        <f t="shared" si="90"/>
        <v>208000</v>
      </c>
      <c r="N474" s="475">
        <f t="shared" si="90"/>
        <v>1788857</v>
      </c>
      <c r="O474" s="475">
        <f t="shared" si="90"/>
        <v>104000</v>
      </c>
      <c r="P474" s="475">
        <f>SUM(P475:P479)</f>
        <v>0</v>
      </c>
      <c r="Q474" s="475">
        <f t="shared" si="90"/>
        <v>0</v>
      </c>
      <c r="R474" s="475">
        <f t="shared" si="90"/>
        <v>0</v>
      </c>
      <c r="S474" s="472">
        <f t="shared" si="89"/>
        <v>0</v>
      </c>
      <c r="T474" s="475">
        <f>SUM(T475:T479)</f>
        <v>0</v>
      </c>
      <c r="U474" s="475">
        <f>SUM(U475:U479)</f>
        <v>0</v>
      </c>
      <c r="V474" s="475">
        <f>SUM(V475:V479)</f>
        <v>0</v>
      </c>
    </row>
    <row r="475" spans="1:22" s="468" customFormat="1" ht="120">
      <c r="A475" s="621"/>
      <c r="B475" s="613"/>
      <c r="C475" s="630">
        <v>2320</v>
      </c>
      <c r="D475" s="477" t="s">
        <v>586</v>
      </c>
      <c r="E475" s="529">
        <f t="shared" si="85"/>
        <v>104000</v>
      </c>
      <c r="F475" s="472">
        <f t="shared" si="86"/>
        <v>104000</v>
      </c>
      <c r="G475" s="472">
        <f t="shared" si="87"/>
        <v>0</v>
      </c>
      <c r="H475" s="478"/>
      <c r="I475" s="472">
        <f t="shared" si="88"/>
        <v>0</v>
      </c>
      <c r="J475" s="478"/>
      <c r="K475" s="478"/>
      <c r="L475" s="478"/>
      <c r="M475" s="478"/>
      <c r="N475" s="478"/>
      <c r="O475" s="478">
        <v>104000</v>
      </c>
      <c r="P475" s="478"/>
      <c r="Q475" s="478"/>
      <c r="R475" s="478"/>
      <c r="S475" s="472">
        <f t="shared" si="89"/>
        <v>0</v>
      </c>
      <c r="T475" s="478"/>
      <c r="U475" s="478"/>
      <c r="V475" s="478"/>
    </row>
    <row r="476" spans="1:22" s="468" customFormat="1" ht="15.75">
      <c r="A476" s="621"/>
      <c r="B476" s="613"/>
      <c r="C476" s="630">
        <v>3110</v>
      </c>
      <c r="D476" s="477" t="s">
        <v>587</v>
      </c>
      <c r="E476" s="529">
        <f t="shared" si="85"/>
        <v>1788857</v>
      </c>
      <c r="F476" s="472">
        <f t="shared" si="86"/>
        <v>1788857</v>
      </c>
      <c r="G476" s="472">
        <f t="shared" si="87"/>
        <v>0</v>
      </c>
      <c r="H476" s="478"/>
      <c r="I476" s="472">
        <f t="shared" si="88"/>
        <v>0</v>
      </c>
      <c r="J476" s="478"/>
      <c r="K476" s="478"/>
      <c r="L476" s="478"/>
      <c r="M476" s="478"/>
      <c r="N476" s="478">
        <v>1788857</v>
      </c>
      <c r="O476" s="478"/>
      <c r="P476" s="478"/>
      <c r="Q476" s="478"/>
      <c r="R476" s="478"/>
      <c r="S476" s="472">
        <f t="shared" si="89"/>
        <v>0</v>
      </c>
      <c r="T476" s="478"/>
      <c r="U476" s="478"/>
      <c r="V476" s="478"/>
    </row>
    <row r="477" spans="1:22" s="468" customFormat="1" ht="48.75" customHeight="1">
      <c r="A477" s="621"/>
      <c r="B477" s="613"/>
      <c r="C477" s="630">
        <v>4170</v>
      </c>
      <c r="D477" s="477" t="s">
        <v>421</v>
      </c>
      <c r="E477" s="529">
        <f t="shared" si="85"/>
        <v>208000</v>
      </c>
      <c r="F477" s="472">
        <f t="shared" si="86"/>
        <v>208000</v>
      </c>
      <c r="G477" s="472">
        <f t="shared" si="87"/>
        <v>208000</v>
      </c>
      <c r="H477" s="478"/>
      <c r="I477" s="472">
        <f t="shared" si="88"/>
        <v>208000</v>
      </c>
      <c r="J477" s="478"/>
      <c r="K477" s="478"/>
      <c r="L477" s="478"/>
      <c r="M477" s="478">
        <v>208000</v>
      </c>
      <c r="N477" s="478"/>
      <c r="O477" s="478"/>
      <c r="P477" s="478"/>
      <c r="Q477" s="478"/>
      <c r="R477" s="478"/>
      <c r="S477" s="472">
        <f t="shared" si="89"/>
        <v>0</v>
      </c>
      <c r="T477" s="478"/>
      <c r="U477" s="478"/>
      <c r="V477" s="478"/>
    </row>
    <row r="478" spans="1:22" s="468" customFormat="1" ht="51" customHeight="1">
      <c r="A478" s="621"/>
      <c r="B478" s="613"/>
      <c r="C478" s="630">
        <v>4110</v>
      </c>
      <c r="D478" s="477" t="s">
        <v>556</v>
      </c>
      <c r="E478" s="529">
        <f t="shared" si="85"/>
        <v>30920</v>
      </c>
      <c r="F478" s="472">
        <f t="shared" si="86"/>
        <v>30920</v>
      </c>
      <c r="G478" s="472">
        <f t="shared" si="87"/>
        <v>30920</v>
      </c>
      <c r="H478" s="478"/>
      <c r="I478" s="472">
        <f t="shared" si="88"/>
        <v>30920</v>
      </c>
      <c r="J478" s="478"/>
      <c r="K478" s="478"/>
      <c r="L478" s="478">
        <v>30920</v>
      </c>
      <c r="M478" s="478"/>
      <c r="N478" s="478"/>
      <c r="O478" s="478"/>
      <c r="P478" s="478"/>
      <c r="Q478" s="478"/>
      <c r="R478" s="478"/>
      <c r="S478" s="472">
        <f t="shared" si="89"/>
        <v>0</v>
      </c>
      <c r="T478" s="478"/>
      <c r="U478" s="478"/>
      <c r="V478" s="478"/>
    </row>
    <row r="479" spans="1:22" s="468" customFormat="1" ht="31.5" customHeight="1">
      <c r="A479" s="621"/>
      <c r="B479" s="613"/>
      <c r="C479" s="630">
        <v>4120</v>
      </c>
      <c r="D479" s="477" t="s">
        <v>420</v>
      </c>
      <c r="E479" s="529">
        <f t="shared" si="85"/>
        <v>5000</v>
      </c>
      <c r="F479" s="472">
        <f t="shared" si="86"/>
        <v>5000</v>
      </c>
      <c r="G479" s="472">
        <f t="shared" si="87"/>
        <v>5000</v>
      </c>
      <c r="H479" s="478"/>
      <c r="I479" s="472">
        <f t="shared" si="88"/>
        <v>5000</v>
      </c>
      <c r="J479" s="478"/>
      <c r="K479" s="478"/>
      <c r="L479" s="478">
        <v>5000</v>
      </c>
      <c r="M479" s="478"/>
      <c r="N479" s="478"/>
      <c r="O479" s="478"/>
      <c r="P479" s="478"/>
      <c r="Q479" s="478"/>
      <c r="R479" s="478"/>
      <c r="S479" s="472">
        <f t="shared" si="89"/>
        <v>0</v>
      </c>
      <c r="T479" s="478"/>
      <c r="U479" s="478"/>
      <c r="V479" s="478"/>
    </row>
    <row r="480" spans="1:22" s="476" customFormat="1" ht="31.5">
      <c r="A480" s="620"/>
      <c r="B480" s="612">
        <v>85218</v>
      </c>
      <c r="C480" s="629"/>
      <c r="D480" s="271" t="s">
        <v>596</v>
      </c>
      <c r="E480" s="529">
        <f t="shared" si="85"/>
        <v>737750</v>
      </c>
      <c r="F480" s="472">
        <f t="shared" si="86"/>
        <v>713750</v>
      </c>
      <c r="G480" s="472">
        <f t="shared" si="87"/>
        <v>712750</v>
      </c>
      <c r="H480" s="475">
        <f>SUM(H481:H504)</f>
        <v>172222</v>
      </c>
      <c r="I480" s="472">
        <f t="shared" si="88"/>
        <v>540528</v>
      </c>
      <c r="J480" s="475">
        <f aca="true" t="shared" si="91" ref="J480:R480">SUM(J481:J504)</f>
        <v>420630</v>
      </c>
      <c r="K480" s="475">
        <f t="shared" si="91"/>
        <v>32098</v>
      </c>
      <c r="L480" s="475">
        <f t="shared" si="91"/>
        <v>80000</v>
      </c>
      <c r="M480" s="475">
        <f t="shared" si="91"/>
        <v>7800</v>
      </c>
      <c r="N480" s="475">
        <f t="shared" si="91"/>
        <v>1000</v>
      </c>
      <c r="O480" s="475">
        <f t="shared" si="91"/>
        <v>0</v>
      </c>
      <c r="P480" s="475">
        <f>SUM(P481:P504)</f>
        <v>0</v>
      </c>
      <c r="Q480" s="475">
        <f t="shared" si="91"/>
        <v>0</v>
      </c>
      <c r="R480" s="475">
        <f t="shared" si="91"/>
        <v>0</v>
      </c>
      <c r="S480" s="472">
        <f t="shared" si="89"/>
        <v>24000</v>
      </c>
      <c r="T480" s="475">
        <f>SUM(T481:T504)</f>
        <v>24000</v>
      </c>
      <c r="U480" s="475">
        <f>SUM(U481:U504)</f>
        <v>0</v>
      </c>
      <c r="V480" s="475">
        <f>SUM(V481:V504)</f>
        <v>0</v>
      </c>
    </row>
    <row r="481" spans="1:22" s="468" customFormat="1" ht="45">
      <c r="A481" s="621"/>
      <c r="B481" s="613"/>
      <c r="C481" s="630">
        <v>3020</v>
      </c>
      <c r="D481" s="477" t="s">
        <v>709</v>
      </c>
      <c r="E481" s="529">
        <f t="shared" si="85"/>
        <v>1000</v>
      </c>
      <c r="F481" s="472">
        <f t="shared" si="86"/>
        <v>1000</v>
      </c>
      <c r="G481" s="472">
        <f t="shared" si="87"/>
        <v>0</v>
      </c>
      <c r="H481" s="478"/>
      <c r="I481" s="472">
        <f t="shared" si="88"/>
        <v>0</v>
      </c>
      <c r="J481" s="478"/>
      <c r="K481" s="478"/>
      <c r="L481" s="478"/>
      <c r="M481" s="478"/>
      <c r="N481" s="478">
        <v>1000</v>
      </c>
      <c r="O481" s="478"/>
      <c r="P481" s="478"/>
      <c r="Q481" s="478"/>
      <c r="R481" s="478"/>
      <c r="S481" s="472">
        <f t="shared" si="89"/>
        <v>0</v>
      </c>
      <c r="T481" s="478"/>
      <c r="U481" s="478"/>
      <c r="V481" s="478"/>
    </row>
    <row r="482" spans="1:22" s="468" customFormat="1" ht="30">
      <c r="A482" s="621"/>
      <c r="B482" s="613"/>
      <c r="C482" s="630">
        <v>4010</v>
      </c>
      <c r="D482" s="477" t="s">
        <v>417</v>
      </c>
      <c r="E482" s="529">
        <f t="shared" si="85"/>
        <v>420630</v>
      </c>
      <c r="F482" s="472">
        <f t="shared" si="86"/>
        <v>420630</v>
      </c>
      <c r="G482" s="472">
        <f t="shared" si="87"/>
        <v>420630</v>
      </c>
      <c r="H482" s="478"/>
      <c r="I482" s="472">
        <f t="shared" si="88"/>
        <v>420630</v>
      </c>
      <c r="J482" s="478">
        <v>420630</v>
      </c>
      <c r="K482" s="478"/>
      <c r="L482" s="478"/>
      <c r="M482" s="478"/>
      <c r="N482" s="478"/>
      <c r="O482" s="478"/>
      <c r="P482" s="478"/>
      <c r="Q482" s="478"/>
      <c r="R482" s="478"/>
      <c r="S482" s="472">
        <f t="shared" si="89"/>
        <v>0</v>
      </c>
      <c r="T482" s="478"/>
      <c r="U482" s="478"/>
      <c r="V482" s="478"/>
    </row>
    <row r="483" spans="1:22" s="468" customFormat="1" ht="30">
      <c r="A483" s="621"/>
      <c r="B483" s="613"/>
      <c r="C483" s="630">
        <v>4040</v>
      </c>
      <c r="D483" s="477" t="s">
        <v>418</v>
      </c>
      <c r="E483" s="529">
        <f t="shared" si="85"/>
        <v>32098</v>
      </c>
      <c r="F483" s="472">
        <f t="shared" si="86"/>
        <v>32098</v>
      </c>
      <c r="G483" s="472">
        <f t="shared" si="87"/>
        <v>32098</v>
      </c>
      <c r="H483" s="478"/>
      <c r="I483" s="472">
        <f t="shared" si="88"/>
        <v>32098</v>
      </c>
      <c r="J483" s="478"/>
      <c r="K483" s="478">
        <v>32098</v>
      </c>
      <c r="L483" s="478"/>
      <c r="M483" s="478"/>
      <c r="N483" s="478"/>
      <c r="O483" s="478"/>
      <c r="P483" s="478"/>
      <c r="Q483" s="478"/>
      <c r="R483" s="478"/>
      <c r="S483" s="472">
        <f t="shared" si="89"/>
        <v>0</v>
      </c>
      <c r="T483" s="478"/>
      <c r="U483" s="478"/>
      <c r="V483" s="478"/>
    </row>
    <row r="484" spans="1:22" s="468" customFormat="1" ht="45">
      <c r="A484" s="621"/>
      <c r="B484" s="613"/>
      <c r="C484" s="630">
        <v>4110</v>
      </c>
      <c r="D484" s="477" t="s">
        <v>419</v>
      </c>
      <c r="E484" s="529">
        <f t="shared" si="85"/>
        <v>69000</v>
      </c>
      <c r="F484" s="472">
        <f t="shared" si="86"/>
        <v>69000</v>
      </c>
      <c r="G484" s="472">
        <f t="shared" si="87"/>
        <v>69000</v>
      </c>
      <c r="H484" s="478"/>
      <c r="I484" s="472">
        <f t="shared" si="88"/>
        <v>69000</v>
      </c>
      <c r="J484" s="478"/>
      <c r="K484" s="478"/>
      <c r="L484" s="478">
        <v>69000</v>
      </c>
      <c r="M484" s="478"/>
      <c r="N484" s="478"/>
      <c r="O484" s="478"/>
      <c r="P484" s="478"/>
      <c r="Q484" s="478"/>
      <c r="R484" s="478"/>
      <c r="S484" s="472">
        <f t="shared" si="89"/>
        <v>0</v>
      </c>
      <c r="T484" s="478"/>
      <c r="U484" s="478"/>
      <c r="V484" s="478"/>
    </row>
    <row r="485" spans="1:22" s="468" customFormat="1" ht="30">
      <c r="A485" s="621"/>
      <c r="B485" s="613"/>
      <c r="C485" s="630">
        <v>4120</v>
      </c>
      <c r="D485" s="477" t="s">
        <v>420</v>
      </c>
      <c r="E485" s="529">
        <f t="shared" si="85"/>
        <v>11000</v>
      </c>
      <c r="F485" s="472">
        <f t="shared" si="86"/>
        <v>11000</v>
      </c>
      <c r="G485" s="472">
        <f t="shared" si="87"/>
        <v>11000</v>
      </c>
      <c r="H485" s="478"/>
      <c r="I485" s="472">
        <f t="shared" si="88"/>
        <v>11000</v>
      </c>
      <c r="J485" s="478"/>
      <c r="K485" s="478"/>
      <c r="L485" s="478">
        <v>11000</v>
      </c>
      <c r="M485" s="478"/>
      <c r="N485" s="478"/>
      <c r="O485" s="478"/>
      <c r="P485" s="478"/>
      <c r="Q485" s="478"/>
      <c r="R485" s="478"/>
      <c r="S485" s="472">
        <f t="shared" si="89"/>
        <v>0</v>
      </c>
      <c r="T485" s="478"/>
      <c r="U485" s="478"/>
      <c r="V485" s="478"/>
    </row>
    <row r="486" spans="1:22" s="468" customFormat="1" ht="30">
      <c r="A486" s="621"/>
      <c r="B486" s="613"/>
      <c r="C486" s="630">
        <v>4170</v>
      </c>
      <c r="D486" s="477" t="s">
        <v>592</v>
      </c>
      <c r="E486" s="529">
        <f t="shared" si="85"/>
        <v>7800</v>
      </c>
      <c r="F486" s="472">
        <f t="shared" si="86"/>
        <v>7800</v>
      </c>
      <c r="G486" s="472">
        <f t="shared" si="87"/>
        <v>7800</v>
      </c>
      <c r="H486" s="478"/>
      <c r="I486" s="472">
        <f t="shared" si="88"/>
        <v>7800</v>
      </c>
      <c r="J486" s="478"/>
      <c r="K486" s="478"/>
      <c r="L486" s="478"/>
      <c r="M486" s="478">
        <v>7800</v>
      </c>
      <c r="N486" s="478"/>
      <c r="O486" s="478"/>
      <c r="P486" s="478"/>
      <c r="Q486" s="478"/>
      <c r="R486" s="478"/>
      <c r="S486" s="472">
        <f t="shared" si="89"/>
        <v>0</v>
      </c>
      <c r="T486" s="478"/>
      <c r="U486" s="478"/>
      <c r="V486" s="478"/>
    </row>
    <row r="487" spans="1:22" s="468" customFormat="1" ht="30">
      <c r="A487" s="621"/>
      <c r="B487" s="613"/>
      <c r="C487" s="630">
        <v>4210</v>
      </c>
      <c r="D487" s="477" t="s">
        <v>422</v>
      </c>
      <c r="E487" s="529">
        <f t="shared" si="85"/>
        <v>5902</v>
      </c>
      <c r="F487" s="472">
        <f t="shared" si="86"/>
        <v>5902</v>
      </c>
      <c r="G487" s="472">
        <f t="shared" si="87"/>
        <v>5902</v>
      </c>
      <c r="H487" s="478">
        <v>5902</v>
      </c>
      <c r="I487" s="472">
        <f t="shared" si="88"/>
        <v>0</v>
      </c>
      <c r="J487" s="478"/>
      <c r="K487" s="478"/>
      <c r="L487" s="478"/>
      <c r="M487" s="478"/>
      <c r="N487" s="478"/>
      <c r="O487" s="478"/>
      <c r="P487" s="478"/>
      <c r="Q487" s="478"/>
      <c r="R487" s="478"/>
      <c r="S487" s="472">
        <f t="shared" si="89"/>
        <v>0</v>
      </c>
      <c r="T487" s="478"/>
      <c r="U487" s="478"/>
      <c r="V487" s="478"/>
    </row>
    <row r="488" spans="1:22" s="468" customFormat="1" ht="45">
      <c r="A488" s="621"/>
      <c r="B488" s="613"/>
      <c r="C488" s="630">
        <v>4230</v>
      </c>
      <c r="D488" s="477" t="s">
        <v>23</v>
      </c>
      <c r="E488" s="529">
        <f t="shared" si="85"/>
        <v>100</v>
      </c>
      <c r="F488" s="472">
        <f t="shared" si="86"/>
        <v>100</v>
      </c>
      <c r="G488" s="472">
        <f t="shared" si="87"/>
        <v>100</v>
      </c>
      <c r="H488" s="478">
        <v>100</v>
      </c>
      <c r="I488" s="472">
        <f t="shared" si="88"/>
        <v>0</v>
      </c>
      <c r="J488" s="478"/>
      <c r="K488" s="478"/>
      <c r="L488" s="478"/>
      <c r="M488" s="478"/>
      <c r="N488" s="478"/>
      <c r="O488" s="478"/>
      <c r="P488" s="478"/>
      <c r="Q488" s="478"/>
      <c r="R488" s="478"/>
      <c r="S488" s="472">
        <f t="shared" si="89"/>
        <v>0</v>
      </c>
      <c r="T488" s="478"/>
      <c r="U488" s="478"/>
      <c r="V488" s="478"/>
    </row>
    <row r="489" spans="1:22" s="468" customFormat="1" ht="15.75">
      <c r="A489" s="621"/>
      <c r="B489" s="613"/>
      <c r="C489" s="630">
        <v>4260</v>
      </c>
      <c r="D489" s="477" t="s">
        <v>423</v>
      </c>
      <c r="E489" s="529">
        <f t="shared" si="85"/>
        <v>13030</v>
      </c>
      <c r="F489" s="472">
        <f t="shared" si="86"/>
        <v>13030</v>
      </c>
      <c r="G489" s="472">
        <f t="shared" si="87"/>
        <v>13030</v>
      </c>
      <c r="H489" s="478">
        <v>13030</v>
      </c>
      <c r="I489" s="472">
        <f t="shared" si="88"/>
        <v>0</v>
      </c>
      <c r="J489" s="478"/>
      <c r="K489" s="478"/>
      <c r="L489" s="478"/>
      <c r="M489" s="478"/>
      <c r="N489" s="478"/>
      <c r="O489" s="478"/>
      <c r="P489" s="478"/>
      <c r="Q489" s="478"/>
      <c r="R489" s="478"/>
      <c r="S489" s="472">
        <f t="shared" si="89"/>
        <v>0</v>
      </c>
      <c r="T489" s="478"/>
      <c r="U489" s="478"/>
      <c r="V489" s="478"/>
    </row>
    <row r="490" spans="1:22" s="468" customFormat="1" ht="30">
      <c r="A490" s="621"/>
      <c r="B490" s="613"/>
      <c r="C490" s="630">
        <v>4270</v>
      </c>
      <c r="D490" s="477" t="s">
        <v>424</v>
      </c>
      <c r="E490" s="529">
        <f t="shared" si="85"/>
        <v>1400</v>
      </c>
      <c r="F490" s="472">
        <f t="shared" si="86"/>
        <v>1400</v>
      </c>
      <c r="G490" s="472">
        <f t="shared" si="87"/>
        <v>1400</v>
      </c>
      <c r="H490" s="478">
        <v>1400</v>
      </c>
      <c r="I490" s="472">
        <f t="shared" si="88"/>
        <v>0</v>
      </c>
      <c r="J490" s="478"/>
      <c r="K490" s="478"/>
      <c r="L490" s="478"/>
      <c r="M490" s="478"/>
      <c r="N490" s="478"/>
      <c r="O490" s="478"/>
      <c r="P490" s="478"/>
      <c r="Q490" s="478"/>
      <c r="R490" s="478"/>
      <c r="S490" s="472">
        <f t="shared" si="89"/>
        <v>0</v>
      </c>
      <c r="T490" s="478"/>
      <c r="U490" s="478"/>
      <c r="V490" s="478"/>
    </row>
    <row r="491" spans="1:22" s="468" customFormat="1" ht="34.5" customHeight="1">
      <c r="A491" s="621"/>
      <c r="B491" s="613"/>
      <c r="C491" s="630">
        <v>4280</v>
      </c>
      <c r="D491" s="477" t="s">
        <v>425</v>
      </c>
      <c r="E491" s="529">
        <f t="shared" si="85"/>
        <v>466</v>
      </c>
      <c r="F491" s="472">
        <f t="shared" si="86"/>
        <v>466</v>
      </c>
      <c r="G491" s="472">
        <f t="shared" si="87"/>
        <v>466</v>
      </c>
      <c r="H491" s="478">
        <v>466</v>
      </c>
      <c r="I491" s="472">
        <f t="shared" si="88"/>
        <v>0</v>
      </c>
      <c r="J491" s="478"/>
      <c r="K491" s="478"/>
      <c r="L491" s="478"/>
      <c r="M491" s="478"/>
      <c r="N491" s="478"/>
      <c r="O491" s="478"/>
      <c r="P491" s="478"/>
      <c r="Q491" s="478"/>
      <c r="R491" s="478"/>
      <c r="S491" s="472">
        <f t="shared" si="89"/>
        <v>0</v>
      </c>
      <c r="T491" s="478"/>
      <c r="U491" s="478"/>
      <c r="V491" s="478"/>
    </row>
    <row r="492" spans="1:22" s="468" customFormat="1" ht="30">
      <c r="A492" s="621"/>
      <c r="B492" s="613"/>
      <c r="C492" s="630">
        <v>4300</v>
      </c>
      <c r="D492" s="477" t="s">
        <v>405</v>
      </c>
      <c r="E492" s="529">
        <f t="shared" si="85"/>
        <v>27300</v>
      </c>
      <c r="F492" s="472">
        <f t="shared" si="86"/>
        <v>27300</v>
      </c>
      <c r="G492" s="472">
        <f t="shared" si="87"/>
        <v>27300</v>
      </c>
      <c r="H492" s="478">
        <v>27300</v>
      </c>
      <c r="I492" s="472">
        <f t="shared" si="88"/>
        <v>0</v>
      </c>
      <c r="J492" s="478"/>
      <c r="K492" s="478"/>
      <c r="L492" s="478"/>
      <c r="M492" s="478"/>
      <c r="N492" s="478"/>
      <c r="O492" s="478"/>
      <c r="P492" s="478"/>
      <c r="Q492" s="478"/>
      <c r="R492" s="478"/>
      <c r="S492" s="472">
        <f t="shared" si="89"/>
        <v>0</v>
      </c>
      <c r="T492" s="478"/>
      <c r="U492" s="478"/>
      <c r="V492" s="478"/>
    </row>
    <row r="493" spans="1:22" s="468" customFormat="1" ht="37.5" customHeight="1">
      <c r="A493" s="621"/>
      <c r="B493" s="613"/>
      <c r="C493" s="630">
        <v>4350</v>
      </c>
      <c r="D493" s="477" t="s">
        <v>426</v>
      </c>
      <c r="E493" s="529">
        <f t="shared" si="85"/>
        <v>2400</v>
      </c>
      <c r="F493" s="472">
        <f t="shared" si="86"/>
        <v>2400</v>
      </c>
      <c r="G493" s="472">
        <f t="shared" si="87"/>
        <v>2400</v>
      </c>
      <c r="H493" s="478">
        <v>2400</v>
      </c>
      <c r="I493" s="472">
        <f t="shared" si="88"/>
        <v>0</v>
      </c>
      <c r="J493" s="478"/>
      <c r="K493" s="478"/>
      <c r="L493" s="478"/>
      <c r="M493" s="478"/>
      <c r="N493" s="478"/>
      <c r="O493" s="478"/>
      <c r="P493" s="478"/>
      <c r="Q493" s="478"/>
      <c r="R493" s="478"/>
      <c r="S493" s="472">
        <f t="shared" si="89"/>
        <v>0</v>
      </c>
      <c r="T493" s="478"/>
      <c r="U493" s="478"/>
      <c r="V493" s="478"/>
    </row>
    <row r="494" spans="1:22" s="468" customFormat="1" ht="60">
      <c r="A494" s="621"/>
      <c r="B494" s="613"/>
      <c r="C494" s="630">
        <v>4360</v>
      </c>
      <c r="D494" s="477" t="s">
        <v>567</v>
      </c>
      <c r="E494" s="529">
        <f t="shared" si="85"/>
        <v>1100</v>
      </c>
      <c r="F494" s="472">
        <f t="shared" si="86"/>
        <v>1100</v>
      </c>
      <c r="G494" s="472">
        <f t="shared" si="87"/>
        <v>1100</v>
      </c>
      <c r="H494" s="478">
        <v>1100</v>
      </c>
      <c r="I494" s="472">
        <f t="shared" si="88"/>
        <v>0</v>
      </c>
      <c r="J494" s="478"/>
      <c r="K494" s="478"/>
      <c r="L494" s="478"/>
      <c r="M494" s="478"/>
      <c r="N494" s="478"/>
      <c r="O494" s="478"/>
      <c r="P494" s="478"/>
      <c r="Q494" s="478"/>
      <c r="R494" s="478"/>
      <c r="S494" s="472">
        <f t="shared" si="89"/>
        <v>0</v>
      </c>
      <c r="T494" s="478"/>
      <c r="U494" s="478"/>
      <c r="V494" s="478"/>
    </row>
    <row r="495" spans="1:22" s="468" customFormat="1" ht="60">
      <c r="A495" s="621"/>
      <c r="B495" s="613"/>
      <c r="C495" s="630">
        <v>4370</v>
      </c>
      <c r="D495" s="477" t="s">
        <v>560</v>
      </c>
      <c r="E495" s="529">
        <f t="shared" si="85"/>
        <v>7700</v>
      </c>
      <c r="F495" s="472">
        <f t="shared" si="86"/>
        <v>7700</v>
      </c>
      <c r="G495" s="472">
        <f t="shared" si="87"/>
        <v>7700</v>
      </c>
      <c r="H495" s="478">
        <v>7700</v>
      </c>
      <c r="I495" s="472">
        <f t="shared" si="88"/>
        <v>0</v>
      </c>
      <c r="J495" s="478"/>
      <c r="K495" s="478"/>
      <c r="L495" s="478"/>
      <c r="M495" s="478"/>
      <c r="N495" s="478"/>
      <c r="O495" s="478"/>
      <c r="P495" s="478"/>
      <c r="Q495" s="478"/>
      <c r="R495" s="478"/>
      <c r="S495" s="472">
        <f t="shared" si="89"/>
        <v>0</v>
      </c>
      <c r="T495" s="478"/>
      <c r="U495" s="478"/>
      <c r="V495" s="478"/>
    </row>
    <row r="496" spans="1:22" s="468" customFormat="1" ht="75">
      <c r="A496" s="621"/>
      <c r="B496" s="613"/>
      <c r="C496" s="630">
        <v>4400</v>
      </c>
      <c r="D496" s="477" t="s">
        <v>25</v>
      </c>
      <c r="E496" s="529">
        <f t="shared" si="85"/>
        <v>84760</v>
      </c>
      <c r="F496" s="472">
        <f t="shared" si="86"/>
        <v>84760</v>
      </c>
      <c r="G496" s="472">
        <f t="shared" si="87"/>
        <v>84760</v>
      </c>
      <c r="H496" s="478">
        <v>84760</v>
      </c>
      <c r="I496" s="472">
        <f t="shared" si="88"/>
        <v>0</v>
      </c>
      <c r="J496" s="478"/>
      <c r="K496" s="478"/>
      <c r="L496" s="478"/>
      <c r="M496" s="478"/>
      <c r="N496" s="478"/>
      <c r="O496" s="478"/>
      <c r="P496" s="478"/>
      <c r="Q496" s="478"/>
      <c r="R496" s="478"/>
      <c r="S496" s="472">
        <f t="shared" si="89"/>
        <v>0</v>
      </c>
      <c r="T496" s="478"/>
      <c r="U496" s="478"/>
      <c r="V496" s="478"/>
    </row>
    <row r="497" spans="1:22" s="468" customFormat="1" ht="30">
      <c r="A497" s="621"/>
      <c r="B497" s="613"/>
      <c r="C497" s="630">
        <v>4410</v>
      </c>
      <c r="D497" s="477" t="s">
        <v>430</v>
      </c>
      <c r="E497" s="529">
        <f t="shared" si="85"/>
        <v>4100</v>
      </c>
      <c r="F497" s="472">
        <f t="shared" si="86"/>
        <v>4100</v>
      </c>
      <c r="G497" s="472">
        <f t="shared" si="87"/>
        <v>4100</v>
      </c>
      <c r="H497" s="478">
        <v>4100</v>
      </c>
      <c r="I497" s="472">
        <f t="shared" si="88"/>
        <v>0</v>
      </c>
      <c r="J497" s="478"/>
      <c r="K497" s="478"/>
      <c r="L497" s="478"/>
      <c r="M497" s="478"/>
      <c r="N497" s="478"/>
      <c r="O497" s="478"/>
      <c r="P497" s="478"/>
      <c r="Q497" s="478"/>
      <c r="R497" s="478"/>
      <c r="S497" s="472">
        <f t="shared" si="89"/>
        <v>0</v>
      </c>
      <c r="T497" s="478"/>
      <c r="U497" s="478"/>
      <c r="V497" s="478"/>
    </row>
    <row r="498" spans="1:22" s="468" customFormat="1" ht="27" customHeight="1">
      <c r="A498" s="621"/>
      <c r="B498" s="613"/>
      <c r="C498" s="630">
        <v>4430</v>
      </c>
      <c r="D498" s="477" t="s">
        <v>431</v>
      </c>
      <c r="E498" s="529">
        <f t="shared" si="85"/>
        <v>514</v>
      </c>
      <c r="F498" s="472">
        <f t="shared" si="86"/>
        <v>514</v>
      </c>
      <c r="G498" s="472">
        <f t="shared" si="87"/>
        <v>514</v>
      </c>
      <c r="H498" s="478">
        <v>514</v>
      </c>
      <c r="I498" s="472">
        <f t="shared" si="88"/>
        <v>0</v>
      </c>
      <c r="J498" s="478"/>
      <c r="K498" s="478"/>
      <c r="L498" s="478"/>
      <c r="M498" s="478"/>
      <c r="N498" s="478"/>
      <c r="O498" s="478"/>
      <c r="P498" s="478"/>
      <c r="Q498" s="478"/>
      <c r="R498" s="478"/>
      <c r="S498" s="472">
        <f t="shared" si="89"/>
        <v>0</v>
      </c>
      <c r="T498" s="478"/>
      <c r="U498" s="478"/>
      <c r="V498" s="478"/>
    </row>
    <row r="499" spans="1:22" s="468" customFormat="1" ht="45">
      <c r="A499" s="621"/>
      <c r="B499" s="613"/>
      <c r="C499" s="630">
        <v>4440</v>
      </c>
      <c r="D499" s="477" t="s">
        <v>432</v>
      </c>
      <c r="E499" s="529">
        <f t="shared" si="85"/>
        <v>12836</v>
      </c>
      <c r="F499" s="472">
        <f t="shared" si="86"/>
        <v>12836</v>
      </c>
      <c r="G499" s="472">
        <f t="shared" si="87"/>
        <v>12836</v>
      </c>
      <c r="H499" s="478">
        <v>12836</v>
      </c>
      <c r="I499" s="472">
        <f t="shared" si="88"/>
        <v>0</v>
      </c>
      <c r="J499" s="478"/>
      <c r="K499" s="478"/>
      <c r="L499" s="478"/>
      <c r="M499" s="478"/>
      <c r="N499" s="478"/>
      <c r="O499" s="478"/>
      <c r="P499" s="478"/>
      <c r="Q499" s="478"/>
      <c r="R499" s="478"/>
      <c r="S499" s="472">
        <f t="shared" si="89"/>
        <v>0</v>
      </c>
      <c r="T499" s="478"/>
      <c r="U499" s="478"/>
      <c r="V499" s="478"/>
    </row>
    <row r="500" spans="1:22" s="468" customFormat="1" ht="30">
      <c r="A500" s="621"/>
      <c r="B500" s="613"/>
      <c r="C500" s="630">
        <v>4510</v>
      </c>
      <c r="D500" s="477" t="s">
        <v>743</v>
      </c>
      <c r="E500" s="529">
        <f t="shared" si="85"/>
        <v>100</v>
      </c>
      <c r="F500" s="472">
        <f t="shared" si="86"/>
        <v>100</v>
      </c>
      <c r="G500" s="472">
        <f t="shared" si="87"/>
        <v>100</v>
      </c>
      <c r="H500" s="478">
        <v>100</v>
      </c>
      <c r="I500" s="472">
        <f t="shared" si="88"/>
        <v>0</v>
      </c>
      <c r="J500" s="478"/>
      <c r="K500" s="478"/>
      <c r="L500" s="478"/>
      <c r="M500" s="478"/>
      <c r="N500" s="478"/>
      <c r="O500" s="478"/>
      <c r="P500" s="478"/>
      <c r="Q500" s="478"/>
      <c r="R500" s="478"/>
      <c r="S500" s="472">
        <f t="shared" si="89"/>
        <v>0</v>
      </c>
      <c r="T500" s="478"/>
      <c r="U500" s="478"/>
      <c r="V500" s="478"/>
    </row>
    <row r="501" spans="1:22" s="468" customFormat="1" ht="45">
      <c r="A501" s="621"/>
      <c r="B501" s="613"/>
      <c r="C501" s="630">
        <v>4700</v>
      </c>
      <c r="D501" s="477" t="s">
        <v>708</v>
      </c>
      <c r="E501" s="529">
        <f t="shared" si="85"/>
        <v>2600</v>
      </c>
      <c r="F501" s="472">
        <f t="shared" si="86"/>
        <v>2600</v>
      </c>
      <c r="G501" s="472">
        <f t="shared" si="87"/>
        <v>2600</v>
      </c>
      <c r="H501" s="478">
        <v>2600</v>
      </c>
      <c r="I501" s="472">
        <f t="shared" si="88"/>
        <v>0</v>
      </c>
      <c r="J501" s="478"/>
      <c r="K501" s="478"/>
      <c r="L501" s="478"/>
      <c r="M501" s="478"/>
      <c r="N501" s="478"/>
      <c r="O501" s="478"/>
      <c r="P501" s="478"/>
      <c r="Q501" s="478"/>
      <c r="R501" s="478"/>
      <c r="S501" s="472">
        <f t="shared" si="89"/>
        <v>0</v>
      </c>
      <c r="T501" s="478"/>
      <c r="U501" s="478"/>
      <c r="V501" s="478"/>
    </row>
    <row r="502" spans="1:22" s="468" customFormat="1" ht="60">
      <c r="A502" s="621"/>
      <c r="B502" s="613"/>
      <c r="C502" s="630">
        <v>4740</v>
      </c>
      <c r="D502" s="477" t="s">
        <v>521</v>
      </c>
      <c r="E502" s="529">
        <f t="shared" si="85"/>
        <v>614</v>
      </c>
      <c r="F502" s="472">
        <f t="shared" si="86"/>
        <v>614</v>
      </c>
      <c r="G502" s="472">
        <f t="shared" si="87"/>
        <v>614</v>
      </c>
      <c r="H502" s="478">
        <v>614</v>
      </c>
      <c r="I502" s="472">
        <f t="shared" si="88"/>
        <v>0</v>
      </c>
      <c r="J502" s="478"/>
      <c r="K502" s="478"/>
      <c r="L502" s="478"/>
      <c r="M502" s="478"/>
      <c r="N502" s="478"/>
      <c r="O502" s="478"/>
      <c r="P502" s="478"/>
      <c r="Q502" s="478"/>
      <c r="R502" s="478"/>
      <c r="S502" s="472">
        <f t="shared" si="89"/>
        <v>0</v>
      </c>
      <c r="T502" s="478"/>
      <c r="U502" s="478"/>
      <c r="V502" s="478"/>
    </row>
    <row r="503" spans="1:22" s="468" customFormat="1" ht="45">
      <c r="A503" s="621"/>
      <c r="B503" s="613"/>
      <c r="C503" s="630">
        <v>4750</v>
      </c>
      <c r="D503" s="477" t="s">
        <v>561</v>
      </c>
      <c r="E503" s="529">
        <f t="shared" si="85"/>
        <v>7300</v>
      </c>
      <c r="F503" s="472">
        <f t="shared" si="86"/>
        <v>7300</v>
      </c>
      <c r="G503" s="472">
        <f t="shared" si="87"/>
        <v>7300</v>
      </c>
      <c r="H503" s="478">
        <v>7300</v>
      </c>
      <c r="I503" s="472">
        <f t="shared" si="88"/>
        <v>0</v>
      </c>
      <c r="J503" s="478"/>
      <c r="K503" s="478"/>
      <c r="L503" s="478"/>
      <c r="M503" s="478"/>
      <c r="N503" s="478"/>
      <c r="O503" s="478"/>
      <c r="P503" s="478"/>
      <c r="Q503" s="478"/>
      <c r="R503" s="478"/>
      <c r="S503" s="472">
        <f t="shared" si="89"/>
        <v>0</v>
      </c>
      <c r="T503" s="478"/>
      <c r="U503" s="478"/>
      <c r="V503" s="478"/>
    </row>
    <row r="504" spans="1:22" s="468" customFormat="1" ht="30">
      <c r="A504" s="611"/>
      <c r="B504" s="611"/>
      <c r="C504" s="630">
        <v>6050</v>
      </c>
      <c r="D504" s="480" t="s">
        <v>39</v>
      </c>
      <c r="E504" s="529">
        <f t="shared" si="85"/>
        <v>24000</v>
      </c>
      <c r="F504" s="472">
        <f t="shared" si="86"/>
        <v>0</v>
      </c>
      <c r="G504" s="472">
        <f t="shared" si="87"/>
        <v>0</v>
      </c>
      <c r="H504" s="478"/>
      <c r="I504" s="472">
        <f t="shared" si="88"/>
        <v>0</v>
      </c>
      <c r="J504" s="478"/>
      <c r="K504" s="478"/>
      <c r="L504" s="478"/>
      <c r="M504" s="478"/>
      <c r="N504" s="478"/>
      <c r="O504" s="478"/>
      <c r="P504" s="478"/>
      <c r="Q504" s="478"/>
      <c r="R504" s="478"/>
      <c r="S504" s="472">
        <f t="shared" si="89"/>
        <v>24000</v>
      </c>
      <c r="T504" s="478">
        <v>24000</v>
      </c>
      <c r="U504" s="478"/>
      <c r="V504" s="478"/>
    </row>
    <row r="505" spans="1:22" s="476" customFormat="1" ht="94.5">
      <c r="A505" s="620"/>
      <c r="B505" s="612">
        <v>85220</v>
      </c>
      <c r="C505" s="629"/>
      <c r="D505" s="271" t="s">
        <v>597</v>
      </c>
      <c r="E505" s="529">
        <f t="shared" si="85"/>
        <v>3160</v>
      </c>
      <c r="F505" s="472">
        <f t="shared" si="86"/>
        <v>3160</v>
      </c>
      <c r="G505" s="472">
        <f t="shared" si="87"/>
        <v>3160</v>
      </c>
      <c r="H505" s="475">
        <f>SUM(H506:H516)</f>
        <v>1000</v>
      </c>
      <c r="I505" s="472">
        <f t="shared" si="88"/>
        <v>2160</v>
      </c>
      <c r="J505" s="475">
        <f aca="true" t="shared" si="92" ref="J505:R505">SUM(J506:J515)</f>
        <v>0</v>
      </c>
      <c r="K505" s="475">
        <f t="shared" si="92"/>
        <v>0</v>
      </c>
      <c r="L505" s="475">
        <f t="shared" si="92"/>
        <v>0</v>
      </c>
      <c r="M505" s="475">
        <f t="shared" si="92"/>
        <v>2160</v>
      </c>
      <c r="N505" s="475">
        <f t="shared" si="92"/>
        <v>0</v>
      </c>
      <c r="O505" s="475">
        <f t="shared" si="92"/>
        <v>0</v>
      </c>
      <c r="P505" s="475">
        <f>SUM(P506:P515)</f>
        <v>0</v>
      </c>
      <c r="Q505" s="475">
        <f t="shared" si="92"/>
        <v>0</v>
      </c>
      <c r="R505" s="475">
        <f t="shared" si="92"/>
        <v>0</v>
      </c>
      <c r="S505" s="472">
        <f t="shared" si="89"/>
        <v>0</v>
      </c>
      <c r="T505" s="475">
        <f>SUM(T506:T515)</f>
        <v>0</v>
      </c>
      <c r="U505" s="475">
        <f>SUM(U506:U515)</f>
        <v>0</v>
      </c>
      <c r="V505" s="475">
        <f>SUM(V506:V515)</f>
        <v>0</v>
      </c>
    </row>
    <row r="506" spans="1:22" s="468" customFormat="1" ht="30" customHeight="1" hidden="1">
      <c r="A506" s="621"/>
      <c r="B506" s="613"/>
      <c r="C506" s="630">
        <v>4010</v>
      </c>
      <c r="D506" s="477" t="s">
        <v>417</v>
      </c>
      <c r="E506" s="529">
        <f t="shared" si="85"/>
        <v>0</v>
      </c>
      <c r="F506" s="472">
        <f t="shared" si="86"/>
        <v>0</v>
      </c>
      <c r="G506" s="472">
        <f t="shared" si="87"/>
        <v>0</v>
      </c>
      <c r="H506" s="478"/>
      <c r="I506" s="472">
        <f t="shared" si="88"/>
        <v>0</v>
      </c>
      <c r="J506" s="478"/>
      <c r="K506" s="478"/>
      <c r="L506" s="478"/>
      <c r="M506" s="478"/>
      <c r="N506" s="478"/>
      <c r="O506" s="478"/>
      <c r="P506" s="478"/>
      <c r="Q506" s="478"/>
      <c r="R506" s="478"/>
      <c r="S506" s="472">
        <f t="shared" si="89"/>
        <v>0</v>
      </c>
      <c r="T506" s="478"/>
      <c r="U506" s="478"/>
      <c r="V506" s="478"/>
    </row>
    <row r="507" spans="1:22" s="468" customFormat="1" ht="30" customHeight="1" hidden="1">
      <c r="A507" s="621"/>
      <c r="B507" s="613"/>
      <c r="C507" s="630">
        <v>4040</v>
      </c>
      <c r="D507" s="477" t="s">
        <v>418</v>
      </c>
      <c r="E507" s="529">
        <f t="shared" si="85"/>
        <v>0</v>
      </c>
      <c r="F507" s="472">
        <f t="shared" si="86"/>
        <v>0</v>
      </c>
      <c r="G507" s="472">
        <f t="shared" si="87"/>
        <v>0</v>
      </c>
      <c r="H507" s="478"/>
      <c r="I507" s="472">
        <f t="shared" si="88"/>
        <v>0</v>
      </c>
      <c r="J507" s="478"/>
      <c r="K507" s="478"/>
      <c r="L507" s="478"/>
      <c r="M507" s="478"/>
      <c r="N507" s="478"/>
      <c r="O507" s="478"/>
      <c r="P507" s="478"/>
      <c r="Q507" s="478"/>
      <c r="R507" s="478"/>
      <c r="S507" s="472">
        <f t="shared" si="89"/>
        <v>0</v>
      </c>
      <c r="T507" s="478"/>
      <c r="U507" s="478"/>
      <c r="V507" s="478"/>
    </row>
    <row r="508" spans="1:22" s="468" customFormat="1" ht="45" customHeight="1" hidden="1">
      <c r="A508" s="621"/>
      <c r="B508" s="613"/>
      <c r="C508" s="630">
        <v>4110</v>
      </c>
      <c r="D508" s="477" t="s">
        <v>419</v>
      </c>
      <c r="E508" s="529">
        <f t="shared" si="85"/>
        <v>0</v>
      </c>
      <c r="F508" s="472">
        <f t="shared" si="86"/>
        <v>0</v>
      </c>
      <c r="G508" s="472">
        <f t="shared" si="87"/>
        <v>0</v>
      </c>
      <c r="H508" s="478"/>
      <c r="I508" s="472">
        <f t="shared" si="88"/>
        <v>0</v>
      </c>
      <c r="J508" s="478"/>
      <c r="K508" s="478"/>
      <c r="L508" s="478"/>
      <c r="M508" s="478"/>
      <c r="N508" s="478"/>
      <c r="O508" s="478"/>
      <c r="P508" s="478"/>
      <c r="Q508" s="478"/>
      <c r="R508" s="478"/>
      <c r="S508" s="472">
        <f t="shared" si="89"/>
        <v>0</v>
      </c>
      <c r="T508" s="478"/>
      <c r="U508" s="478"/>
      <c r="V508" s="478"/>
    </row>
    <row r="509" spans="1:22" s="468" customFormat="1" ht="30" customHeight="1" hidden="1">
      <c r="A509" s="621"/>
      <c r="B509" s="613"/>
      <c r="C509" s="630">
        <v>4120</v>
      </c>
      <c r="D509" s="477" t="s">
        <v>420</v>
      </c>
      <c r="E509" s="529">
        <f t="shared" si="85"/>
        <v>0</v>
      </c>
      <c r="F509" s="472">
        <f t="shared" si="86"/>
        <v>0</v>
      </c>
      <c r="G509" s="472">
        <f t="shared" si="87"/>
        <v>0</v>
      </c>
      <c r="H509" s="478"/>
      <c r="I509" s="472">
        <f t="shared" si="88"/>
        <v>0</v>
      </c>
      <c r="J509" s="478"/>
      <c r="K509" s="478"/>
      <c r="L509" s="478"/>
      <c r="M509" s="478"/>
      <c r="N509" s="478"/>
      <c r="O509" s="478"/>
      <c r="P509" s="478"/>
      <c r="Q509" s="478"/>
      <c r="R509" s="478"/>
      <c r="S509" s="472">
        <f t="shared" si="89"/>
        <v>0</v>
      </c>
      <c r="T509" s="478"/>
      <c r="U509" s="478"/>
      <c r="V509" s="478"/>
    </row>
    <row r="510" spans="1:22" s="468" customFormat="1" ht="30">
      <c r="A510" s="621"/>
      <c r="B510" s="613"/>
      <c r="C510" s="630">
        <v>4170</v>
      </c>
      <c r="D510" s="477" t="s">
        <v>541</v>
      </c>
      <c r="E510" s="529">
        <f t="shared" si="85"/>
        <v>2160</v>
      </c>
      <c r="F510" s="472">
        <f t="shared" si="86"/>
        <v>2160</v>
      </c>
      <c r="G510" s="472">
        <f t="shared" si="87"/>
        <v>2160</v>
      </c>
      <c r="H510" s="478"/>
      <c r="I510" s="472">
        <f t="shared" si="88"/>
        <v>2160</v>
      </c>
      <c r="J510" s="478"/>
      <c r="K510" s="478"/>
      <c r="L510" s="478"/>
      <c r="M510" s="478">
        <v>2160</v>
      </c>
      <c r="N510" s="478"/>
      <c r="O510" s="478"/>
      <c r="P510" s="478"/>
      <c r="Q510" s="478"/>
      <c r="R510" s="478"/>
      <c r="S510" s="472">
        <f t="shared" si="89"/>
        <v>0</v>
      </c>
      <c r="T510" s="478"/>
      <c r="U510" s="478"/>
      <c r="V510" s="478"/>
    </row>
    <row r="511" spans="1:22" s="468" customFormat="1" ht="30">
      <c r="A511" s="621"/>
      <c r="B511" s="613"/>
      <c r="C511" s="630">
        <v>4210</v>
      </c>
      <c r="D511" s="477" t="s">
        <v>422</v>
      </c>
      <c r="E511" s="529">
        <f t="shared" si="85"/>
        <v>268</v>
      </c>
      <c r="F511" s="472">
        <f t="shared" si="86"/>
        <v>268</v>
      </c>
      <c r="G511" s="472">
        <f t="shared" si="87"/>
        <v>268</v>
      </c>
      <c r="H511" s="478">
        <v>268</v>
      </c>
      <c r="I511" s="472">
        <f t="shared" si="88"/>
        <v>0</v>
      </c>
      <c r="J511" s="478"/>
      <c r="K511" s="478"/>
      <c r="L511" s="478"/>
      <c r="M511" s="478"/>
      <c r="N511" s="478"/>
      <c r="O511" s="478"/>
      <c r="P511" s="478"/>
      <c r="Q511" s="478"/>
      <c r="R511" s="478"/>
      <c r="S511" s="472">
        <f t="shared" si="89"/>
        <v>0</v>
      </c>
      <c r="T511" s="478"/>
      <c r="U511" s="478"/>
      <c r="V511" s="478"/>
    </row>
    <row r="512" spans="1:22" s="468" customFormat="1" ht="25.5" customHeight="1">
      <c r="A512" s="621"/>
      <c r="B512" s="613"/>
      <c r="C512" s="630">
        <v>4300</v>
      </c>
      <c r="D512" s="477" t="s">
        <v>520</v>
      </c>
      <c r="E512" s="529">
        <f t="shared" si="85"/>
        <v>0</v>
      </c>
      <c r="F512" s="472">
        <f t="shared" si="86"/>
        <v>0</v>
      </c>
      <c r="G512" s="472">
        <f t="shared" si="87"/>
        <v>0</v>
      </c>
      <c r="H512" s="478"/>
      <c r="I512" s="472">
        <f t="shared" si="88"/>
        <v>0</v>
      </c>
      <c r="J512" s="478"/>
      <c r="K512" s="478"/>
      <c r="L512" s="478"/>
      <c r="M512" s="478"/>
      <c r="N512" s="478"/>
      <c r="O512" s="478"/>
      <c r="P512" s="478"/>
      <c r="Q512" s="478"/>
      <c r="R512" s="478"/>
      <c r="S512" s="472">
        <f t="shared" si="89"/>
        <v>0</v>
      </c>
      <c r="T512" s="478"/>
      <c r="U512" s="478"/>
      <c r="V512" s="478"/>
    </row>
    <row r="513" spans="1:22" s="468" customFormat="1" ht="60">
      <c r="A513" s="621"/>
      <c r="B513" s="613"/>
      <c r="C513" s="630">
        <v>4360</v>
      </c>
      <c r="D513" s="477" t="s">
        <v>567</v>
      </c>
      <c r="E513" s="529">
        <f t="shared" si="85"/>
        <v>732</v>
      </c>
      <c r="F513" s="472">
        <f t="shared" si="86"/>
        <v>732</v>
      </c>
      <c r="G513" s="472">
        <f t="shared" si="87"/>
        <v>732</v>
      </c>
      <c r="H513" s="478">
        <v>732</v>
      </c>
      <c r="I513" s="472">
        <f t="shared" si="88"/>
        <v>0</v>
      </c>
      <c r="J513" s="478"/>
      <c r="K513" s="478"/>
      <c r="L513" s="478"/>
      <c r="M513" s="478"/>
      <c r="N513" s="478"/>
      <c r="O513" s="478"/>
      <c r="P513" s="478"/>
      <c r="Q513" s="478"/>
      <c r="R513" s="478"/>
      <c r="S513" s="472">
        <f t="shared" si="89"/>
        <v>0</v>
      </c>
      <c r="T513" s="478"/>
      <c r="U513" s="478"/>
      <c r="V513" s="478"/>
    </row>
    <row r="514" spans="1:22" s="468" customFormat="1" ht="30" customHeight="1" hidden="1">
      <c r="A514" s="621"/>
      <c r="B514" s="613"/>
      <c r="C514" s="630">
        <v>4410</v>
      </c>
      <c r="D514" s="477" t="s">
        <v>430</v>
      </c>
      <c r="E514" s="529">
        <f t="shared" si="85"/>
        <v>0</v>
      </c>
      <c r="F514" s="472">
        <f t="shared" si="86"/>
        <v>0</v>
      </c>
      <c r="G514" s="472">
        <f t="shared" si="87"/>
        <v>0</v>
      </c>
      <c r="H514" s="478"/>
      <c r="I514" s="472">
        <f t="shared" si="88"/>
        <v>0</v>
      </c>
      <c r="J514" s="478"/>
      <c r="K514" s="478"/>
      <c r="L514" s="478"/>
      <c r="M514" s="478"/>
      <c r="N514" s="478"/>
      <c r="O514" s="478"/>
      <c r="P514" s="478"/>
      <c r="Q514" s="478"/>
      <c r="R514" s="478"/>
      <c r="S514" s="472">
        <f t="shared" si="89"/>
        <v>0</v>
      </c>
      <c r="T514" s="478"/>
      <c r="U514" s="478"/>
      <c r="V514" s="478"/>
    </row>
    <row r="515" spans="1:22" s="468" customFormat="1" ht="40.5" customHeight="1" hidden="1">
      <c r="A515" s="621"/>
      <c r="B515" s="613"/>
      <c r="C515" s="630">
        <v>4440</v>
      </c>
      <c r="D515" s="477" t="s">
        <v>432</v>
      </c>
      <c r="E515" s="529">
        <f t="shared" si="85"/>
        <v>0</v>
      </c>
      <c r="F515" s="472">
        <f t="shared" si="86"/>
        <v>0</v>
      </c>
      <c r="G515" s="472">
        <f t="shared" si="87"/>
        <v>0</v>
      </c>
      <c r="H515" s="478"/>
      <c r="I515" s="472">
        <f t="shared" si="88"/>
        <v>0</v>
      </c>
      <c r="J515" s="478"/>
      <c r="K515" s="478"/>
      <c r="L515" s="478"/>
      <c r="M515" s="478"/>
      <c r="N515" s="478"/>
      <c r="O515" s="478"/>
      <c r="P515" s="478"/>
      <c r="Q515" s="478"/>
      <c r="R515" s="478"/>
      <c r="S515" s="472">
        <f t="shared" si="89"/>
        <v>0</v>
      </c>
      <c r="T515" s="478"/>
      <c r="U515" s="478"/>
      <c r="V515" s="478"/>
    </row>
    <row r="516" spans="1:22" s="468" customFormat="1" ht="45" customHeight="1" hidden="1">
      <c r="A516" s="621"/>
      <c r="B516" s="613"/>
      <c r="C516" s="630">
        <v>4700</v>
      </c>
      <c r="D516" s="477" t="s">
        <v>708</v>
      </c>
      <c r="E516" s="529">
        <f t="shared" si="85"/>
        <v>0</v>
      </c>
      <c r="F516" s="472">
        <f t="shared" si="86"/>
        <v>0</v>
      </c>
      <c r="G516" s="472">
        <f t="shared" si="87"/>
        <v>0</v>
      </c>
      <c r="H516" s="478"/>
      <c r="I516" s="472">
        <f t="shared" si="88"/>
        <v>0</v>
      </c>
      <c r="J516" s="478"/>
      <c r="K516" s="478"/>
      <c r="L516" s="478"/>
      <c r="M516" s="478"/>
      <c r="N516" s="478"/>
      <c r="O516" s="478"/>
      <c r="P516" s="478"/>
      <c r="Q516" s="478"/>
      <c r="R516" s="478"/>
      <c r="S516" s="472">
        <f t="shared" si="89"/>
        <v>0</v>
      </c>
      <c r="T516" s="478"/>
      <c r="U516" s="478"/>
      <c r="V516" s="478"/>
    </row>
    <row r="517" spans="1:22" s="476" customFormat="1" ht="47.25">
      <c r="A517" s="620"/>
      <c r="B517" s="612">
        <v>85233</v>
      </c>
      <c r="C517" s="629"/>
      <c r="D517" s="271" t="s">
        <v>598</v>
      </c>
      <c r="E517" s="529">
        <f t="shared" si="85"/>
        <v>4520</v>
      </c>
      <c r="F517" s="472">
        <f t="shared" si="86"/>
        <v>4520</v>
      </c>
      <c r="G517" s="472">
        <f t="shared" si="87"/>
        <v>4520</v>
      </c>
      <c r="H517" s="475">
        <f>SUM(H518:H519)</f>
        <v>4520</v>
      </c>
      <c r="I517" s="472">
        <f t="shared" si="88"/>
        <v>0</v>
      </c>
      <c r="J517" s="475">
        <f aca="true" t="shared" si="93" ref="J517:R517">SUM(J518:J519)</f>
        <v>0</v>
      </c>
      <c r="K517" s="475">
        <f t="shared" si="93"/>
        <v>0</v>
      </c>
      <c r="L517" s="475">
        <f t="shared" si="93"/>
        <v>0</v>
      </c>
      <c r="M517" s="475">
        <f t="shared" si="93"/>
        <v>0</v>
      </c>
      <c r="N517" s="475">
        <f t="shared" si="93"/>
        <v>0</v>
      </c>
      <c r="O517" s="475">
        <f t="shared" si="93"/>
        <v>0</v>
      </c>
      <c r="P517" s="475">
        <f>SUM(P518:P519)</f>
        <v>0</v>
      </c>
      <c r="Q517" s="475">
        <f t="shared" si="93"/>
        <v>0</v>
      </c>
      <c r="R517" s="475">
        <f t="shared" si="93"/>
        <v>0</v>
      </c>
      <c r="S517" s="472">
        <f t="shared" si="89"/>
        <v>0</v>
      </c>
      <c r="T517" s="475">
        <f>SUM(T518:T519)</f>
        <v>0</v>
      </c>
      <c r="U517" s="475">
        <f>SUM(U518:U519)</f>
        <v>0</v>
      </c>
      <c r="V517" s="475">
        <f>SUM(V518:V519)</f>
        <v>0</v>
      </c>
    </row>
    <row r="518" spans="1:22" s="468" customFormat="1" ht="15.75">
      <c r="A518" s="621"/>
      <c r="B518" s="613"/>
      <c r="C518" s="630">
        <v>4300</v>
      </c>
      <c r="D518" s="477" t="s">
        <v>520</v>
      </c>
      <c r="E518" s="529">
        <f t="shared" si="85"/>
        <v>3970</v>
      </c>
      <c r="F518" s="472">
        <f t="shared" si="86"/>
        <v>3970</v>
      </c>
      <c r="G518" s="472">
        <f t="shared" si="87"/>
        <v>3970</v>
      </c>
      <c r="H518" s="478">
        <v>3970</v>
      </c>
      <c r="I518" s="472">
        <f t="shared" si="88"/>
        <v>0</v>
      </c>
      <c r="J518" s="478"/>
      <c r="K518" s="478"/>
      <c r="L518" s="478"/>
      <c r="M518" s="478"/>
      <c r="N518" s="478"/>
      <c r="O518" s="478"/>
      <c r="P518" s="478"/>
      <c r="Q518" s="478"/>
      <c r="R518" s="478"/>
      <c r="S518" s="472">
        <f t="shared" si="89"/>
        <v>0</v>
      </c>
      <c r="T518" s="478"/>
      <c r="U518" s="478"/>
      <c r="V518" s="478"/>
    </row>
    <row r="519" spans="1:22" s="468" customFormat="1" ht="30">
      <c r="A519" s="621"/>
      <c r="B519" s="613"/>
      <c r="C519" s="630">
        <v>4410</v>
      </c>
      <c r="D519" s="477" t="s">
        <v>430</v>
      </c>
      <c r="E519" s="529">
        <f t="shared" si="85"/>
        <v>550</v>
      </c>
      <c r="F519" s="472">
        <f t="shared" si="86"/>
        <v>550</v>
      </c>
      <c r="G519" s="472">
        <f t="shared" si="87"/>
        <v>550</v>
      </c>
      <c r="H519" s="478">
        <v>550</v>
      </c>
      <c r="I519" s="472">
        <f t="shared" si="88"/>
        <v>0</v>
      </c>
      <c r="J519" s="478"/>
      <c r="K519" s="478"/>
      <c r="L519" s="478"/>
      <c r="M519" s="478"/>
      <c r="N519" s="478"/>
      <c r="O519" s="478"/>
      <c r="P519" s="478"/>
      <c r="Q519" s="478"/>
      <c r="R519" s="478"/>
      <c r="S519" s="472">
        <f t="shared" si="89"/>
        <v>0</v>
      </c>
      <c r="T519" s="478"/>
      <c r="U519" s="478"/>
      <c r="V519" s="478"/>
    </row>
    <row r="520" spans="1:22" s="476" customFormat="1" ht="15.75">
      <c r="A520" s="620"/>
      <c r="B520" s="612">
        <v>85295</v>
      </c>
      <c r="C520" s="629"/>
      <c r="D520" s="271" t="s">
        <v>599</v>
      </c>
      <c r="E520" s="529">
        <f t="shared" si="85"/>
        <v>2340</v>
      </c>
      <c r="F520" s="472">
        <f t="shared" si="86"/>
        <v>2340</v>
      </c>
      <c r="G520" s="472">
        <f t="shared" si="87"/>
        <v>2340</v>
      </c>
      <c r="H520" s="475">
        <f>SUM(H521:H524)</f>
        <v>1000</v>
      </c>
      <c r="I520" s="472">
        <f t="shared" si="88"/>
        <v>1340</v>
      </c>
      <c r="J520" s="475">
        <f aca="true" t="shared" si="94" ref="J520:R520">SUM(J521:J524)</f>
        <v>1130</v>
      </c>
      <c r="K520" s="475">
        <f t="shared" si="94"/>
        <v>0</v>
      </c>
      <c r="L520" s="475">
        <f t="shared" si="94"/>
        <v>210</v>
      </c>
      <c r="M520" s="475">
        <f t="shared" si="94"/>
        <v>0</v>
      </c>
      <c r="N520" s="475">
        <f t="shared" si="94"/>
        <v>0</v>
      </c>
      <c r="O520" s="475">
        <f t="shared" si="94"/>
        <v>0</v>
      </c>
      <c r="P520" s="475">
        <f>SUM(P521:P524)</f>
        <v>0</v>
      </c>
      <c r="Q520" s="475">
        <f t="shared" si="94"/>
        <v>0</v>
      </c>
      <c r="R520" s="475">
        <f t="shared" si="94"/>
        <v>0</v>
      </c>
      <c r="S520" s="472">
        <f t="shared" si="89"/>
        <v>0</v>
      </c>
      <c r="T520" s="475">
        <f>SUM(T521:T524)</f>
        <v>0</v>
      </c>
      <c r="U520" s="475">
        <f>SUM(U521:U524)</f>
        <v>0</v>
      </c>
      <c r="V520" s="475">
        <f>SUM(V521:V524)</f>
        <v>0</v>
      </c>
    </row>
    <row r="521" spans="1:22" s="468" customFormat="1" ht="45">
      <c r="A521" s="621"/>
      <c r="B521" s="613"/>
      <c r="C521" s="630">
        <v>4440</v>
      </c>
      <c r="D521" s="477" t="s">
        <v>432</v>
      </c>
      <c r="E521" s="529">
        <f t="shared" si="85"/>
        <v>1000</v>
      </c>
      <c r="F521" s="472">
        <f t="shared" si="86"/>
        <v>1000</v>
      </c>
      <c r="G521" s="472">
        <f t="shared" si="87"/>
        <v>1000</v>
      </c>
      <c r="H521" s="478">
        <v>1000</v>
      </c>
      <c r="I521" s="472">
        <f t="shared" si="88"/>
        <v>0</v>
      </c>
      <c r="J521" s="478"/>
      <c r="K521" s="478"/>
      <c r="L521" s="478"/>
      <c r="M521" s="478"/>
      <c r="N521" s="478"/>
      <c r="O521" s="478"/>
      <c r="P521" s="478"/>
      <c r="Q521" s="478"/>
      <c r="R521" s="478"/>
      <c r="S521" s="472">
        <f t="shared" si="89"/>
        <v>0</v>
      </c>
      <c r="T521" s="478"/>
      <c r="U521" s="478"/>
      <c r="V521" s="478"/>
    </row>
    <row r="522" spans="1:22" s="468" customFormat="1" ht="36.75" customHeight="1">
      <c r="A522" s="621"/>
      <c r="B522" s="613"/>
      <c r="C522" s="630">
        <v>4010</v>
      </c>
      <c r="D522" s="477" t="s">
        <v>692</v>
      </c>
      <c r="E522" s="529">
        <f t="shared" si="85"/>
        <v>1130</v>
      </c>
      <c r="F522" s="472">
        <f t="shared" si="86"/>
        <v>1130</v>
      </c>
      <c r="G522" s="472">
        <f t="shared" si="87"/>
        <v>1130</v>
      </c>
      <c r="H522" s="478"/>
      <c r="I522" s="472">
        <f t="shared" si="88"/>
        <v>1130</v>
      </c>
      <c r="J522" s="478">
        <v>1130</v>
      </c>
      <c r="K522" s="478"/>
      <c r="L522" s="478"/>
      <c r="M522" s="478"/>
      <c r="N522" s="478"/>
      <c r="O522" s="478"/>
      <c r="P522" s="478"/>
      <c r="Q522" s="478"/>
      <c r="R522" s="478"/>
      <c r="S522" s="472">
        <f t="shared" si="89"/>
        <v>0</v>
      </c>
      <c r="T522" s="478"/>
      <c r="U522" s="478"/>
      <c r="V522" s="478"/>
    </row>
    <row r="523" spans="1:22" s="468" customFormat="1" ht="45">
      <c r="A523" s="621"/>
      <c r="B523" s="613"/>
      <c r="C523" s="630">
        <v>4110</v>
      </c>
      <c r="D523" s="477" t="s">
        <v>556</v>
      </c>
      <c r="E523" s="529">
        <f t="shared" si="85"/>
        <v>180</v>
      </c>
      <c r="F523" s="472">
        <f t="shared" si="86"/>
        <v>180</v>
      </c>
      <c r="G523" s="472">
        <f t="shared" si="87"/>
        <v>180</v>
      </c>
      <c r="H523" s="478"/>
      <c r="I523" s="472">
        <f t="shared" si="88"/>
        <v>180</v>
      </c>
      <c r="J523" s="478"/>
      <c r="K523" s="478"/>
      <c r="L523" s="478">
        <v>180</v>
      </c>
      <c r="M523" s="478"/>
      <c r="N523" s="478"/>
      <c r="O523" s="478"/>
      <c r="P523" s="478"/>
      <c r="Q523" s="478"/>
      <c r="R523" s="478"/>
      <c r="S523" s="472">
        <f t="shared" si="89"/>
        <v>0</v>
      </c>
      <c r="T523" s="478"/>
      <c r="U523" s="478"/>
      <c r="V523" s="478"/>
    </row>
    <row r="524" spans="1:22" s="468" customFormat="1" ht="30">
      <c r="A524" s="621"/>
      <c r="B524" s="613"/>
      <c r="C524" s="630">
        <v>4120</v>
      </c>
      <c r="D524" s="477" t="s">
        <v>420</v>
      </c>
      <c r="E524" s="529">
        <f t="shared" si="85"/>
        <v>30</v>
      </c>
      <c r="F524" s="472">
        <f t="shared" si="86"/>
        <v>30</v>
      </c>
      <c r="G524" s="472">
        <f t="shared" si="87"/>
        <v>30</v>
      </c>
      <c r="H524" s="478"/>
      <c r="I524" s="472">
        <f t="shared" si="88"/>
        <v>30</v>
      </c>
      <c r="J524" s="478"/>
      <c r="K524" s="478"/>
      <c r="L524" s="478">
        <v>30</v>
      </c>
      <c r="M524" s="478"/>
      <c r="N524" s="478"/>
      <c r="O524" s="478"/>
      <c r="P524" s="478"/>
      <c r="Q524" s="478"/>
      <c r="R524" s="478"/>
      <c r="S524" s="472">
        <f t="shared" si="89"/>
        <v>0</v>
      </c>
      <c r="T524" s="478"/>
      <c r="U524" s="478"/>
      <c r="V524" s="478"/>
    </row>
    <row r="525" spans="1:22" s="473" customFormat="1" ht="63">
      <c r="A525" s="611">
        <v>853</v>
      </c>
      <c r="B525" s="611"/>
      <c r="C525" s="628"/>
      <c r="D525" s="320" t="s">
        <v>600</v>
      </c>
      <c r="E525" s="529">
        <f t="shared" si="85"/>
        <v>5645375</v>
      </c>
      <c r="F525" s="472">
        <f t="shared" si="86"/>
        <v>5634842</v>
      </c>
      <c r="G525" s="472">
        <f t="shared" si="87"/>
        <v>2590550</v>
      </c>
      <c r="H525" s="472">
        <f>SUM(H528+H544+H526+H577+H579)</f>
        <v>357890</v>
      </c>
      <c r="I525" s="472">
        <f t="shared" si="88"/>
        <v>2232660</v>
      </c>
      <c r="J525" s="472">
        <f aca="true" t="shared" si="95" ref="J525:R525">SUM(J528+J544+J526+J577+J579)</f>
        <v>1710700</v>
      </c>
      <c r="K525" s="472">
        <f t="shared" si="95"/>
        <v>132900</v>
      </c>
      <c r="L525" s="472">
        <f t="shared" si="95"/>
        <v>350180</v>
      </c>
      <c r="M525" s="472">
        <f t="shared" si="95"/>
        <v>38880</v>
      </c>
      <c r="N525" s="472">
        <f t="shared" si="95"/>
        <v>1000</v>
      </c>
      <c r="O525" s="472">
        <f t="shared" si="95"/>
        <v>20122</v>
      </c>
      <c r="P525" s="472">
        <f>SUM(P528+P544+P526+P577+P579)</f>
        <v>0</v>
      </c>
      <c r="Q525" s="472">
        <f t="shared" si="95"/>
        <v>0</v>
      </c>
      <c r="R525" s="472">
        <f t="shared" si="95"/>
        <v>3023170</v>
      </c>
      <c r="S525" s="472">
        <f t="shared" si="89"/>
        <v>10533</v>
      </c>
      <c r="T525" s="472">
        <f>SUM(T528+T544+T526+T577+T579)</f>
        <v>10533</v>
      </c>
      <c r="U525" s="472">
        <f>SUM(U528+U544+U526+U577+U579)</f>
        <v>4033</v>
      </c>
      <c r="V525" s="472">
        <f>SUM(V528+V544+V526+V577+V579)</f>
        <v>0</v>
      </c>
    </row>
    <row r="526" spans="1:22" s="476" customFormat="1" ht="63">
      <c r="A526" s="620"/>
      <c r="B526" s="612">
        <v>85311</v>
      </c>
      <c r="C526" s="629"/>
      <c r="D526" s="271" t="s">
        <v>429</v>
      </c>
      <c r="E526" s="529">
        <f t="shared" si="85"/>
        <v>20122</v>
      </c>
      <c r="F526" s="472">
        <f t="shared" si="86"/>
        <v>20122</v>
      </c>
      <c r="G526" s="472">
        <f t="shared" si="87"/>
        <v>0</v>
      </c>
      <c r="H526" s="475">
        <f aca="true" t="shared" si="96" ref="H526:V526">SUM(H527:H527)</f>
        <v>0</v>
      </c>
      <c r="I526" s="472">
        <f t="shared" si="88"/>
        <v>0</v>
      </c>
      <c r="J526" s="475">
        <f>SUM(J527:J527)</f>
        <v>0</v>
      </c>
      <c r="K526" s="475">
        <f t="shared" si="96"/>
        <v>0</v>
      </c>
      <c r="L526" s="475">
        <f t="shared" si="96"/>
        <v>0</v>
      </c>
      <c r="M526" s="475">
        <f t="shared" si="96"/>
        <v>0</v>
      </c>
      <c r="N526" s="475">
        <f t="shared" si="96"/>
        <v>0</v>
      </c>
      <c r="O526" s="475">
        <f t="shared" si="96"/>
        <v>20122</v>
      </c>
      <c r="P526" s="475">
        <f t="shared" si="96"/>
        <v>0</v>
      </c>
      <c r="Q526" s="475">
        <f t="shared" si="96"/>
        <v>0</v>
      </c>
      <c r="R526" s="475">
        <f t="shared" si="96"/>
        <v>0</v>
      </c>
      <c r="S526" s="472">
        <f t="shared" si="89"/>
        <v>0</v>
      </c>
      <c r="T526" s="475">
        <f t="shared" si="96"/>
        <v>0</v>
      </c>
      <c r="U526" s="475">
        <f t="shared" si="96"/>
        <v>0</v>
      </c>
      <c r="V526" s="475">
        <f t="shared" si="96"/>
        <v>0</v>
      </c>
    </row>
    <row r="527" spans="1:22" s="468" customFormat="1" ht="120">
      <c r="A527" s="621"/>
      <c r="B527" s="613"/>
      <c r="C527" s="630">
        <v>2320</v>
      </c>
      <c r="D527" s="477" t="s">
        <v>586</v>
      </c>
      <c r="E527" s="529">
        <f t="shared" si="85"/>
        <v>20122</v>
      </c>
      <c r="F527" s="472">
        <f t="shared" si="86"/>
        <v>20122</v>
      </c>
      <c r="G527" s="472">
        <f t="shared" si="87"/>
        <v>0</v>
      </c>
      <c r="H527" s="478"/>
      <c r="I527" s="472">
        <f t="shared" si="88"/>
        <v>0</v>
      </c>
      <c r="J527" s="478"/>
      <c r="K527" s="478"/>
      <c r="L527" s="478"/>
      <c r="M527" s="478"/>
      <c r="N527" s="478"/>
      <c r="O527" s="478">
        <v>20122</v>
      </c>
      <c r="P527" s="478"/>
      <c r="Q527" s="478"/>
      <c r="R527" s="478"/>
      <c r="S527" s="472">
        <f t="shared" si="89"/>
        <v>0</v>
      </c>
      <c r="T527" s="478"/>
      <c r="U527" s="478"/>
      <c r="V527" s="478"/>
    </row>
    <row r="528" spans="1:22" s="476" customFormat="1" ht="47.25">
      <c r="A528" s="612"/>
      <c r="B528" s="612">
        <v>85321</v>
      </c>
      <c r="C528" s="629"/>
      <c r="D528" s="271" t="s">
        <v>601</v>
      </c>
      <c r="E528" s="529">
        <f t="shared" si="85"/>
        <v>152030</v>
      </c>
      <c r="F528" s="472">
        <f t="shared" si="86"/>
        <v>152030</v>
      </c>
      <c r="G528" s="472">
        <f t="shared" si="87"/>
        <v>152030</v>
      </c>
      <c r="H528" s="475">
        <f>SUM(H529:H543)</f>
        <v>46350</v>
      </c>
      <c r="I528" s="472">
        <f t="shared" si="88"/>
        <v>105680</v>
      </c>
      <c r="J528" s="475">
        <f aca="true" t="shared" si="97" ref="J528:R528">SUM(J529:J543)</f>
        <v>48200</v>
      </c>
      <c r="K528" s="475">
        <f t="shared" si="97"/>
        <v>3900</v>
      </c>
      <c r="L528" s="475">
        <f t="shared" si="97"/>
        <v>14700</v>
      </c>
      <c r="M528" s="475">
        <f t="shared" si="97"/>
        <v>38880</v>
      </c>
      <c r="N528" s="475">
        <f t="shared" si="97"/>
        <v>0</v>
      </c>
      <c r="O528" s="475">
        <f t="shared" si="97"/>
        <v>0</v>
      </c>
      <c r="P528" s="475">
        <f>SUM(P529:P543)</f>
        <v>0</v>
      </c>
      <c r="Q528" s="475">
        <f t="shared" si="97"/>
        <v>0</v>
      </c>
      <c r="R528" s="475">
        <f t="shared" si="97"/>
        <v>0</v>
      </c>
      <c r="S528" s="472">
        <f t="shared" si="89"/>
        <v>0</v>
      </c>
      <c r="T528" s="475">
        <f>SUM(T529:T543)</f>
        <v>0</v>
      </c>
      <c r="U528" s="475">
        <f>SUM(U529:U543)</f>
        <v>0</v>
      </c>
      <c r="V528" s="475">
        <f>SUM(V529:V543)</f>
        <v>0</v>
      </c>
    </row>
    <row r="529" spans="1:22" s="468" customFormat="1" ht="30">
      <c r="A529" s="613"/>
      <c r="B529" s="613"/>
      <c r="C529" s="630">
        <v>4010</v>
      </c>
      <c r="D529" s="477" t="s">
        <v>417</v>
      </c>
      <c r="E529" s="529">
        <f aca="true" t="shared" si="98" ref="E529:E598">F529+S529</f>
        <v>48200</v>
      </c>
      <c r="F529" s="472">
        <f t="shared" si="86"/>
        <v>48200</v>
      </c>
      <c r="G529" s="472">
        <f t="shared" si="87"/>
        <v>48200</v>
      </c>
      <c r="H529" s="478"/>
      <c r="I529" s="472">
        <f t="shared" si="88"/>
        <v>48200</v>
      </c>
      <c r="J529" s="478">
        <v>48200</v>
      </c>
      <c r="K529" s="478"/>
      <c r="L529" s="478"/>
      <c r="M529" s="478"/>
      <c r="N529" s="478"/>
      <c r="O529" s="478"/>
      <c r="P529" s="478"/>
      <c r="Q529" s="478"/>
      <c r="R529" s="478"/>
      <c r="S529" s="472">
        <f t="shared" si="89"/>
        <v>0</v>
      </c>
      <c r="T529" s="478"/>
      <c r="U529" s="478"/>
      <c r="V529" s="478"/>
    </row>
    <row r="530" spans="1:22" s="468" customFormat="1" ht="32.25" customHeight="1">
      <c r="A530" s="613"/>
      <c r="B530" s="613"/>
      <c r="C530" s="630">
        <v>4040</v>
      </c>
      <c r="D530" s="477" t="s">
        <v>418</v>
      </c>
      <c r="E530" s="529">
        <f t="shared" si="98"/>
        <v>3900</v>
      </c>
      <c r="F530" s="472">
        <f aca="true" t="shared" si="99" ref="F530:F600">G530+N530+O530+P530+Q530+R530</f>
        <v>3900</v>
      </c>
      <c r="G530" s="472">
        <f aca="true" t="shared" si="100" ref="G530:G600">H530+I530</f>
        <v>3900</v>
      </c>
      <c r="H530" s="478"/>
      <c r="I530" s="472">
        <f aca="true" t="shared" si="101" ref="I530:I600">SUM(J530:M530)</f>
        <v>3900</v>
      </c>
      <c r="J530" s="478"/>
      <c r="K530" s="478">
        <v>3900</v>
      </c>
      <c r="L530" s="478"/>
      <c r="M530" s="478"/>
      <c r="N530" s="478"/>
      <c r="O530" s="478"/>
      <c r="P530" s="478"/>
      <c r="Q530" s="478"/>
      <c r="R530" s="478"/>
      <c r="S530" s="472">
        <f aca="true" t="shared" si="102" ref="S530:S600">T530+V530</f>
        <v>0</v>
      </c>
      <c r="T530" s="478"/>
      <c r="U530" s="478"/>
      <c r="V530" s="478"/>
    </row>
    <row r="531" spans="1:22" s="468" customFormat="1" ht="45">
      <c r="A531" s="613"/>
      <c r="B531" s="613"/>
      <c r="C531" s="630">
        <v>4110</v>
      </c>
      <c r="D531" s="477" t="s">
        <v>419</v>
      </c>
      <c r="E531" s="529">
        <f t="shared" si="98"/>
        <v>12700</v>
      </c>
      <c r="F531" s="472">
        <f t="shared" si="99"/>
        <v>12700</v>
      </c>
      <c r="G531" s="472">
        <f t="shared" si="100"/>
        <v>12700</v>
      </c>
      <c r="H531" s="478"/>
      <c r="I531" s="472">
        <f t="shared" si="101"/>
        <v>12700</v>
      </c>
      <c r="J531" s="478"/>
      <c r="K531" s="478"/>
      <c r="L531" s="478">
        <v>12700</v>
      </c>
      <c r="M531" s="478"/>
      <c r="N531" s="478"/>
      <c r="O531" s="478"/>
      <c r="P531" s="478"/>
      <c r="Q531" s="478"/>
      <c r="R531" s="478"/>
      <c r="S531" s="472">
        <f t="shared" si="102"/>
        <v>0</v>
      </c>
      <c r="T531" s="478"/>
      <c r="U531" s="478"/>
      <c r="V531" s="478"/>
    </row>
    <row r="532" spans="1:22" s="468" customFormat="1" ht="30">
      <c r="A532" s="613"/>
      <c r="B532" s="613"/>
      <c r="C532" s="630">
        <v>4120</v>
      </c>
      <c r="D532" s="477" t="s">
        <v>420</v>
      </c>
      <c r="E532" s="529">
        <f t="shared" si="98"/>
        <v>2000</v>
      </c>
      <c r="F532" s="472">
        <f t="shared" si="99"/>
        <v>2000</v>
      </c>
      <c r="G532" s="472">
        <f t="shared" si="100"/>
        <v>2000</v>
      </c>
      <c r="H532" s="478"/>
      <c r="I532" s="472">
        <f t="shared" si="101"/>
        <v>2000</v>
      </c>
      <c r="J532" s="478"/>
      <c r="K532" s="478"/>
      <c r="L532" s="478">
        <v>2000</v>
      </c>
      <c r="M532" s="478"/>
      <c r="N532" s="478"/>
      <c r="O532" s="478"/>
      <c r="P532" s="478"/>
      <c r="Q532" s="478"/>
      <c r="R532" s="478"/>
      <c r="S532" s="472">
        <f t="shared" si="102"/>
        <v>0</v>
      </c>
      <c r="T532" s="478"/>
      <c r="U532" s="478"/>
      <c r="V532" s="478"/>
    </row>
    <row r="533" spans="1:22" s="468" customFormat="1" ht="30">
      <c r="A533" s="613"/>
      <c r="B533" s="613"/>
      <c r="C533" s="630">
        <v>4170</v>
      </c>
      <c r="D533" s="477" t="s">
        <v>421</v>
      </c>
      <c r="E533" s="529">
        <f t="shared" si="98"/>
        <v>38880</v>
      </c>
      <c r="F533" s="472">
        <f t="shared" si="99"/>
        <v>38880</v>
      </c>
      <c r="G533" s="472">
        <f t="shared" si="100"/>
        <v>38880</v>
      </c>
      <c r="H533" s="478"/>
      <c r="I533" s="472">
        <f t="shared" si="101"/>
        <v>38880</v>
      </c>
      <c r="J533" s="478"/>
      <c r="K533" s="478"/>
      <c r="L533" s="478"/>
      <c r="M533" s="478">
        <v>38880</v>
      </c>
      <c r="N533" s="478"/>
      <c r="O533" s="478"/>
      <c r="P533" s="478"/>
      <c r="Q533" s="478"/>
      <c r="R533" s="478"/>
      <c r="S533" s="472">
        <f t="shared" si="102"/>
        <v>0</v>
      </c>
      <c r="T533" s="478"/>
      <c r="U533" s="478"/>
      <c r="V533" s="478"/>
    </row>
    <row r="534" spans="1:22" s="468" customFormat="1" ht="32.25" customHeight="1">
      <c r="A534" s="613"/>
      <c r="B534" s="613"/>
      <c r="C534" s="630">
        <v>4210</v>
      </c>
      <c r="D534" s="477" t="s">
        <v>422</v>
      </c>
      <c r="E534" s="529">
        <f t="shared" si="98"/>
        <v>1972</v>
      </c>
      <c r="F534" s="472">
        <f t="shared" si="99"/>
        <v>1972</v>
      </c>
      <c r="G534" s="472">
        <f t="shared" si="100"/>
        <v>1972</v>
      </c>
      <c r="H534" s="478">
        <v>1972</v>
      </c>
      <c r="I534" s="472">
        <f t="shared" si="101"/>
        <v>0</v>
      </c>
      <c r="J534" s="478"/>
      <c r="K534" s="478"/>
      <c r="L534" s="478"/>
      <c r="M534" s="478"/>
      <c r="N534" s="478"/>
      <c r="O534" s="478"/>
      <c r="P534" s="478"/>
      <c r="Q534" s="478"/>
      <c r="R534" s="478"/>
      <c r="S534" s="472">
        <f t="shared" si="102"/>
        <v>0</v>
      </c>
      <c r="T534" s="478"/>
      <c r="U534" s="478"/>
      <c r="V534" s="478"/>
    </row>
    <row r="535" spans="1:22" s="468" customFormat="1" ht="30">
      <c r="A535" s="613"/>
      <c r="B535" s="613"/>
      <c r="C535" s="630">
        <v>4270</v>
      </c>
      <c r="D535" s="477" t="s">
        <v>424</v>
      </c>
      <c r="E535" s="529">
        <f t="shared" si="98"/>
        <v>550</v>
      </c>
      <c r="F535" s="472">
        <f t="shared" si="99"/>
        <v>550</v>
      </c>
      <c r="G535" s="472">
        <f t="shared" si="100"/>
        <v>550</v>
      </c>
      <c r="H535" s="478">
        <v>550</v>
      </c>
      <c r="I535" s="472">
        <f t="shared" si="101"/>
        <v>0</v>
      </c>
      <c r="J535" s="478"/>
      <c r="K535" s="478"/>
      <c r="L535" s="478"/>
      <c r="M535" s="478"/>
      <c r="N535" s="478"/>
      <c r="O535" s="478"/>
      <c r="P535" s="478"/>
      <c r="Q535" s="478"/>
      <c r="R535" s="478"/>
      <c r="S535" s="472">
        <f t="shared" si="102"/>
        <v>0</v>
      </c>
      <c r="T535" s="478"/>
      <c r="U535" s="478"/>
      <c r="V535" s="478"/>
    </row>
    <row r="536" spans="1:22" s="468" customFormat="1" ht="30">
      <c r="A536" s="613"/>
      <c r="B536" s="613"/>
      <c r="C536" s="630">
        <v>4300</v>
      </c>
      <c r="D536" s="477" t="s">
        <v>405</v>
      </c>
      <c r="E536" s="529">
        <f t="shared" si="98"/>
        <v>38660</v>
      </c>
      <c r="F536" s="472">
        <f t="shared" si="99"/>
        <v>38660</v>
      </c>
      <c r="G536" s="472">
        <f t="shared" si="100"/>
        <v>38660</v>
      </c>
      <c r="H536" s="478">
        <v>38660</v>
      </c>
      <c r="I536" s="472">
        <f t="shared" si="101"/>
        <v>0</v>
      </c>
      <c r="J536" s="478"/>
      <c r="K536" s="478"/>
      <c r="L536" s="478"/>
      <c r="M536" s="478"/>
      <c r="N536" s="478"/>
      <c r="O536" s="478"/>
      <c r="P536" s="478"/>
      <c r="Q536" s="478"/>
      <c r="R536" s="478"/>
      <c r="S536" s="472">
        <f t="shared" si="102"/>
        <v>0</v>
      </c>
      <c r="T536" s="478"/>
      <c r="U536" s="478"/>
      <c r="V536" s="478"/>
    </row>
    <row r="537" spans="1:22" s="468" customFormat="1" ht="31.5">
      <c r="A537" s="613"/>
      <c r="B537" s="613"/>
      <c r="C537" s="630">
        <v>4350</v>
      </c>
      <c r="D537" s="481" t="s">
        <v>426</v>
      </c>
      <c r="E537" s="529">
        <f t="shared" si="98"/>
        <v>500</v>
      </c>
      <c r="F537" s="472">
        <f t="shared" si="99"/>
        <v>500</v>
      </c>
      <c r="G537" s="472">
        <f t="shared" si="100"/>
        <v>500</v>
      </c>
      <c r="H537" s="478">
        <v>500</v>
      </c>
      <c r="I537" s="472">
        <f t="shared" si="101"/>
        <v>0</v>
      </c>
      <c r="J537" s="478"/>
      <c r="K537" s="478"/>
      <c r="L537" s="478"/>
      <c r="M537" s="478"/>
      <c r="N537" s="478"/>
      <c r="O537" s="478"/>
      <c r="P537" s="478"/>
      <c r="Q537" s="478"/>
      <c r="R537" s="478"/>
      <c r="S537" s="472">
        <f t="shared" si="102"/>
        <v>0</v>
      </c>
      <c r="T537" s="478"/>
      <c r="U537" s="478"/>
      <c r="V537" s="478"/>
    </row>
    <row r="538" spans="1:22" s="468" customFormat="1" ht="60">
      <c r="A538" s="613"/>
      <c r="B538" s="613"/>
      <c r="C538" s="630">
        <v>4370</v>
      </c>
      <c r="D538" s="477" t="s">
        <v>560</v>
      </c>
      <c r="E538" s="529">
        <f t="shared" si="98"/>
        <v>1600</v>
      </c>
      <c r="F538" s="472">
        <f t="shared" si="99"/>
        <v>1600</v>
      </c>
      <c r="G538" s="472">
        <f t="shared" si="100"/>
        <v>1600</v>
      </c>
      <c r="H538" s="478">
        <v>1600</v>
      </c>
      <c r="I538" s="472">
        <f t="shared" si="101"/>
        <v>0</v>
      </c>
      <c r="J538" s="478"/>
      <c r="K538" s="478"/>
      <c r="L538" s="478"/>
      <c r="M538" s="478"/>
      <c r="N538" s="478"/>
      <c r="O538" s="478"/>
      <c r="P538" s="478"/>
      <c r="Q538" s="478"/>
      <c r="R538" s="478"/>
      <c r="S538" s="472">
        <f t="shared" si="102"/>
        <v>0</v>
      </c>
      <c r="T538" s="478"/>
      <c r="U538" s="478"/>
      <c r="V538" s="478"/>
    </row>
    <row r="539" spans="1:22" s="468" customFormat="1" ht="15.75">
      <c r="A539" s="613"/>
      <c r="B539" s="613"/>
      <c r="C539" s="630">
        <v>4410</v>
      </c>
      <c r="D539" s="477" t="s">
        <v>602</v>
      </c>
      <c r="E539" s="529">
        <f t="shared" si="98"/>
        <v>200</v>
      </c>
      <c r="F539" s="472">
        <f t="shared" si="99"/>
        <v>200</v>
      </c>
      <c r="G539" s="472">
        <f t="shared" si="100"/>
        <v>200</v>
      </c>
      <c r="H539" s="478">
        <v>200</v>
      </c>
      <c r="I539" s="472">
        <f t="shared" si="101"/>
        <v>0</v>
      </c>
      <c r="J539" s="478"/>
      <c r="K539" s="478"/>
      <c r="L539" s="478"/>
      <c r="M539" s="478"/>
      <c r="N539" s="478"/>
      <c r="O539" s="478"/>
      <c r="P539" s="478"/>
      <c r="Q539" s="478"/>
      <c r="R539" s="478"/>
      <c r="S539" s="472">
        <f t="shared" si="102"/>
        <v>0</v>
      </c>
      <c r="T539" s="478"/>
      <c r="U539" s="478"/>
      <c r="V539" s="478"/>
    </row>
    <row r="540" spans="1:22" s="468" customFormat="1" ht="45">
      <c r="A540" s="613"/>
      <c r="B540" s="613"/>
      <c r="C540" s="630">
        <v>4440</v>
      </c>
      <c r="D540" s="477" t="s">
        <v>432</v>
      </c>
      <c r="E540" s="529">
        <f t="shared" si="98"/>
        <v>1048</v>
      </c>
      <c r="F540" s="472">
        <f t="shared" si="99"/>
        <v>1048</v>
      </c>
      <c r="G540" s="472">
        <f t="shared" si="100"/>
        <v>1048</v>
      </c>
      <c r="H540" s="478">
        <v>1048</v>
      </c>
      <c r="I540" s="472">
        <f t="shared" si="101"/>
        <v>0</v>
      </c>
      <c r="J540" s="478"/>
      <c r="K540" s="478"/>
      <c r="L540" s="478"/>
      <c r="M540" s="478"/>
      <c r="N540" s="478"/>
      <c r="O540" s="478"/>
      <c r="P540" s="478"/>
      <c r="Q540" s="478"/>
      <c r="R540" s="478"/>
      <c r="S540" s="472">
        <f t="shared" si="102"/>
        <v>0</v>
      </c>
      <c r="T540" s="478"/>
      <c r="U540" s="478"/>
      <c r="V540" s="478"/>
    </row>
    <row r="541" spans="1:22" s="468" customFormat="1" ht="45">
      <c r="A541" s="613"/>
      <c r="B541" s="613"/>
      <c r="C541" s="630">
        <v>4700</v>
      </c>
      <c r="D541" s="477" t="s">
        <v>708</v>
      </c>
      <c r="E541" s="529">
        <f t="shared" si="98"/>
        <v>520</v>
      </c>
      <c r="F541" s="472">
        <f t="shared" si="99"/>
        <v>520</v>
      </c>
      <c r="G541" s="472">
        <f t="shared" si="100"/>
        <v>520</v>
      </c>
      <c r="H541" s="478">
        <v>520</v>
      </c>
      <c r="I541" s="472">
        <f t="shared" si="101"/>
        <v>0</v>
      </c>
      <c r="J541" s="478"/>
      <c r="K541" s="478"/>
      <c r="L541" s="478"/>
      <c r="M541" s="478"/>
      <c r="N541" s="478"/>
      <c r="O541" s="478"/>
      <c r="P541" s="478"/>
      <c r="Q541" s="478"/>
      <c r="R541" s="478"/>
      <c r="S541" s="472">
        <f t="shared" si="102"/>
        <v>0</v>
      </c>
      <c r="T541" s="478"/>
      <c r="U541" s="478"/>
      <c r="V541" s="478"/>
    </row>
    <row r="542" spans="1:22" s="468" customFormat="1" ht="60">
      <c r="A542" s="613"/>
      <c r="B542" s="613"/>
      <c r="C542" s="630">
        <v>4740</v>
      </c>
      <c r="D542" s="477" t="s">
        <v>521</v>
      </c>
      <c r="E542" s="529">
        <f t="shared" si="98"/>
        <v>300</v>
      </c>
      <c r="F542" s="472">
        <f t="shared" si="99"/>
        <v>300</v>
      </c>
      <c r="G542" s="472">
        <f t="shared" si="100"/>
        <v>300</v>
      </c>
      <c r="H542" s="478">
        <v>300</v>
      </c>
      <c r="I542" s="472">
        <f t="shared" si="101"/>
        <v>0</v>
      </c>
      <c r="J542" s="478"/>
      <c r="K542" s="478"/>
      <c r="L542" s="478"/>
      <c r="M542" s="478"/>
      <c r="N542" s="478"/>
      <c r="O542" s="478"/>
      <c r="P542" s="478"/>
      <c r="Q542" s="478"/>
      <c r="R542" s="478"/>
      <c r="S542" s="472">
        <f t="shared" si="102"/>
        <v>0</v>
      </c>
      <c r="T542" s="478"/>
      <c r="U542" s="478"/>
      <c r="V542" s="478"/>
    </row>
    <row r="543" spans="1:22" s="468" customFormat="1" ht="45">
      <c r="A543" s="613"/>
      <c r="B543" s="613"/>
      <c r="C543" s="630">
        <v>4750</v>
      </c>
      <c r="D543" s="477" t="s">
        <v>561</v>
      </c>
      <c r="E543" s="529">
        <f t="shared" si="98"/>
        <v>1000</v>
      </c>
      <c r="F543" s="472">
        <f t="shared" si="99"/>
        <v>1000</v>
      </c>
      <c r="G543" s="472">
        <f t="shared" si="100"/>
        <v>1000</v>
      </c>
      <c r="H543" s="478">
        <v>1000</v>
      </c>
      <c r="I543" s="472">
        <f t="shared" si="101"/>
        <v>0</v>
      </c>
      <c r="J543" s="478"/>
      <c r="K543" s="478"/>
      <c r="L543" s="478"/>
      <c r="M543" s="478"/>
      <c r="N543" s="478"/>
      <c r="O543" s="478"/>
      <c r="P543" s="478"/>
      <c r="Q543" s="478"/>
      <c r="R543" s="478"/>
      <c r="S543" s="472">
        <f t="shared" si="102"/>
        <v>0</v>
      </c>
      <c r="T543" s="478"/>
      <c r="U543" s="478"/>
      <c r="V543" s="478"/>
    </row>
    <row r="544" spans="1:22" s="476" customFormat="1" ht="31.5">
      <c r="A544" s="612"/>
      <c r="B544" s="612">
        <v>85333</v>
      </c>
      <c r="C544" s="629"/>
      <c r="D544" s="271" t="s">
        <v>603</v>
      </c>
      <c r="E544" s="529">
        <f t="shared" si="98"/>
        <v>2602842</v>
      </c>
      <c r="F544" s="472">
        <f t="shared" si="99"/>
        <v>2596342</v>
      </c>
      <c r="G544" s="472">
        <f t="shared" si="100"/>
        <v>2438520</v>
      </c>
      <c r="H544" s="475">
        <f>SUM(H545:H576)</f>
        <v>311540</v>
      </c>
      <c r="I544" s="472">
        <f t="shared" si="101"/>
        <v>2126980</v>
      </c>
      <c r="J544" s="475">
        <f>SUM(J545:J576)</f>
        <v>1662500</v>
      </c>
      <c r="K544" s="475">
        <f aca="true" t="shared" si="103" ref="K544:R544">SUM(K545:K576)</f>
        <v>129000</v>
      </c>
      <c r="L544" s="475">
        <f t="shared" si="103"/>
        <v>335480</v>
      </c>
      <c r="M544" s="475">
        <f t="shared" si="103"/>
        <v>0</v>
      </c>
      <c r="N544" s="475">
        <f t="shared" si="103"/>
        <v>1000</v>
      </c>
      <c r="O544" s="475">
        <f t="shared" si="103"/>
        <v>0</v>
      </c>
      <c r="P544" s="475">
        <f>SUM(P545:P576)</f>
        <v>0</v>
      </c>
      <c r="Q544" s="475">
        <f t="shared" si="103"/>
        <v>0</v>
      </c>
      <c r="R544" s="475">
        <f t="shared" si="103"/>
        <v>156822</v>
      </c>
      <c r="S544" s="472">
        <f t="shared" si="102"/>
        <v>6500</v>
      </c>
      <c r="T544" s="475">
        <f>SUM(T545:T576)</f>
        <v>6500</v>
      </c>
      <c r="U544" s="475">
        <f>SUM(U545:U576)</f>
        <v>0</v>
      </c>
      <c r="V544" s="475">
        <f>SUM(V545:V576)</f>
        <v>0</v>
      </c>
    </row>
    <row r="545" spans="1:22" s="468" customFormat="1" ht="45">
      <c r="A545" s="613"/>
      <c r="B545" s="613"/>
      <c r="C545" s="630">
        <v>3020</v>
      </c>
      <c r="D545" s="477" t="s">
        <v>709</v>
      </c>
      <c r="E545" s="529">
        <f t="shared" si="98"/>
        <v>1000</v>
      </c>
      <c r="F545" s="472">
        <f t="shared" si="99"/>
        <v>1000</v>
      </c>
      <c r="G545" s="472">
        <f t="shared" si="100"/>
        <v>0</v>
      </c>
      <c r="H545" s="478"/>
      <c r="I545" s="472">
        <f t="shared" si="101"/>
        <v>0</v>
      </c>
      <c r="J545" s="478"/>
      <c r="K545" s="478"/>
      <c r="L545" s="478"/>
      <c r="M545" s="478"/>
      <c r="N545" s="478">
        <v>1000</v>
      </c>
      <c r="O545" s="478"/>
      <c r="P545" s="478"/>
      <c r="Q545" s="478"/>
      <c r="R545" s="478"/>
      <c r="S545" s="472">
        <f t="shared" si="102"/>
        <v>0</v>
      </c>
      <c r="T545" s="478"/>
      <c r="U545" s="478"/>
      <c r="V545" s="478"/>
    </row>
    <row r="546" spans="1:22" s="468" customFormat="1" ht="30">
      <c r="A546" s="613"/>
      <c r="B546" s="613"/>
      <c r="C546" s="434">
        <v>4010</v>
      </c>
      <c r="D546" s="477" t="s">
        <v>417</v>
      </c>
      <c r="E546" s="529">
        <f t="shared" si="98"/>
        <v>1662500</v>
      </c>
      <c r="F546" s="472">
        <f t="shared" si="99"/>
        <v>1662500</v>
      </c>
      <c r="G546" s="472">
        <f t="shared" si="100"/>
        <v>1662500</v>
      </c>
      <c r="H546" s="478"/>
      <c r="I546" s="472">
        <f t="shared" si="101"/>
        <v>1662500</v>
      </c>
      <c r="J546" s="478">
        <v>1662500</v>
      </c>
      <c r="K546" s="478"/>
      <c r="L546" s="478"/>
      <c r="M546" s="478"/>
      <c r="N546" s="478"/>
      <c r="O546" s="478"/>
      <c r="P546" s="478"/>
      <c r="Q546" s="478"/>
      <c r="R546" s="478"/>
      <c r="S546" s="472">
        <f t="shared" si="102"/>
        <v>0</v>
      </c>
      <c r="T546" s="478"/>
      <c r="U546" s="478"/>
      <c r="V546" s="478"/>
    </row>
    <row r="547" spans="1:22" s="468" customFormat="1" ht="30">
      <c r="A547" s="613"/>
      <c r="B547" s="613"/>
      <c r="C547" s="434">
        <v>4017</v>
      </c>
      <c r="D547" s="477" t="s">
        <v>417</v>
      </c>
      <c r="E547" s="529">
        <f t="shared" si="98"/>
        <v>100800</v>
      </c>
      <c r="F547" s="472">
        <f t="shared" si="99"/>
        <v>100800</v>
      </c>
      <c r="G547" s="472">
        <f t="shared" si="100"/>
        <v>0</v>
      </c>
      <c r="H547" s="478"/>
      <c r="I547" s="472">
        <f t="shared" si="101"/>
        <v>0</v>
      </c>
      <c r="J547" s="478"/>
      <c r="K547" s="478"/>
      <c r="L547" s="478"/>
      <c r="M547" s="478"/>
      <c r="N547" s="478"/>
      <c r="O547" s="478"/>
      <c r="P547" s="478"/>
      <c r="Q547" s="478"/>
      <c r="R547" s="478">
        <v>100800</v>
      </c>
      <c r="S547" s="472">
        <f t="shared" si="102"/>
        <v>0</v>
      </c>
      <c r="T547" s="478"/>
      <c r="U547" s="478"/>
      <c r="V547" s="478"/>
    </row>
    <row r="548" spans="1:22" s="468" customFormat="1" ht="30">
      <c r="A548" s="613"/>
      <c r="B548" s="613"/>
      <c r="C548" s="630">
        <v>4040</v>
      </c>
      <c r="D548" s="477" t="s">
        <v>418</v>
      </c>
      <c r="E548" s="529">
        <f t="shared" si="98"/>
        <v>129000</v>
      </c>
      <c r="F548" s="472">
        <f t="shared" si="99"/>
        <v>129000</v>
      </c>
      <c r="G548" s="472">
        <f t="shared" si="100"/>
        <v>129000</v>
      </c>
      <c r="H548" s="478"/>
      <c r="I548" s="472">
        <f t="shared" si="101"/>
        <v>129000</v>
      </c>
      <c r="J548" s="478"/>
      <c r="K548" s="478">
        <v>129000</v>
      </c>
      <c r="L548" s="478"/>
      <c r="M548" s="478"/>
      <c r="N548" s="478"/>
      <c r="O548" s="478"/>
      <c r="P548" s="478"/>
      <c r="Q548" s="478"/>
      <c r="R548" s="478"/>
      <c r="S548" s="472">
        <f t="shared" si="102"/>
        <v>0</v>
      </c>
      <c r="T548" s="478"/>
      <c r="U548" s="478"/>
      <c r="V548" s="478"/>
    </row>
    <row r="549" spans="1:22" s="468" customFormat="1" ht="36.75" customHeight="1">
      <c r="A549" s="613"/>
      <c r="B549" s="613"/>
      <c r="C549" s="630">
        <v>4047</v>
      </c>
      <c r="D549" s="477" t="s">
        <v>418</v>
      </c>
      <c r="E549" s="529">
        <f t="shared" si="98"/>
        <v>8270</v>
      </c>
      <c r="F549" s="472">
        <f t="shared" si="99"/>
        <v>8270</v>
      </c>
      <c r="G549" s="472">
        <f t="shared" si="100"/>
        <v>0</v>
      </c>
      <c r="H549" s="478"/>
      <c r="I549" s="472">
        <f t="shared" si="101"/>
        <v>0</v>
      </c>
      <c r="J549" s="478"/>
      <c r="K549" s="478"/>
      <c r="L549" s="478"/>
      <c r="M549" s="478"/>
      <c r="N549" s="478"/>
      <c r="O549" s="478"/>
      <c r="P549" s="478"/>
      <c r="Q549" s="478"/>
      <c r="R549" s="478">
        <v>8270</v>
      </c>
      <c r="S549" s="472">
        <f t="shared" si="102"/>
        <v>0</v>
      </c>
      <c r="T549" s="478"/>
      <c r="U549" s="478"/>
      <c r="V549" s="478"/>
    </row>
    <row r="550" spans="1:22" s="468" customFormat="1" ht="45">
      <c r="A550" s="613"/>
      <c r="B550" s="613"/>
      <c r="C550" s="630">
        <v>4110</v>
      </c>
      <c r="D550" s="477" t="s">
        <v>419</v>
      </c>
      <c r="E550" s="529">
        <f t="shared" si="98"/>
        <v>288680</v>
      </c>
      <c r="F550" s="472">
        <f t="shared" si="99"/>
        <v>288680</v>
      </c>
      <c r="G550" s="472">
        <f t="shared" si="100"/>
        <v>288680</v>
      </c>
      <c r="H550" s="478"/>
      <c r="I550" s="472">
        <f t="shared" si="101"/>
        <v>288680</v>
      </c>
      <c r="J550" s="478"/>
      <c r="K550" s="478"/>
      <c r="L550" s="478">
        <v>288680</v>
      </c>
      <c r="M550" s="478"/>
      <c r="N550" s="478"/>
      <c r="O550" s="478"/>
      <c r="P550" s="478"/>
      <c r="Q550" s="478"/>
      <c r="R550" s="478"/>
      <c r="S550" s="472">
        <f t="shared" si="102"/>
        <v>0</v>
      </c>
      <c r="T550" s="478"/>
      <c r="U550" s="478"/>
      <c r="V550" s="478"/>
    </row>
    <row r="551" spans="1:22" s="468" customFormat="1" ht="45">
      <c r="A551" s="613"/>
      <c r="B551" s="613"/>
      <c r="C551" s="630">
        <v>4117</v>
      </c>
      <c r="D551" s="477" t="s">
        <v>419</v>
      </c>
      <c r="E551" s="529">
        <f t="shared" si="98"/>
        <v>16471</v>
      </c>
      <c r="F551" s="472">
        <f t="shared" si="99"/>
        <v>16471</v>
      </c>
      <c r="G551" s="472">
        <f t="shared" si="100"/>
        <v>0</v>
      </c>
      <c r="H551" s="478"/>
      <c r="I551" s="472">
        <f t="shared" si="101"/>
        <v>0</v>
      </c>
      <c r="J551" s="478"/>
      <c r="K551" s="478"/>
      <c r="L551" s="478"/>
      <c r="M551" s="478"/>
      <c r="N551" s="478"/>
      <c r="O551" s="478"/>
      <c r="P551" s="478"/>
      <c r="Q551" s="478"/>
      <c r="R551" s="478">
        <v>16471</v>
      </c>
      <c r="S551" s="472">
        <f t="shared" si="102"/>
        <v>0</v>
      </c>
      <c r="T551" s="478"/>
      <c r="U551" s="478"/>
      <c r="V551" s="478"/>
    </row>
    <row r="552" spans="1:22" s="468" customFormat="1" ht="30">
      <c r="A552" s="613"/>
      <c r="B552" s="613"/>
      <c r="C552" s="630">
        <v>4120</v>
      </c>
      <c r="D552" s="477" t="s">
        <v>420</v>
      </c>
      <c r="E552" s="529">
        <f t="shared" si="98"/>
        <v>46800</v>
      </c>
      <c r="F552" s="472">
        <f t="shared" si="99"/>
        <v>46800</v>
      </c>
      <c r="G552" s="472">
        <f t="shared" si="100"/>
        <v>46800</v>
      </c>
      <c r="H552" s="478"/>
      <c r="I552" s="472">
        <f t="shared" si="101"/>
        <v>46800</v>
      </c>
      <c r="J552" s="478"/>
      <c r="K552" s="478"/>
      <c r="L552" s="478">
        <v>46800</v>
      </c>
      <c r="M552" s="478"/>
      <c r="N552" s="478"/>
      <c r="O552" s="478"/>
      <c r="P552" s="478"/>
      <c r="Q552" s="478"/>
      <c r="R552" s="478"/>
      <c r="S552" s="472">
        <f t="shared" si="102"/>
        <v>0</v>
      </c>
      <c r="T552" s="478"/>
      <c r="U552" s="478"/>
      <c r="V552" s="478"/>
    </row>
    <row r="553" spans="1:22" s="468" customFormat="1" ht="30">
      <c r="A553" s="613"/>
      <c r="B553" s="613"/>
      <c r="C553" s="630">
        <v>4127</v>
      </c>
      <c r="D553" s="477" t="s">
        <v>420</v>
      </c>
      <c r="E553" s="529">
        <f t="shared" si="98"/>
        <v>2670</v>
      </c>
      <c r="F553" s="472">
        <f t="shared" si="99"/>
        <v>2670</v>
      </c>
      <c r="G553" s="472">
        <f t="shared" si="100"/>
        <v>0</v>
      </c>
      <c r="H553" s="478"/>
      <c r="I553" s="472">
        <f t="shared" si="101"/>
        <v>0</v>
      </c>
      <c r="J553" s="478"/>
      <c r="K553" s="478"/>
      <c r="L553" s="478"/>
      <c r="M553" s="478"/>
      <c r="N553" s="478"/>
      <c r="O553" s="478"/>
      <c r="P553" s="478"/>
      <c r="Q553" s="478"/>
      <c r="R553" s="478">
        <v>2670</v>
      </c>
      <c r="S553" s="472">
        <f t="shared" si="102"/>
        <v>0</v>
      </c>
      <c r="T553" s="478"/>
      <c r="U553" s="478"/>
      <c r="V553" s="478"/>
    </row>
    <row r="554" spans="1:22" s="468" customFormat="1" ht="15.75">
      <c r="A554" s="613"/>
      <c r="B554" s="613"/>
      <c r="C554" s="630">
        <v>4140</v>
      </c>
      <c r="D554" s="477" t="s">
        <v>575</v>
      </c>
      <c r="E554" s="529">
        <f t="shared" si="98"/>
        <v>6000</v>
      </c>
      <c r="F554" s="472">
        <f t="shared" si="99"/>
        <v>6000</v>
      </c>
      <c r="G554" s="472">
        <f t="shared" si="100"/>
        <v>6000</v>
      </c>
      <c r="H554" s="478">
        <v>6000</v>
      </c>
      <c r="I554" s="472">
        <f t="shared" si="101"/>
        <v>0</v>
      </c>
      <c r="J554" s="478"/>
      <c r="K554" s="478"/>
      <c r="L554" s="478"/>
      <c r="M554" s="478"/>
      <c r="N554" s="478"/>
      <c r="O554" s="478"/>
      <c r="P554" s="478"/>
      <c r="Q554" s="478"/>
      <c r="R554" s="478"/>
      <c r="S554" s="472">
        <f t="shared" si="102"/>
        <v>0</v>
      </c>
      <c r="T554" s="478"/>
      <c r="U554" s="478"/>
      <c r="V554" s="478"/>
    </row>
    <row r="555" spans="1:22" s="468" customFormat="1" ht="30">
      <c r="A555" s="613"/>
      <c r="B555" s="613"/>
      <c r="C555" s="630">
        <v>4210</v>
      </c>
      <c r="D555" s="477" t="s">
        <v>422</v>
      </c>
      <c r="E555" s="529">
        <f t="shared" si="98"/>
        <v>35000</v>
      </c>
      <c r="F555" s="472">
        <f t="shared" si="99"/>
        <v>35000</v>
      </c>
      <c r="G555" s="472">
        <f t="shared" si="100"/>
        <v>35000</v>
      </c>
      <c r="H555" s="478">
        <f>32000+3000</f>
        <v>35000</v>
      </c>
      <c r="I555" s="472">
        <f t="shared" si="101"/>
        <v>0</v>
      </c>
      <c r="J555" s="478"/>
      <c r="K555" s="478"/>
      <c r="L555" s="478"/>
      <c r="M555" s="478"/>
      <c r="N555" s="478"/>
      <c r="O555" s="478"/>
      <c r="P555" s="478"/>
      <c r="Q555" s="478"/>
      <c r="R555" s="478"/>
      <c r="S555" s="472">
        <f t="shared" si="102"/>
        <v>0</v>
      </c>
      <c r="T555" s="478"/>
      <c r="U555" s="478"/>
      <c r="V555" s="478"/>
    </row>
    <row r="556" spans="1:22" s="468" customFormat="1" ht="30" customHeight="1" hidden="1">
      <c r="A556" s="613"/>
      <c r="B556" s="613"/>
      <c r="C556" s="630">
        <v>4218</v>
      </c>
      <c r="D556" s="477" t="s">
        <v>422</v>
      </c>
      <c r="E556" s="529">
        <f t="shared" si="98"/>
        <v>0</v>
      </c>
      <c r="F556" s="472">
        <f t="shared" si="99"/>
        <v>0</v>
      </c>
      <c r="G556" s="472">
        <f t="shared" si="100"/>
        <v>0</v>
      </c>
      <c r="H556" s="478"/>
      <c r="I556" s="472">
        <f t="shared" si="101"/>
        <v>0</v>
      </c>
      <c r="J556" s="478"/>
      <c r="K556" s="478"/>
      <c r="L556" s="478"/>
      <c r="M556" s="478"/>
      <c r="N556" s="478"/>
      <c r="O556" s="478"/>
      <c r="P556" s="478"/>
      <c r="Q556" s="478"/>
      <c r="R556" s="478"/>
      <c r="S556" s="472">
        <f t="shared" si="102"/>
        <v>0</v>
      </c>
      <c r="T556" s="478"/>
      <c r="U556" s="478"/>
      <c r="V556" s="478"/>
    </row>
    <row r="557" spans="1:22" s="468" customFormat="1" ht="15.75">
      <c r="A557" s="613"/>
      <c r="B557" s="613"/>
      <c r="C557" s="630">
        <v>4260</v>
      </c>
      <c r="D557" s="477" t="s">
        <v>423</v>
      </c>
      <c r="E557" s="529">
        <f t="shared" si="98"/>
        <v>74967</v>
      </c>
      <c r="F557" s="472">
        <f t="shared" si="99"/>
        <v>74967</v>
      </c>
      <c r="G557" s="472">
        <f t="shared" si="100"/>
        <v>74967</v>
      </c>
      <c r="H557" s="478">
        <v>74967</v>
      </c>
      <c r="I557" s="472">
        <f t="shared" si="101"/>
        <v>0</v>
      </c>
      <c r="J557" s="478"/>
      <c r="K557" s="478"/>
      <c r="L557" s="478"/>
      <c r="M557" s="478"/>
      <c r="N557" s="478"/>
      <c r="O557" s="478"/>
      <c r="P557" s="478"/>
      <c r="Q557" s="478"/>
      <c r="R557" s="478"/>
      <c r="S557" s="472">
        <f t="shared" si="102"/>
        <v>0</v>
      </c>
      <c r="T557" s="478"/>
      <c r="U557" s="478"/>
      <c r="V557" s="478"/>
    </row>
    <row r="558" spans="1:22" s="468" customFormat="1" ht="30">
      <c r="A558" s="613"/>
      <c r="B558" s="613"/>
      <c r="C558" s="630">
        <v>4270</v>
      </c>
      <c r="D558" s="477" t="s">
        <v>424</v>
      </c>
      <c r="E558" s="529">
        <f t="shared" si="98"/>
        <v>7500</v>
      </c>
      <c r="F558" s="472">
        <f t="shared" si="99"/>
        <v>7500</v>
      </c>
      <c r="G558" s="472">
        <f t="shared" si="100"/>
        <v>7500</v>
      </c>
      <c r="H558" s="478">
        <v>7500</v>
      </c>
      <c r="I558" s="472">
        <f t="shared" si="101"/>
        <v>0</v>
      </c>
      <c r="J558" s="478"/>
      <c r="K558" s="478"/>
      <c r="L558" s="478"/>
      <c r="M558" s="478"/>
      <c r="N558" s="478"/>
      <c r="O558" s="478"/>
      <c r="P558" s="478"/>
      <c r="Q558" s="478"/>
      <c r="R558" s="478"/>
      <c r="S558" s="472">
        <f t="shared" si="102"/>
        <v>0</v>
      </c>
      <c r="T558" s="478"/>
      <c r="U558" s="478"/>
      <c r="V558" s="478"/>
    </row>
    <row r="559" spans="1:22" s="468" customFormat="1" ht="30">
      <c r="A559" s="613"/>
      <c r="B559" s="613"/>
      <c r="C559" s="630">
        <v>4280</v>
      </c>
      <c r="D559" s="477" t="s">
        <v>604</v>
      </c>
      <c r="E559" s="529">
        <f t="shared" si="98"/>
        <v>1200</v>
      </c>
      <c r="F559" s="472">
        <f t="shared" si="99"/>
        <v>1200</v>
      </c>
      <c r="G559" s="472">
        <f t="shared" si="100"/>
        <v>1200</v>
      </c>
      <c r="H559" s="478">
        <v>1200</v>
      </c>
      <c r="I559" s="472">
        <f t="shared" si="101"/>
        <v>0</v>
      </c>
      <c r="J559" s="478"/>
      <c r="K559" s="478"/>
      <c r="L559" s="478"/>
      <c r="M559" s="478"/>
      <c r="N559" s="478"/>
      <c r="O559" s="478"/>
      <c r="P559" s="478"/>
      <c r="Q559" s="478"/>
      <c r="R559" s="478"/>
      <c r="S559" s="472">
        <f t="shared" si="102"/>
        <v>0</v>
      </c>
      <c r="T559" s="478"/>
      <c r="U559" s="478"/>
      <c r="V559" s="478"/>
    </row>
    <row r="560" spans="1:22" s="468" customFormat="1" ht="30">
      <c r="A560" s="613"/>
      <c r="B560" s="613"/>
      <c r="C560" s="630">
        <v>4300</v>
      </c>
      <c r="D560" s="477" t="s">
        <v>605</v>
      </c>
      <c r="E560" s="529">
        <f t="shared" si="98"/>
        <v>11000</v>
      </c>
      <c r="F560" s="472">
        <f t="shared" si="99"/>
        <v>11000</v>
      </c>
      <c r="G560" s="472">
        <f t="shared" si="100"/>
        <v>11000</v>
      </c>
      <c r="H560" s="478">
        <v>11000</v>
      </c>
      <c r="I560" s="472">
        <f t="shared" si="101"/>
        <v>0</v>
      </c>
      <c r="J560" s="478"/>
      <c r="K560" s="478"/>
      <c r="L560" s="478"/>
      <c r="M560" s="478"/>
      <c r="N560" s="478"/>
      <c r="O560" s="478"/>
      <c r="P560" s="478"/>
      <c r="Q560" s="478"/>
      <c r="R560" s="478"/>
      <c r="S560" s="472">
        <f t="shared" si="102"/>
        <v>0</v>
      </c>
      <c r="T560" s="478"/>
      <c r="U560" s="478"/>
      <c r="V560" s="478"/>
    </row>
    <row r="561" spans="1:22" s="468" customFormat="1" ht="30" customHeight="1" hidden="1">
      <c r="A561" s="613"/>
      <c r="B561" s="613"/>
      <c r="C561" s="630">
        <v>4308</v>
      </c>
      <c r="D561" s="477" t="s">
        <v>605</v>
      </c>
      <c r="E561" s="529">
        <f t="shared" si="98"/>
        <v>0</v>
      </c>
      <c r="F561" s="472">
        <f t="shared" si="99"/>
        <v>0</v>
      </c>
      <c r="G561" s="472">
        <f t="shared" si="100"/>
        <v>0</v>
      </c>
      <c r="H561" s="478"/>
      <c r="I561" s="472">
        <f t="shared" si="101"/>
        <v>0</v>
      </c>
      <c r="J561" s="478"/>
      <c r="K561" s="478"/>
      <c r="L561" s="478"/>
      <c r="M561" s="478"/>
      <c r="N561" s="478"/>
      <c r="O561" s="478"/>
      <c r="P561" s="478"/>
      <c r="Q561" s="478"/>
      <c r="R561" s="478"/>
      <c r="S561" s="472">
        <f t="shared" si="102"/>
        <v>0</v>
      </c>
      <c r="T561" s="478"/>
      <c r="U561" s="478"/>
      <c r="V561" s="478"/>
    </row>
    <row r="562" spans="1:22" s="468" customFormat="1" ht="46.5" customHeight="1">
      <c r="A562" s="613"/>
      <c r="B562" s="613"/>
      <c r="C562" s="630">
        <v>4360</v>
      </c>
      <c r="D562" s="477" t="s">
        <v>567</v>
      </c>
      <c r="E562" s="529">
        <f t="shared" si="98"/>
        <v>1900</v>
      </c>
      <c r="F562" s="472">
        <f t="shared" si="99"/>
        <v>1900</v>
      </c>
      <c r="G562" s="472">
        <f t="shared" si="100"/>
        <v>1900</v>
      </c>
      <c r="H562" s="478">
        <v>1900</v>
      </c>
      <c r="I562" s="472">
        <f t="shared" si="101"/>
        <v>0</v>
      </c>
      <c r="J562" s="478"/>
      <c r="K562" s="478"/>
      <c r="L562" s="478"/>
      <c r="M562" s="478"/>
      <c r="N562" s="478"/>
      <c r="O562" s="478"/>
      <c r="P562" s="478"/>
      <c r="Q562" s="478"/>
      <c r="R562" s="478"/>
      <c r="S562" s="472">
        <f t="shared" si="102"/>
        <v>0</v>
      </c>
      <c r="T562" s="478"/>
      <c r="U562" s="478"/>
      <c r="V562" s="478"/>
    </row>
    <row r="563" spans="1:22" s="468" customFormat="1" ht="60">
      <c r="A563" s="613"/>
      <c r="B563" s="613"/>
      <c r="C563" s="630">
        <v>4370</v>
      </c>
      <c r="D563" s="477" t="s">
        <v>560</v>
      </c>
      <c r="E563" s="529">
        <f t="shared" si="98"/>
        <v>4500</v>
      </c>
      <c r="F563" s="472">
        <f t="shared" si="99"/>
        <v>4500</v>
      </c>
      <c r="G563" s="472">
        <f t="shared" si="100"/>
        <v>4500</v>
      </c>
      <c r="H563" s="478">
        <v>4500</v>
      </c>
      <c r="I563" s="472">
        <f t="shared" si="101"/>
        <v>0</v>
      </c>
      <c r="J563" s="478"/>
      <c r="K563" s="478"/>
      <c r="L563" s="478"/>
      <c r="M563" s="478"/>
      <c r="N563" s="478"/>
      <c r="O563" s="478"/>
      <c r="P563" s="478"/>
      <c r="Q563" s="478"/>
      <c r="R563" s="478"/>
      <c r="S563" s="472">
        <f t="shared" si="102"/>
        <v>0</v>
      </c>
      <c r="T563" s="478"/>
      <c r="U563" s="478"/>
      <c r="V563" s="478"/>
    </row>
    <row r="564" spans="1:22" s="468" customFormat="1" ht="75">
      <c r="A564" s="613"/>
      <c r="B564" s="613"/>
      <c r="C564" s="630">
        <v>4400</v>
      </c>
      <c r="D564" s="477" t="s">
        <v>25</v>
      </c>
      <c r="E564" s="529">
        <f t="shared" si="98"/>
        <v>84900</v>
      </c>
      <c r="F564" s="472">
        <f t="shared" si="99"/>
        <v>84900</v>
      </c>
      <c r="G564" s="472">
        <f t="shared" si="100"/>
        <v>84900</v>
      </c>
      <c r="H564" s="478">
        <v>84900</v>
      </c>
      <c r="I564" s="472">
        <f t="shared" si="101"/>
        <v>0</v>
      </c>
      <c r="J564" s="478"/>
      <c r="K564" s="478"/>
      <c r="L564" s="478"/>
      <c r="M564" s="478"/>
      <c r="N564" s="478"/>
      <c r="O564" s="478"/>
      <c r="P564" s="478"/>
      <c r="Q564" s="478"/>
      <c r="R564" s="478"/>
      <c r="S564" s="472">
        <f t="shared" si="102"/>
        <v>0</v>
      </c>
      <c r="T564" s="478"/>
      <c r="U564" s="478"/>
      <c r="V564" s="478"/>
    </row>
    <row r="565" spans="1:22" s="468" customFormat="1" ht="30">
      <c r="A565" s="613"/>
      <c r="B565" s="613"/>
      <c r="C565" s="630">
        <v>4410</v>
      </c>
      <c r="D565" s="477" t="s">
        <v>430</v>
      </c>
      <c r="E565" s="529">
        <f t="shared" si="98"/>
        <v>500</v>
      </c>
      <c r="F565" s="472">
        <f t="shared" si="99"/>
        <v>500</v>
      </c>
      <c r="G565" s="472">
        <f t="shared" si="100"/>
        <v>500</v>
      </c>
      <c r="H565" s="478">
        <v>500</v>
      </c>
      <c r="I565" s="472">
        <f t="shared" si="101"/>
        <v>0</v>
      </c>
      <c r="J565" s="478"/>
      <c r="K565" s="478"/>
      <c r="L565" s="478"/>
      <c r="M565" s="478"/>
      <c r="N565" s="478"/>
      <c r="O565" s="478"/>
      <c r="P565" s="478"/>
      <c r="Q565" s="478"/>
      <c r="R565" s="478"/>
      <c r="S565" s="472">
        <f t="shared" si="102"/>
        <v>0</v>
      </c>
      <c r="T565" s="478"/>
      <c r="U565" s="478"/>
      <c r="V565" s="478"/>
    </row>
    <row r="566" spans="1:22" s="468" customFormat="1" ht="15.75">
      <c r="A566" s="613"/>
      <c r="B566" s="613"/>
      <c r="C566" s="630">
        <v>4430</v>
      </c>
      <c r="D566" s="477" t="s">
        <v>431</v>
      </c>
      <c r="E566" s="529">
        <f t="shared" si="98"/>
        <v>7700</v>
      </c>
      <c r="F566" s="472">
        <f t="shared" si="99"/>
        <v>7700</v>
      </c>
      <c r="G566" s="472">
        <f t="shared" si="100"/>
        <v>7700</v>
      </c>
      <c r="H566" s="478">
        <v>7700</v>
      </c>
      <c r="I566" s="472">
        <f t="shared" si="101"/>
        <v>0</v>
      </c>
      <c r="J566" s="478"/>
      <c r="K566" s="478"/>
      <c r="L566" s="478"/>
      <c r="M566" s="478"/>
      <c r="N566" s="478"/>
      <c r="O566" s="478"/>
      <c r="P566" s="478"/>
      <c r="Q566" s="478"/>
      <c r="R566" s="478"/>
      <c r="S566" s="472">
        <f t="shared" si="102"/>
        <v>0</v>
      </c>
      <c r="T566" s="478"/>
      <c r="U566" s="478"/>
      <c r="V566" s="478"/>
    </row>
    <row r="567" spans="1:22" s="468" customFormat="1" ht="48" customHeight="1">
      <c r="A567" s="613"/>
      <c r="B567" s="613"/>
      <c r="C567" s="630">
        <v>4440</v>
      </c>
      <c r="D567" s="477" t="s">
        <v>432</v>
      </c>
      <c r="E567" s="529">
        <f t="shared" si="98"/>
        <v>68240</v>
      </c>
      <c r="F567" s="472">
        <f t="shared" si="99"/>
        <v>68240</v>
      </c>
      <c r="G567" s="472">
        <f t="shared" si="100"/>
        <v>68240</v>
      </c>
      <c r="H567" s="478">
        <v>68240</v>
      </c>
      <c r="I567" s="472">
        <f t="shared" si="101"/>
        <v>0</v>
      </c>
      <c r="J567" s="478"/>
      <c r="K567" s="478"/>
      <c r="L567" s="478"/>
      <c r="M567" s="478"/>
      <c r="N567" s="478"/>
      <c r="O567" s="478"/>
      <c r="P567" s="478"/>
      <c r="Q567" s="478"/>
      <c r="R567" s="478"/>
      <c r="S567" s="472">
        <f t="shared" si="102"/>
        <v>0</v>
      </c>
      <c r="T567" s="478"/>
      <c r="U567" s="478"/>
      <c r="V567" s="478"/>
    </row>
    <row r="568" spans="1:22" s="468" customFormat="1" ht="45" customHeight="1">
      <c r="A568" s="613"/>
      <c r="B568" s="613"/>
      <c r="C568" s="630">
        <v>4447</v>
      </c>
      <c r="D568" s="477" t="s">
        <v>432</v>
      </c>
      <c r="E568" s="529">
        <f t="shared" si="98"/>
        <v>4001</v>
      </c>
      <c r="F568" s="472">
        <f t="shared" si="99"/>
        <v>4001</v>
      </c>
      <c r="G568" s="472">
        <f t="shared" si="100"/>
        <v>0</v>
      </c>
      <c r="H568" s="478"/>
      <c r="I568" s="472">
        <f t="shared" si="101"/>
        <v>0</v>
      </c>
      <c r="J568" s="478"/>
      <c r="K568" s="478"/>
      <c r="L568" s="478"/>
      <c r="M568" s="478"/>
      <c r="N568" s="478"/>
      <c r="O568" s="478"/>
      <c r="P568" s="478"/>
      <c r="Q568" s="478"/>
      <c r="R568" s="478">
        <v>4001</v>
      </c>
      <c r="S568" s="472">
        <f t="shared" si="102"/>
        <v>0</v>
      </c>
      <c r="T568" s="478"/>
      <c r="U568" s="478"/>
      <c r="V568" s="478"/>
    </row>
    <row r="569" spans="1:22" s="468" customFormat="1" ht="48" customHeight="1" hidden="1">
      <c r="A569" s="613"/>
      <c r="B569" s="613"/>
      <c r="C569" s="630">
        <v>4448</v>
      </c>
      <c r="D569" s="477" t="s">
        <v>432</v>
      </c>
      <c r="E569" s="529">
        <f t="shared" si="98"/>
        <v>0</v>
      </c>
      <c r="F569" s="472">
        <f t="shared" si="99"/>
        <v>0</v>
      </c>
      <c r="G569" s="472">
        <f t="shared" si="100"/>
        <v>0</v>
      </c>
      <c r="H569" s="478"/>
      <c r="I569" s="472">
        <f t="shared" si="101"/>
        <v>0</v>
      </c>
      <c r="J569" s="478"/>
      <c r="K569" s="478"/>
      <c r="L569" s="478"/>
      <c r="M569" s="478"/>
      <c r="N569" s="478"/>
      <c r="O569" s="478"/>
      <c r="P569" s="478"/>
      <c r="Q569" s="478"/>
      <c r="R569" s="478"/>
      <c r="S569" s="472">
        <f t="shared" si="102"/>
        <v>0</v>
      </c>
      <c r="T569" s="478"/>
      <c r="U569" s="478"/>
      <c r="V569" s="478"/>
    </row>
    <row r="570" spans="1:22" s="468" customFormat="1" ht="30">
      <c r="A570" s="613"/>
      <c r="B570" s="613"/>
      <c r="C570" s="630">
        <v>4480</v>
      </c>
      <c r="D570" s="477" t="s">
        <v>433</v>
      </c>
      <c r="E570" s="529">
        <f t="shared" si="98"/>
        <v>4500</v>
      </c>
      <c r="F570" s="472">
        <f t="shared" si="99"/>
        <v>4500</v>
      </c>
      <c r="G570" s="472">
        <f t="shared" si="100"/>
        <v>4500</v>
      </c>
      <c r="H570" s="478">
        <v>4500</v>
      </c>
      <c r="I570" s="472">
        <f t="shared" si="101"/>
        <v>0</v>
      </c>
      <c r="J570" s="478"/>
      <c r="K570" s="478"/>
      <c r="L570" s="478"/>
      <c r="M570" s="478"/>
      <c r="N570" s="478"/>
      <c r="O570" s="478"/>
      <c r="P570" s="478"/>
      <c r="Q570" s="478"/>
      <c r="R570" s="478"/>
      <c r="S570" s="472">
        <f t="shared" si="102"/>
        <v>0</v>
      </c>
      <c r="T570" s="478"/>
      <c r="U570" s="478"/>
      <c r="V570" s="478"/>
    </row>
    <row r="571" spans="1:22" s="468" customFormat="1" ht="41.25" customHeight="1" hidden="1">
      <c r="A571" s="613"/>
      <c r="B571" s="613"/>
      <c r="C571" s="630">
        <v>4510</v>
      </c>
      <c r="D571" s="477" t="s">
        <v>9</v>
      </c>
      <c r="E571" s="529">
        <f t="shared" si="98"/>
        <v>0</v>
      </c>
      <c r="F571" s="472">
        <f t="shared" si="99"/>
        <v>0</v>
      </c>
      <c r="G571" s="472">
        <f t="shared" si="100"/>
        <v>0</v>
      </c>
      <c r="H571" s="478"/>
      <c r="I571" s="472">
        <f t="shared" si="101"/>
        <v>0</v>
      </c>
      <c r="J571" s="478"/>
      <c r="K571" s="478"/>
      <c r="L571" s="478"/>
      <c r="M571" s="478"/>
      <c r="N571" s="478"/>
      <c r="O571" s="478"/>
      <c r="P571" s="478"/>
      <c r="Q571" s="478"/>
      <c r="R571" s="478"/>
      <c r="S571" s="472">
        <f t="shared" si="102"/>
        <v>0</v>
      </c>
      <c r="T571" s="478"/>
      <c r="U571" s="478"/>
      <c r="V571" s="478"/>
    </row>
    <row r="572" spans="1:22" s="468" customFormat="1" ht="41.25" customHeight="1">
      <c r="A572" s="613"/>
      <c r="B572" s="613"/>
      <c r="C572" s="630">
        <v>4520</v>
      </c>
      <c r="D572" s="477" t="s">
        <v>620</v>
      </c>
      <c r="E572" s="529">
        <f t="shared" si="98"/>
        <v>33</v>
      </c>
      <c r="F572" s="472">
        <f t="shared" si="99"/>
        <v>33</v>
      </c>
      <c r="G572" s="472">
        <f t="shared" si="100"/>
        <v>33</v>
      </c>
      <c r="H572" s="478">
        <v>33</v>
      </c>
      <c r="I572" s="472">
        <f t="shared" si="101"/>
        <v>0</v>
      </c>
      <c r="J572" s="478"/>
      <c r="K572" s="478"/>
      <c r="L572" s="478"/>
      <c r="M572" s="478"/>
      <c r="N572" s="478"/>
      <c r="O572" s="478"/>
      <c r="P572" s="478"/>
      <c r="Q572" s="478"/>
      <c r="R572" s="478"/>
      <c r="S572" s="472">
        <f t="shared" si="102"/>
        <v>0</v>
      </c>
      <c r="T572" s="478"/>
      <c r="U572" s="478"/>
      <c r="V572" s="478"/>
    </row>
    <row r="573" spans="1:22" s="468" customFormat="1" ht="45">
      <c r="A573" s="613"/>
      <c r="B573" s="613"/>
      <c r="C573" s="630">
        <v>4700</v>
      </c>
      <c r="D573" s="477" t="s">
        <v>708</v>
      </c>
      <c r="E573" s="529">
        <f t="shared" si="98"/>
        <v>3000</v>
      </c>
      <c r="F573" s="472">
        <f t="shared" si="99"/>
        <v>3000</v>
      </c>
      <c r="G573" s="472">
        <f t="shared" si="100"/>
        <v>3000</v>
      </c>
      <c r="H573" s="478">
        <v>3000</v>
      </c>
      <c r="I573" s="472">
        <f t="shared" si="101"/>
        <v>0</v>
      </c>
      <c r="J573" s="478"/>
      <c r="K573" s="478"/>
      <c r="L573" s="478"/>
      <c r="M573" s="478"/>
      <c r="N573" s="478"/>
      <c r="O573" s="478"/>
      <c r="P573" s="478"/>
      <c r="Q573" s="478"/>
      <c r="R573" s="478"/>
      <c r="S573" s="472">
        <f t="shared" si="102"/>
        <v>0</v>
      </c>
      <c r="T573" s="478"/>
      <c r="U573" s="478"/>
      <c r="V573" s="478"/>
    </row>
    <row r="574" spans="1:22" s="468" customFormat="1" ht="45">
      <c r="A574" s="613"/>
      <c r="B574" s="613"/>
      <c r="C574" s="630">
        <v>4707</v>
      </c>
      <c r="D574" s="477" t="s">
        <v>708</v>
      </c>
      <c r="E574" s="529">
        <f>F574+S574</f>
        <v>24610</v>
      </c>
      <c r="F574" s="472">
        <f>G574+N574+O574+P574+Q574+R574</f>
        <v>24610</v>
      </c>
      <c r="G574" s="472">
        <f>H574+I574</f>
        <v>0</v>
      </c>
      <c r="H574" s="478"/>
      <c r="I574" s="472">
        <f>SUM(J574:M574)</f>
        <v>0</v>
      </c>
      <c r="J574" s="478"/>
      <c r="K574" s="478"/>
      <c r="L574" s="478"/>
      <c r="M574" s="478"/>
      <c r="N574" s="478"/>
      <c r="O574" s="478"/>
      <c r="P574" s="478"/>
      <c r="Q574" s="478"/>
      <c r="R574" s="478">
        <v>24610</v>
      </c>
      <c r="S574" s="472">
        <f>T574+V574</f>
        <v>0</v>
      </c>
      <c r="T574" s="478"/>
      <c r="U574" s="478"/>
      <c r="V574" s="478"/>
    </row>
    <row r="575" spans="1:22" s="468" customFormat="1" ht="60">
      <c r="A575" s="613"/>
      <c r="B575" s="613"/>
      <c r="C575" s="630">
        <v>4740</v>
      </c>
      <c r="D575" s="477" t="s">
        <v>521</v>
      </c>
      <c r="E575" s="529">
        <f t="shared" si="98"/>
        <v>600</v>
      </c>
      <c r="F575" s="472">
        <f t="shared" si="99"/>
        <v>600</v>
      </c>
      <c r="G575" s="472">
        <f t="shared" si="100"/>
        <v>600</v>
      </c>
      <c r="H575" s="478">
        <v>600</v>
      </c>
      <c r="I575" s="472">
        <f t="shared" si="101"/>
        <v>0</v>
      </c>
      <c r="J575" s="478"/>
      <c r="K575" s="478"/>
      <c r="L575" s="478"/>
      <c r="M575" s="478"/>
      <c r="N575" s="478"/>
      <c r="O575" s="478"/>
      <c r="P575" s="478"/>
      <c r="Q575" s="478"/>
      <c r="R575" s="478"/>
      <c r="S575" s="472">
        <f t="shared" si="102"/>
        <v>0</v>
      </c>
      <c r="T575" s="478"/>
      <c r="U575" s="478"/>
      <c r="V575" s="478"/>
    </row>
    <row r="576" spans="1:22" s="468" customFormat="1" ht="45" customHeight="1">
      <c r="A576" s="613"/>
      <c r="B576" s="613"/>
      <c r="C576" s="630">
        <v>6050</v>
      </c>
      <c r="D576" s="477" t="s">
        <v>39</v>
      </c>
      <c r="E576" s="529">
        <f t="shared" si="98"/>
        <v>6500</v>
      </c>
      <c r="F576" s="472">
        <f t="shared" si="99"/>
        <v>0</v>
      </c>
      <c r="G576" s="472">
        <f t="shared" si="100"/>
        <v>0</v>
      </c>
      <c r="H576" s="478"/>
      <c r="I576" s="472">
        <f t="shared" si="101"/>
        <v>0</v>
      </c>
      <c r="J576" s="478"/>
      <c r="K576" s="478"/>
      <c r="L576" s="478"/>
      <c r="M576" s="478"/>
      <c r="N576" s="478"/>
      <c r="O576" s="478"/>
      <c r="P576" s="478"/>
      <c r="Q576" s="478"/>
      <c r="R576" s="478"/>
      <c r="S576" s="472">
        <f t="shared" si="102"/>
        <v>6500</v>
      </c>
      <c r="T576" s="478">
        <v>6500</v>
      </c>
      <c r="U576" s="478"/>
      <c r="V576" s="478"/>
    </row>
    <row r="577" spans="1:22" s="468" customFormat="1" ht="15.75" customHeight="1" hidden="1">
      <c r="A577" s="613"/>
      <c r="B577" s="457">
        <v>85334</v>
      </c>
      <c r="C577" s="629"/>
      <c r="D577" s="259" t="s">
        <v>744</v>
      </c>
      <c r="E577" s="529">
        <f t="shared" si="98"/>
        <v>0</v>
      </c>
      <c r="F577" s="472">
        <f t="shared" si="99"/>
        <v>0</v>
      </c>
      <c r="G577" s="472">
        <f t="shared" si="100"/>
        <v>0</v>
      </c>
      <c r="H577" s="475">
        <f aca="true" t="shared" si="104" ref="H577:V577">SUM(H578)</f>
        <v>0</v>
      </c>
      <c r="I577" s="472">
        <f t="shared" si="101"/>
        <v>0</v>
      </c>
      <c r="J577" s="475">
        <f>SUM(J578)</f>
        <v>0</v>
      </c>
      <c r="K577" s="475">
        <f t="shared" si="104"/>
        <v>0</v>
      </c>
      <c r="L577" s="475">
        <f t="shared" si="104"/>
        <v>0</v>
      </c>
      <c r="M577" s="475"/>
      <c r="N577" s="475"/>
      <c r="O577" s="475">
        <f t="shared" si="104"/>
        <v>0</v>
      </c>
      <c r="P577" s="475">
        <f t="shared" si="104"/>
        <v>0</v>
      </c>
      <c r="Q577" s="475">
        <f t="shared" si="104"/>
        <v>0</v>
      </c>
      <c r="R577" s="475">
        <f t="shared" si="104"/>
        <v>0</v>
      </c>
      <c r="S577" s="472">
        <f t="shared" si="102"/>
        <v>0</v>
      </c>
      <c r="T577" s="475">
        <f t="shared" si="104"/>
        <v>0</v>
      </c>
      <c r="U577" s="475">
        <f t="shared" si="104"/>
        <v>0</v>
      </c>
      <c r="V577" s="475">
        <f t="shared" si="104"/>
        <v>0</v>
      </c>
    </row>
    <row r="578" spans="1:22" s="468" customFormat="1" ht="15.75" customHeight="1" hidden="1">
      <c r="A578" s="613"/>
      <c r="B578" s="613"/>
      <c r="C578" s="638">
        <v>3110</v>
      </c>
      <c r="D578" s="481" t="s">
        <v>587</v>
      </c>
      <c r="E578" s="529">
        <f t="shared" si="98"/>
        <v>0</v>
      </c>
      <c r="F578" s="472">
        <f t="shared" si="99"/>
        <v>0</v>
      </c>
      <c r="G578" s="472">
        <f t="shared" si="100"/>
        <v>0</v>
      </c>
      <c r="H578" s="478"/>
      <c r="I578" s="472">
        <f t="shared" si="101"/>
        <v>0</v>
      </c>
      <c r="J578" s="478"/>
      <c r="K578" s="478"/>
      <c r="L578" s="478"/>
      <c r="M578" s="478"/>
      <c r="N578" s="478"/>
      <c r="O578" s="478"/>
      <c r="P578" s="478"/>
      <c r="Q578" s="478"/>
      <c r="R578" s="478"/>
      <c r="S578" s="472">
        <f t="shared" si="102"/>
        <v>0</v>
      </c>
      <c r="T578" s="478"/>
      <c r="U578" s="478"/>
      <c r="V578" s="478"/>
    </row>
    <row r="579" spans="1:22" s="468" customFormat="1" ht="15.75">
      <c r="A579" s="613"/>
      <c r="B579" s="620">
        <v>85395</v>
      </c>
      <c r="C579" s="270"/>
      <c r="D579" s="271" t="s">
        <v>599</v>
      </c>
      <c r="E579" s="529">
        <f t="shared" si="98"/>
        <v>2870381</v>
      </c>
      <c r="F579" s="472">
        <f t="shared" si="99"/>
        <v>2866348</v>
      </c>
      <c r="G579" s="472">
        <f t="shared" si="100"/>
        <v>0</v>
      </c>
      <c r="H579" s="478">
        <f>SUM(H580:H631)</f>
        <v>0</v>
      </c>
      <c r="I579" s="472">
        <f t="shared" si="101"/>
        <v>0</v>
      </c>
      <c r="J579" s="478">
        <f>SUM(J580:J631)</f>
        <v>0</v>
      </c>
      <c r="K579" s="478">
        <f aca="true" t="shared" si="105" ref="K579:R579">SUM(K580:K631)</f>
        <v>0</v>
      </c>
      <c r="L579" s="478">
        <f t="shared" si="105"/>
        <v>0</v>
      </c>
      <c r="M579" s="478">
        <f t="shared" si="105"/>
        <v>0</v>
      </c>
      <c r="N579" s="478">
        <f t="shared" si="105"/>
        <v>0</v>
      </c>
      <c r="O579" s="478">
        <f t="shared" si="105"/>
        <v>0</v>
      </c>
      <c r="P579" s="478">
        <f>SUM(P580:P631)</f>
        <v>0</v>
      </c>
      <c r="Q579" s="478">
        <f t="shared" si="105"/>
        <v>0</v>
      </c>
      <c r="R579" s="478">
        <f t="shared" si="105"/>
        <v>2866348</v>
      </c>
      <c r="S579" s="472">
        <f t="shared" si="102"/>
        <v>4033</v>
      </c>
      <c r="T579" s="478">
        <f>SUM(T580:T631)</f>
        <v>4033</v>
      </c>
      <c r="U579" s="478">
        <f>SUM(U580:U631)</f>
        <v>4033</v>
      </c>
      <c r="V579" s="478">
        <f>SUM(V580:V631)</f>
        <v>0</v>
      </c>
    </row>
    <row r="580" spans="1:22" s="468" customFormat="1" ht="75" customHeight="1">
      <c r="A580" s="613"/>
      <c r="B580" s="449"/>
      <c r="C580" s="273">
        <v>2318</v>
      </c>
      <c r="D580" s="272" t="s">
        <v>752</v>
      </c>
      <c r="E580" s="529">
        <f t="shared" si="98"/>
        <v>0</v>
      </c>
      <c r="F580" s="472">
        <f t="shared" si="99"/>
        <v>0</v>
      </c>
      <c r="G580" s="472">
        <f t="shared" si="100"/>
        <v>0</v>
      </c>
      <c r="H580" s="478"/>
      <c r="I580" s="472">
        <f t="shared" si="101"/>
        <v>0</v>
      </c>
      <c r="J580" s="478"/>
      <c r="K580" s="478"/>
      <c r="L580" s="478"/>
      <c r="M580" s="478"/>
      <c r="N580" s="478"/>
      <c r="O580" s="491"/>
      <c r="P580" s="478"/>
      <c r="Q580" s="478"/>
      <c r="R580" s="478"/>
      <c r="S580" s="472">
        <f t="shared" si="102"/>
        <v>0</v>
      </c>
      <c r="T580" s="478"/>
      <c r="U580" s="478"/>
      <c r="V580" s="478"/>
    </row>
    <row r="581" spans="1:22" s="468" customFormat="1" ht="75.75" customHeight="1">
      <c r="A581" s="613"/>
      <c r="B581" s="449"/>
      <c r="C581" s="273">
        <v>2319</v>
      </c>
      <c r="D581" s="272" t="s">
        <v>753</v>
      </c>
      <c r="E581" s="529">
        <f t="shared" si="98"/>
        <v>0</v>
      </c>
      <c r="F581" s="472">
        <f t="shared" si="99"/>
        <v>0</v>
      </c>
      <c r="G581" s="472">
        <f t="shared" si="100"/>
        <v>0</v>
      </c>
      <c r="H581" s="478"/>
      <c r="I581" s="472">
        <f t="shared" si="101"/>
        <v>0</v>
      </c>
      <c r="J581" s="478"/>
      <c r="K581" s="478"/>
      <c r="L581" s="478"/>
      <c r="M581" s="478"/>
      <c r="N581" s="478"/>
      <c r="O581" s="491"/>
      <c r="P581" s="478"/>
      <c r="Q581" s="478"/>
      <c r="R581" s="478"/>
      <c r="S581" s="472">
        <f t="shared" si="102"/>
        <v>0</v>
      </c>
      <c r="T581" s="478"/>
      <c r="U581" s="478"/>
      <c r="V581" s="478"/>
    </row>
    <row r="582" spans="1:22" s="468" customFormat="1" ht="73.5" customHeight="1">
      <c r="A582" s="613"/>
      <c r="B582" s="449"/>
      <c r="C582" s="273">
        <v>2328</v>
      </c>
      <c r="D582" s="272" t="s">
        <v>443</v>
      </c>
      <c r="E582" s="529">
        <f t="shared" si="98"/>
        <v>0</v>
      </c>
      <c r="F582" s="472">
        <f t="shared" si="99"/>
        <v>0</v>
      </c>
      <c r="G582" s="472">
        <f t="shared" si="100"/>
        <v>0</v>
      </c>
      <c r="H582" s="478"/>
      <c r="I582" s="472">
        <f t="shared" si="101"/>
        <v>0</v>
      </c>
      <c r="J582" s="478"/>
      <c r="K582" s="478"/>
      <c r="L582" s="478"/>
      <c r="M582" s="478"/>
      <c r="N582" s="478"/>
      <c r="O582" s="491"/>
      <c r="P582" s="478"/>
      <c r="Q582" s="478"/>
      <c r="R582" s="478"/>
      <c r="S582" s="472">
        <f t="shared" si="102"/>
        <v>0</v>
      </c>
      <c r="T582" s="478"/>
      <c r="U582" s="478"/>
      <c r="V582" s="478"/>
    </row>
    <row r="583" spans="1:22" s="468" customFormat="1" ht="87.75" customHeight="1">
      <c r="A583" s="613"/>
      <c r="B583" s="449"/>
      <c r="C583" s="273">
        <v>2329</v>
      </c>
      <c r="D583" s="272" t="s">
        <v>443</v>
      </c>
      <c r="E583" s="529">
        <f t="shared" si="98"/>
        <v>0</v>
      </c>
      <c r="F583" s="472">
        <f t="shared" si="99"/>
        <v>0</v>
      </c>
      <c r="G583" s="472">
        <f t="shared" si="100"/>
        <v>0</v>
      </c>
      <c r="H583" s="478"/>
      <c r="I583" s="472">
        <f t="shared" si="101"/>
        <v>0</v>
      </c>
      <c r="J583" s="478"/>
      <c r="K583" s="478"/>
      <c r="L583" s="478"/>
      <c r="M583" s="478"/>
      <c r="N583" s="478"/>
      <c r="O583" s="491"/>
      <c r="P583" s="478"/>
      <c r="Q583" s="478"/>
      <c r="R583" s="478"/>
      <c r="S583" s="472">
        <f t="shared" si="102"/>
        <v>0</v>
      </c>
      <c r="T583" s="478"/>
      <c r="U583" s="478"/>
      <c r="V583" s="478"/>
    </row>
    <row r="584" spans="1:22" s="468" customFormat="1" ht="30.75" customHeight="1">
      <c r="A584" s="621"/>
      <c r="B584" s="613"/>
      <c r="C584" s="630">
        <v>3118</v>
      </c>
      <c r="D584" s="477" t="s">
        <v>587</v>
      </c>
      <c r="E584" s="529">
        <f t="shared" si="98"/>
        <v>18455</v>
      </c>
      <c r="F584" s="472">
        <f t="shared" si="99"/>
        <v>18455</v>
      </c>
      <c r="G584" s="472">
        <f t="shared" si="100"/>
        <v>0</v>
      </c>
      <c r="H584" s="478"/>
      <c r="I584" s="472">
        <f t="shared" si="101"/>
        <v>0</v>
      </c>
      <c r="J584" s="478"/>
      <c r="K584" s="478"/>
      <c r="L584" s="478"/>
      <c r="M584" s="478"/>
      <c r="N584" s="478"/>
      <c r="O584" s="478"/>
      <c r="P584" s="478"/>
      <c r="Q584" s="478"/>
      <c r="R584" s="478">
        <v>18455</v>
      </c>
      <c r="S584" s="472">
        <f t="shared" si="102"/>
        <v>0</v>
      </c>
      <c r="T584" s="478"/>
      <c r="U584" s="478"/>
      <c r="V584" s="478"/>
    </row>
    <row r="585" spans="1:22" s="468" customFormat="1" ht="30">
      <c r="A585" s="613"/>
      <c r="B585" s="449"/>
      <c r="C585" s="270">
        <v>4017</v>
      </c>
      <c r="D585" s="272" t="s">
        <v>417</v>
      </c>
      <c r="E585" s="529">
        <f>F585+S585</f>
        <v>64511</v>
      </c>
      <c r="F585" s="472">
        <f>G585+N585+O585+P585+Q585+R585</f>
        <v>64511</v>
      </c>
      <c r="G585" s="472">
        <f>H585+I585</f>
        <v>0</v>
      </c>
      <c r="H585" s="478"/>
      <c r="I585" s="472">
        <f>SUM(J585:M585)</f>
        <v>0</v>
      </c>
      <c r="J585" s="478"/>
      <c r="K585" s="478"/>
      <c r="L585" s="492"/>
      <c r="M585" s="492"/>
      <c r="N585" s="492"/>
      <c r="O585" s="478"/>
      <c r="P585" s="478"/>
      <c r="Q585" s="478"/>
      <c r="R585" s="478">
        <v>64511</v>
      </c>
      <c r="S585" s="472">
        <f>T585+V585</f>
        <v>0</v>
      </c>
      <c r="T585" s="478"/>
      <c r="U585" s="478"/>
      <c r="V585" s="478"/>
    </row>
    <row r="586" spans="1:22" s="468" customFormat="1" ht="30">
      <c r="A586" s="613"/>
      <c r="B586" s="449"/>
      <c r="C586" s="270">
        <v>4018</v>
      </c>
      <c r="D586" s="272" t="s">
        <v>417</v>
      </c>
      <c r="E586" s="529">
        <f t="shared" si="98"/>
        <v>61887</v>
      </c>
      <c r="F586" s="472">
        <f t="shared" si="99"/>
        <v>61887</v>
      </c>
      <c r="G586" s="472">
        <f t="shared" si="100"/>
        <v>0</v>
      </c>
      <c r="H586" s="478"/>
      <c r="I586" s="472">
        <f t="shared" si="101"/>
        <v>0</v>
      </c>
      <c r="J586" s="478"/>
      <c r="K586" s="478"/>
      <c r="L586" s="492"/>
      <c r="M586" s="492"/>
      <c r="N586" s="492"/>
      <c r="O586" s="478"/>
      <c r="P586" s="478"/>
      <c r="Q586" s="478"/>
      <c r="R586" s="478">
        <v>61887</v>
      </c>
      <c r="S586" s="472">
        <f t="shared" si="102"/>
        <v>0</v>
      </c>
      <c r="T586" s="478"/>
      <c r="U586" s="478"/>
      <c r="V586" s="478"/>
    </row>
    <row r="587" spans="1:22" s="468" customFormat="1" ht="30">
      <c r="A587" s="613"/>
      <c r="B587" s="449"/>
      <c r="C587" s="270">
        <v>4019</v>
      </c>
      <c r="D587" s="272" t="s">
        <v>417</v>
      </c>
      <c r="E587" s="529">
        <f t="shared" si="98"/>
        <v>18768</v>
      </c>
      <c r="F587" s="472">
        <f t="shared" si="99"/>
        <v>18768</v>
      </c>
      <c r="G587" s="472">
        <f t="shared" si="100"/>
        <v>0</v>
      </c>
      <c r="H587" s="478"/>
      <c r="I587" s="472">
        <f t="shared" si="101"/>
        <v>0</v>
      </c>
      <c r="J587" s="478"/>
      <c r="K587" s="478"/>
      <c r="L587" s="492"/>
      <c r="M587" s="492"/>
      <c r="N587" s="492"/>
      <c r="O587" s="478"/>
      <c r="P587" s="478"/>
      <c r="Q587" s="478"/>
      <c r="R587" s="478">
        <v>18768</v>
      </c>
      <c r="S587" s="472">
        <f t="shared" si="102"/>
        <v>0</v>
      </c>
      <c r="T587" s="478"/>
      <c r="U587" s="478"/>
      <c r="V587" s="478"/>
    </row>
    <row r="588" spans="1:22" s="468" customFormat="1" ht="30">
      <c r="A588" s="613"/>
      <c r="B588" s="449"/>
      <c r="C588" s="270">
        <v>4048</v>
      </c>
      <c r="D588" s="272" t="s">
        <v>418</v>
      </c>
      <c r="E588" s="529">
        <f>F588+S588</f>
        <v>1102</v>
      </c>
      <c r="F588" s="472">
        <f>G588+N588+O588+P588+Q588+R588</f>
        <v>1102</v>
      </c>
      <c r="G588" s="472">
        <f>H588+I588</f>
        <v>0</v>
      </c>
      <c r="H588" s="478"/>
      <c r="I588" s="472">
        <f>SUM(J588:M588)</f>
        <v>0</v>
      </c>
      <c r="J588" s="478"/>
      <c r="K588" s="478"/>
      <c r="L588" s="492"/>
      <c r="M588" s="492"/>
      <c r="N588" s="492"/>
      <c r="O588" s="478"/>
      <c r="P588" s="478"/>
      <c r="Q588" s="478"/>
      <c r="R588" s="478">
        <v>1102</v>
      </c>
      <c r="S588" s="472">
        <f>T588+V588</f>
        <v>0</v>
      </c>
      <c r="T588" s="478"/>
      <c r="U588" s="478"/>
      <c r="V588" s="478"/>
    </row>
    <row r="589" spans="1:22" s="468" customFormat="1" ht="30">
      <c r="A589" s="613"/>
      <c r="B589" s="449"/>
      <c r="C589" s="270">
        <v>4049</v>
      </c>
      <c r="D589" s="272" t="s">
        <v>418</v>
      </c>
      <c r="E589" s="529">
        <f>F589+S589</f>
        <v>58</v>
      </c>
      <c r="F589" s="472">
        <f>G589+N589+O589+P589+Q589+R589</f>
        <v>58</v>
      </c>
      <c r="G589" s="472">
        <f>H589+I589</f>
        <v>0</v>
      </c>
      <c r="H589" s="478"/>
      <c r="I589" s="472">
        <f>SUM(J589:M589)</f>
        <v>0</v>
      </c>
      <c r="J589" s="478"/>
      <c r="K589" s="478"/>
      <c r="L589" s="492"/>
      <c r="M589" s="492"/>
      <c r="N589" s="492"/>
      <c r="O589" s="478"/>
      <c r="P589" s="478"/>
      <c r="Q589" s="478"/>
      <c r="R589" s="478">
        <v>58</v>
      </c>
      <c r="S589" s="472">
        <f>T589+V589</f>
        <v>0</v>
      </c>
      <c r="T589" s="478"/>
      <c r="U589" s="478"/>
      <c r="V589" s="478"/>
    </row>
    <row r="590" spans="1:22" s="468" customFormat="1" ht="45">
      <c r="A590" s="613"/>
      <c r="B590" s="449"/>
      <c r="C590" s="270">
        <v>4117</v>
      </c>
      <c r="D590" s="272" t="s">
        <v>556</v>
      </c>
      <c r="E590" s="529">
        <f>F590+S590</f>
        <v>19141</v>
      </c>
      <c r="F590" s="472">
        <f>G590+N590+O590+P590+Q590+R590</f>
        <v>19141</v>
      </c>
      <c r="G590" s="472">
        <f>H590+I590</f>
        <v>0</v>
      </c>
      <c r="H590" s="478"/>
      <c r="I590" s="472">
        <f>SUM(J590:M590)</f>
        <v>0</v>
      </c>
      <c r="J590" s="478"/>
      <c r="K590" s="478"/>
      <c r="L590" s="492"/>
      <c r="M590" s="492"/>
      <c r="N590" s="492"/>
      <c r="O590" s="478"/>
      <c r="P590" s="478"/>
      <c r="Q590" s="478"/>
      <c r="R590" s="492">
        <v>19141</v>
      </c>
      <c r="S590" s="472">
        <f>T590+V590</f>
        <v>0</v>
      </c>
      <c r="T590" s="478"/>
      <c r="U590" s="478"/>
      <c r="V590" s="478"/>
    </row>
    <row r="591" spans="1:22" s="468" customFormat="1" ht="45">
      <c r="A591" s="613"/>
      <c r="B591" s="449"/>
      <c r="C591" s="270">
        <v>4118</v>
      </c>
      <c r="D591" s="272" t="s">
        <v>556</v>
      </c>
      <c r="E591" s="529">
        <f t="shared" si="98"/>
        <v>36038</v>
      </c>
      <c r="F591" s="472">
        <f t="shared" si="99"/>
        <v>36038</v>
      </c>
      <c r="G591" s="472">
        <f t="shared" si="100"/>
        <v>0</v>
      </c>
      <c r="H591" s="478"/>
      <c r="I591" s="472">
        <f t="shared" si="101"/>
        <v>0</v>
      </c>
      <c r="J591" s="478"/>
      <c r="K591" s="478"/>
      <c r="L591" s="492"/>
      <c r="M591" s="492"/>
      <c r="N591" s="492"/>
      <c r="O591" s="478"/>
      <c r="P591" s="478"/>
      <c r="Q591" s="478"/>
      <c r="R591" s="492">
        <v>36038</v>
      </c>
      <c r="S591" s="472">
        <f t="shared" si="102"/>
        <v>0</v>
      </c>
      <c r="T591" s="478"/>
      <c r="U591" s="478"/>
      <c r="V591" s="478"/>
    </row>
    <row r="592" spans="1:22" s="468" customFormat="1" ht="45">
      <c r="A592" s="613"/>
      <c r="B592" s="449"/>
      <c r="C592" s="270">
        <v>4119</v>
      </c>
      <c r="D592" s="272" t="s">
        <v>556</v>
      </c>
      <c r="E592" s="529">
        <f t="shared" si="98"/>
        <v>9134</v>
      </c>
      <c r="F592" s="472">
        <f t="shared" si="99"/>
        <v>9134</v>
      </c>
      <c r="G592" s="472">
        <f t="shared" si="100"/>
        <v>0</v>
      </c>
      <c r="H592" s="478"/>
      <c r="I592" s="472">
        <f t="shared" si="101"/>
        <v>0</v>
      </c>
      <c r="J592" s="478"/>
      <c r="K592" s="478"/>
      <c r="L592" s="492"/>
      <c r="M592" s="492"/>
      <c r="N592" s="492"/>
      <c r="O592" s="478"/>
      <c r="P592" s="478"/>
      <c r="Q592" s="478"/>
      <c r="R592" s="492">
        <v>9134</v>
      </c>
      <c r="S592" s="472">
        <f t="shared" si="102"/>
        <v>0</v>
      </c>
      <c r="T592" s="478"/>
      <c r="U592" s="478"/>
      <c r="V592" s="478"/>
    </row>
    <row r="593" spans="1:22" s="468" customFormat="1" ht="30">
      <c r="A593" s="613"/>
      <c r="B593" s="449"/>
      <c r="C593" s="270">
        <v>4127</v>
      </c>
      <c r="D593" s="272" t="s">
        <v>558</v>
      </c>
      <c r="E593" s="529">
        <f>F593+S593</f>
        <v>3035</v>
      </c>
      <c r="F593" s="472">
        <f>G593+N593+O593+P593+Q593+R593</f>
        <v>3035</v>
      </c>
      <c r="G593" s="472">
        <f>H593+I593</f>
        <v>0</v>
      </c>
      <c r="H593" s="478"/>
      <c r="I593" s="472">
        <f>SUM(J593:M593)</f>
        <v>0</v>
      </c>
      <c r="J593" s="478"/>
      <c r="K593" s="478"/>
      <c r="L593" s="492"/>
      <c r="M593" s="492"/>
      <c r="N593" s="492"/>
      <c r="O593" s="478"/>
      <c r="P593" s="478"/>
      <c r="Q593" s="478"/>
      <c r="R593" s="492">
        <v>3035</v>
      </c>
      <c r="S593" s="472">
        <f>T593+V593</f>
        <v>0</v>
      </c>
      <c r="T593" s="478"/>
      <c r="U593" s="478"/>
      <c r="V593" s="478"/>
    </row>
    <row r="594" spans="1:22" s="468" customFormat="1" ht="30">
      <c r="A594" s="613"/>
      <c r="B594" s="449"/>
      <c r="C594" s="270">
        <v>4128</v>
      </c>
      <c r="D594" s="272" t="s">
        <v>558</v>
      </c>
      <c r="E594" s="529">
        <f t="shared" si="98"/>
        <v>5855</v>
      </c>
      <c r="F594" s="472">
        <f t="shared" si="99"/>
        <v>5855</v>
      </c>
      <c r="G594" s="472">
        <f t="shared" si="100"/>
        <v>0</v>
      </c>
      <c r="H594" s="478"/>
      <c r="I594" s="472">
        <f t="shared" si="101"/>
        <v>0</v>
      </c>
      <c r="J594" s="478"/>
      <c r="K594" s="478"/>
      <c r="L594" s="492"/>
      <c r="M594" s="492"/>
      <c r="N594" s="492"/>
      <c r="O594" s="478"/>
      <c r="P594" s="478"/>
      <c r="Q594" s="478"/>
      <c r="R594" s="492">
        <v>5855</v>
      </c>
      <c r="S594" s="472">
        <f t="shared" si="102"/>
        <v>0</v>
      </c>
      <c r="T594" s="478"/>
      <c r="U594" s="478"/>
      <c r="V594" s="478"/>
    </row>
    <row r="595" spans="1:22" s="468" customFormat="1" ht="30">
      <c r="A595" s="613"/>
      <c r="B595" s="449"/>
      <c r="C595" s="270">
        <v>4129</v>
      </c>
      <c r="D595" s="272" t="s">
        <v>558</v>
      </c>
      <c r="E595" s="529">
        <f t="shared" si="98"/>
        <v>1468</v>
      </c>
      <c r="F595" s="472">
        <f t="shared" si="99"/>
        <v>1468</v>
      </c>
      <c r="G595" s="472">
        <f t="shared" si="100"/>
        <v>0</v>
      </c>
      <c r="H595" s="478"/>
      <c r="I595" s="472">
        <f t="shared" si="101"/>
        <v>0</v>
      </c>
      <c r="J595" s="478"/>
      <c r="K595" s="478"/>
      <c r="L595" s="492"/>
      <c r="M595" s="492"/>
      <c r="N595" s="492"/>
      <c r="O595" s="478"/>
      <c r="P595" s="478"/>
      <c r="Q595" s="478"/>
      <c r="R595" s="492">
        <v>1468</v>
      </c>
      <c r="S595" s="472">
        <f t="shared" si="102"/>
        <v>0</v>
      </c>
      <c r="T595" s="478"/>
      <c r="U595" s="478"/>
      <c r="V595" s="478"/>
    </row>
    <row r="596" spans="1:22" s="468" customFormat="1" ht="30" customHeight="1">
      <c r="A596" s="613"/>
      <c r="B596" s="449"/>
      <c r="C596" s="270">
        <v>4177</v>
      </c>
      <c r="D596" s="272" t="s">
        <v>518</v>
      </c>
      <c r="E596" s="529">
        <f>F596+S596</f>
        <v>310745</v>
      </c>
      <c r="F596" s="472">
        <f>G596+N596+O596+P596+Q596+R596</f>
        <v>310745</v>
      </c>
      <c r="G596" s="472">
        <f>H596+I596</f>
        <v>0</v>
      </c>
      <c r="H596" s="478"/>
      <c r="I596" s="472">
        <f>SUM(J596:M596)</f>
        <v>0</v>
      </c>
      <c r="J596" s="478"/>
      <c r="K596" s="478"/>
      <c r="L596" s="478"/>
      <c r="M596" s="478"/>
      <c r="N596" s="478"/>
      <c r="O596" s="478"/>
      <c r="P596" s="478"/>
      <c r="Q596" s="478"/>
      <c r="R596" s="492">
        <v>310745</v>
      </c>
      <c r="S596" s="472">
        <f>T596+V596</f>
        <v>0</v>
      </c>
      <c r="T596" s="478"/>
      <c r="U596" s="478"/>
      <c r="V596" s="478"/>
    </row>
    <row r="597" spans="1:22" s="468" customFormat="1" ht="30" customHeight="1">
      <c r="A597" s="613"/>
      <c r="B597" s="449"/>
      <c r="C597" s="270">
        <v>4178</v>
      </c>
      <c r="D597" s="272" t="s">
        <v>518</v>
      </c>
      <c r="E597" s="529">
        <f t="shared" si="98"/>
        <v>1168886</v>
      </c>
      <c r="F597" s="472">
        <f t="shared" si="99"/>
        <v>1168886</v>
      </c>
      <c r="G597" s="472">
        <f t="shared" si="100"/>
        <v>0</v>
      </c>
      <c r="H597" s="478"/>
      <c r="I597" s="472">
        <f t="shared" si="101"/>
        <v>0</v>
      </c>
      <c r="J597" s="478"/>
      <c r="K597" s="478"/>
      <c r="L597" s="478"/>
      <c r="M597" s="478"/>
      <c r="N597" s="478"/>
      <c r="O597" s="478"/>
      <c r="P597" s="478"/>
      <c r="Q597" s="478"/>
      <c r="R597" s="492">
        <v>1168886</v>
      </c>
      <c r="S597" s="472">
        <f t="shared" si="102"/>
        <v>0</v>
      </c>
      <c r="T597" s="478"/>
      <c r="U597" s="478"/>
      <c r="V597" s="478"/>
    </row>
    <row r="598" spans="1:22" s="468" customFormat="1" ht="27.75" customHeight="1">
      <c r="A598" s="613"/>
      <c r="B598" s="449"/>
      <c r="C598" s="270">
        <v>4179</v>
      </c>
      <c r="D598" s="272" t="s">
        <v>518</v>
      </c>
      <c r="E598" s="529">
        <f t="shared" si="98"/>
        <v>255335</v>
      </c>
      <c r="F598" s="472">
        <f t="shared" si="99"/>
        <v>255335</v>
      </c>
      <c r="G598" s="472">
        <f t="shared" si="100"/>
        <v>0</v>
      </c>
      <c r="H598" s="478"/>
      <c r="I598" s="472">
        <f t="shared" si="101"/>
        <v>0</v>
      </c>
      <c r="J598" s="478"/>
      <c r="K598" s="478"/>
      <c r="L598" s="478"/>
      <c r="M598" s="478"/>
      <c r="N598" s="478"/>
      <c r="O598" s="478"/>
      <c r="P598" s="478"/>
      <c r="Q598" s="478"/>
      <c r="R598" s="492">
        <v>255335</v>
      </c>
      <c r="S598" s="472">
        <f t="shared" si="102"/>
        <v>0</v>
      </c>
      <c r="T598" s="478"/>
      <c r="U598" s="478"/>
      <c r="V598" s="478"/>
    </row>
    <row r="599" spans="1:22" s="468" customFormat="1" ht="30">
      <c r="A599" s="613"/>
      <c r="B599" s="449"/>
      <c r="C599" s="270">
        <v>4217</v>
      </c>
      <c r="D599" s="272" t="s">
        <v>422</v>
      </c>
      <c r="E599" s="529">
        <f>F599+S599</f>
        <v>65401</v>
      </c>
      <c r="F599" s="472">
        <f>G599+N599+O599+P599+Q599+R599</f>
        <v>65401</v>
      </c>
      <c r="G599" s="472">
        <f>H599+I599</f>
        <v>0</v>
      </c>
      <c r="H599" s="478"/>
      <c r="I599" s="472">
        <f>SUM(J599:M599)</f>
        <v>0</v>
      </c>
      <c r="J599" s="478"/>
      <c r="K599" s="478"/>
      <c r="L599" s="478"/>
      <c r="M599" s="478"/>
      <c r="N599" s="478"/>
      <c r="O599" s="478"/>
      <c r="P599" s="478"/>
      <c r="Q599" s="478"/>
      <c r="R599" s="492">
        <v>65401</v>
      </c>
      <c r="S599" s="472">
        <f>T599+V599</f>
        <v>0</v>
      </c>
      <c r="T599" s="478"/>
      <c r="U599" s="478"/>
      <c r="V599" s="478"/>
    </row>
    <row r="600" spans="1:22" s="468" customFormat="1" ht="30">
      <c r="A600" s="613"/>
      <c r="B600" s="449"/>
      <c r="C600" s="270">
        <v>4218</v>
      </c>
      <c r="D600" s="272" t="s">
        <v>422</v>
      </c>
      <c r="E600" s="529">
        <f aca="true" t="shared" si="106" ref="E600:E669">F600+S600</f>
        <v>131519</v>
      </c>
      <c r="F600" s="472">
        <f t="shared" si="99"/>
        <v>131519</v>
      </c>
      <c r="G600" s="472">
        <f t="shared" si="100"/>
        <v>0</v>
      </c>
      <c r="H600" s="478"/>
      <c r="I600" s="472">
        <f t="shared" si="101"/>
        <v>0</v>
      </c>
      <c r="J600" s="478"/>
      <c r="K600" s="478"/>
      <c r="L600" s="478"/>
      <c r="M600" s="478"/>
      <c r="N600" s="478"/>
      <c r="O600" s="478"/>
      <c r="P600" s="478"/>
      <c r="Q600" s="478"/>
      <c r="R600" s="492">
        <v>131519</v>
      </c>
      <c r="S600" s="472">
        <f t="shared" si="102"/>
        <v>0</v>
      </c>
      <c r="T600" s="478"/>
      <c r="U600" s="478"/>
      <c r="V600" s="478"/>
    </row>
    <row r="601" spans="1:22" s="468" customFormat="1" ht="30">
      <c r="A601" s="613"/>
      <c r="B601" s="449"/>
      <c r="C601" s="270">
        <v>4219</v>
      </c>
      <c r="D601" s="272" t="s">
        <v>422</v>
      </c>
      <c r="E601" s="529">
        <f t="shared" si="106"/>
        <v>33597</v>
      </c>
      <c r="F601" s="472">
        <f aca="true" t="shared" si="107" ref="F601:F670">G601+N601+O601+P601+Q601+R601</f>
        <v>33597</v>
      </c>
      <c r="G601" s="472">
        <f aca="true" t="shared" si="108" ref="G601:G670">H601+I601</f>
        <v>0</v>
      </c>
      <c r="H601" s="478"/>
      <c r="I601" s="472">
        <f aca="true" t="shared" si="109" ref="I601:I670">SUM(J601:M601)</f>
        <v>0</v>
      </c>
      <c r="J601" s="478"/>
      <c r="K601" s="478"/>
      <c r="L601" s="478"/>
      <c r="M601" s="478"/>
      <c r="N601" s="478"/>
      <c r="O601" s="478"/>
      <c r="P601" s="478"/>
      <c r="Q601" s="478"/>
      <c r="R601" s="492">
        <v>33597</v>
      </c>
      <c r="S601" s="472">
        <f aca="true" t="shared" si="110" ref="S601:S670">T601+V601</f>
        <v>0</v>
      </c>
      <c r="T601" s="478"/>
      <c r="U601" s="478"/>
      <c r="V601" s="478"/>
    </row>
    <row r="602" spans="1:22" s="468" customFormat="1" ht="45">
      <c r="A602" s="613"/>
      <c r="B602" s="449"/>
      <c r="C602" s="270">
        <v>4248</v>
      </c>
      <c r="D602" s="272" t="s">
        <v>566</v>
      </c>
      <c r="E602" s="529">
        <f t="shared" si="106"/>
        <v>49363</v>
      </c>
      <c r="F602" s="472">
        <f t="shared" si="107"/>
        <v>49363</v>
      </c>
      <c r="G602" s="472">
        <f t="shared" si="108"/>
        <v>0</v>
      </c>
      <c r="H602" s="478"/>
      <c r="I602" s="472">
        <f t="shared" si="109"/>
        <v>0</v>
      </c>
      <c r="J602" s="478"/>
      <c r="K602" s="478"/>
      <c r="L602" s="478"/>
      <c r="M602" s="478"/>
      <c r="N602" s="478"/>
      <c r="O602" s="478"/>
      <c r="P602" s="478"/>
      <c r="Q602" s="478"/>
      <c r="R602" s="492">
        <v>49363</v>
      </c>
      <c r="S602" s="472">
        <f t="shared" si="110"/>
        <v>0</v>
      </c>
      <c r="T602" s="478"/>
      <c r="U602" s="478"/>
      <c r="V602" s="478"/>
    </row>
    <row r="603" spans="1:22" s="468" customFormat="1" ht="45">
      <c r="A603" s="613"/>
      <c r="B603" s="357"/>
      <c r="C603" s="270">
        <v>4248</v>
      </c>
      <c r="D603" s="272" t="s">
        <v>566</v>
      </c>
      <c r="E603" s="529">
        <f t="shared" si="106"/>
        <v>8711</v>
      </c>
      <c r="F603" s="472">
        <f t="shared" si="107"/>
        <v>8711</v>
      </c>
      <c r="G603" s="472">
        <f t="shared" si="108"/>
        <v>0</v>
      </c>
      <c r="H603" s="478"/>
      <c r="I603" s="472">
        <f t="shared" si="109"/>
        <v>0</v>
      </c>
      <c r="J603" s="478"/>
      <c r="K603" s="478"/>
      <c r="L603" s="478"/>
      <c r="M603" s="478"/>
      <c r="N603" s="478"/>
      <c r="O603" s="478"/>
      <c r="P603" s="478"/>
      <c r="Q603" s="478"/>
      <c r="R603" s="492">
        <v>8711</v>
      </c>
      <c r="S603" s="472">
        <f t="shared" si="110"/>
        <v>0</v>
      </c>
      <c r="T603" s="478"/>
      <c r="U603" s="478"/>
      <c r="V603" s="478"/>
    </row>
    <row r="604" spans="1:22" s="468" customFormat="1" ht="15.75">
      <c r="A604" s="613"/>
      <c r="B604" s="613"/>
      <c r="C604" s="630">
        <v>4268</v>
      </c>
      <c r="D604" s="477" t="s">
        <v>423</v>
      </c>
      <c r="E604" s="529">
        <f t="shared" si="106"/>
        <v>0</v>
      </c>
      <c r="F604" s="472">
        <f t="shared" si="107"/>
        <v>0</v>
      </c>
      <c r="G604" s="472">
        <f t="shared" si="108"/>
        <v>0</v>
      </c>
      <c r="H604" s="478"/>
      <c r="I604" s="472">
        <f t="shared" si="109"/>
        <v>0</v>
      </c>
      <c r="J604" s="478"/>
      <c r="K604" s="478"/>
      <c r="L604" s="478"/>
      <c r="M604" s="478"/>
      <c r="N604" s="478"/>
      <c r="O604" s="478"/>
      <c r="P604" s="478"/>
      <c r="Q604" s="478"/>
      <c r="R604" s="478"/>
      <c r="S604" s="472">
        <f t="shared" si="110"/>
        <v>0</v>
      </c>
      <c r="T604" s="478"/>
      <c r="U604" s="478"/>
      <c r="V604" s="478"/>
    </row>
    <row r="605" spans="1:22" s="468" customFormat="1" ht="15.75">
      <c r="A605" s="613"/>
      <c r="B605" s="613"/>
      <c r="C605" s="630">
        <v>4269</v>
      </c>
      <c r="D605" s="477" t="s">
        <v>423</v>
      </c>
      <c r="E605" s="529">
        <f t="shared" si="106"/>
        <v>0</v>
      </c>
      <c r="F605" s="472">
        <f t="shared" si="107"/>
        <v>0</v>
      </c>
      <c r="G605" s="472">
        <f t="shared" si="108"/>
        <v>0</v>
      </c>
      <c r="H605" s="478"/>
      <c r="I605" s="472">
        <f t="shared" si="109"/>
        <v>0</v>
      </c>
      <c r="J605" s="478"/>
      <c r="K605" s="478"/>
      <c r="L605" s="478"/>
      <c r="M605" s="478"/>
      <c r="N605" s="478"/>
      <c r="O605" s="478"/>
      <c r="P605" s="478"/>
      <c r="Q605" s="478"/>
      <c r="R605" s="478"/>
      <c r="S605" s="472">
        <f t="shared" si="110"/>
        <v>0</v>
      </c>
      <c r="T605" s="478"/>
      <c r="U605" s="478"/>
      <c r="V605" s="478"/>
    </row>
    <row r="606" spans="1:22" s="468" customFormat="1" ht="30">
      <c r="A606" s="613"/>
      <c r="B606" s="449"/>
      <c r="C606" s="270">
        <v>4277</v>
      </c>
      <c r="D606" s="272" t="s">
        <v>424</v>
      </c>
      <c r="E606" s="529">
        <f>F606+S606</f>
        <v>104</v>
      </c>
      <c r="F606" s="472">
        <f>G606+N606+O606+P606+Q606+R606</f>
        <v>104</v>
      </c>
      <c r="G606" s="472">
        <f>H606+I606</f>
        <v>0</v>
      </c>
      <c r="H606" s="478"/>
      <c r="I606" s="472">
        <f>SUM(J606:M606)</f>
        <v>0</v>
      </c>
      <c r="J606" s="478"/>
      <c r="K606" s="478"/>
      <c r="L606" s="478"/>
      <c r="M606" s="478"/>
      <c r="N606" s="478"/>
      <c r="O606" s="478"/>
      <c r="P606" s="478"/>
      <c r="Q606" s="478"/>
      <c r="R606" s="492">
        <v>104</v>
      </c>
      <c r="S606" s="472">
        <f>T606+V606</f>
        <v>0</v>
      </c>
      <c r="T606" s="478"/>
      <c r="U606" s="478"/>
      <c r="V606" s="478"/>
    </row>
    <row r="607" spans="1:22" s="468" customFormat="1" ht="30">
      <c r="A607" s="613"/>
      <c r="B607" s="449"/>
      <c r="C607" s="270">
        <v>4279</v>
      </c>
      <c r="D607" s="272" t="s">
        <v>424</v>
      </c>
      <c r="E607" s="529">
        <f>F607+S607</f>
        <v>6</v>
      </c>
      <c r="F607" s="472">
        <f>G607+N607+O607+P607+Q607+R607</f>
        <v>6</v>
      </c>
      <c r="G607" s="472">
        <f>H607+I607</f>
        <v>0</v>
      </c>
      <c r="H607" s="478"/>
      <c r="I607" s="472">
        <f>SUM(J607:M607)</f>
        <v>0</v>
      </c>
      <c r="J607" s="478"/>
      <c r="K607" s="478"/>
      <c r="L607" s="478"/>
      <c r="M607" s="478"/>
      <c r="N607" s="478"/>
      <c r="O607" s="478"/>
      <c r="P607" s="478"/>
      <c r="Q607" s="478"/>
      <c r="R607" s="492">
        <v>6</v>
      </c>
      <c r="S607" s="472">
        <f>T607+V607</f>
        <v>0</v>
      </c>
      <c r="T607" s="478"/>
      <c r="U607" s="478"/>
      <c r="V607" s="478"/>
    </row>
    <row r="608" spans="1:22" s="468" customFormat="1" ht="30">
      <c r="A608" s="613"/>
      <c r="B608" s="449"/>
      <c r="C608" s="270">
        <v>4307</v>
      </c>
      <c r="D608" s="272" t="s">
        <v>405</v>
      </c>
      <c r="E608" s="529">
        <f>F608+S608</f>
        <v>191977</v>
      </c>
      <c r="F608" s="472">
        <f>G608+N608+O608+P608+Q608+R608</f>
        <v>191977</v>
      </c>
      <c r="G608" s="472">
        <f>H608+I608</f>
        <v>0</v>
      </c>
      <c r="H608" s="478"/>
      <c r="I608" s="472">
        <f>SUM(J608:M608)</f>
        <v>0</v>
      </c>
      <c r="J608" s="478"/>
      <c r="K608" s="478"/>
      <c r="L608" s="478"/>
      <c r="M608" s="478"/>
      <c r="N608" s="478"/>
      <c r="O608" s="478"/>
      <c r="P608" s="478"/>
      <c r="Q608" s="478"/>
      <c r="R608" s="492">
        <v>191977</v>
      </c>
      <c r="S608" s="472">
        <f>T608+V608</f>
        <v>0</v>
      </c>
      <c r="T608" s="478"/>
      <c r="U608" s="478"/>
      <c r="V608" s="478"/>
    </row>
    <row r="609" spans="1:22" s="468" customFormat="1" ht="30">
      <c r="A609" s="613"/>
      <c r="B609" s="449"/>
      <c r="C609" s="270">
        <v>4308</v>
      </c>
      <c r="D609" s="272" t="s">
        <v>405</v>
      </c>
      <c r="E609" s="529">
        <f t="shared" si="106"/>
        <v>238274</v>
      </c>
      <c r="F609" s="472">
        <f t="shared" si="107"/>
        <v>238274</v>
      </c>
      <c r="G609" s="472">
        <f t="shared" si="108"/>
        <v>0</v>
      </c>
      <c r="H609" s="478"/>
      <c r="I609" s="472">
        <f t="shared" si="109"/>
        <v>0</v>
      </c>
      <c r="J609" s="478"/>
      <c r="K609" s="478"/>
      <c r="L609" s="478"/>
      <c r="M609" s="478"/>
      <c r="N609" s="478"/>
      <c r="O609" s="478"/>
      <c r="P609" s="478"/>
      <c r="Q609" s="478"/>
      <c r="R609" s="492">
        <v>238274</v>
      </c>
      <c r="S609" s="472">
        <f t="shared" si="110"/>
        <v>0</v>
      </c>
      <c r="T609" s="478"/>
      <c r="U609" s="478"/>
      <c r="V609" s="478"/>
    </row>
    <row r="610" spans="1:22" s="468" customFormat="1" ht="30">
      <c r="A610" s="613"/>
      <c r="B610" s="449"/>
      <c r="C610" s="270">
        <v>4309</v>
      </c>
      <c r="D610" s="272" t="s">
        <v>405</v>
      </c>
      <c r="E610" s="529">
        <f t="shared" si="106"/>
        <v>57472</v>
      </c>
      <c r="F610" s="472">
        <f t="shared" si="107"/>
        <v>57472</v>
      </c>
      <c r="G610" s="472">
        <f t="shared" si="108"/>
        <v>0</v>
      </c>
      <c r="H610" s="478"/>
      <c r="I610" s="472">
        <f t="shared" si="109"/>
        <v>0</v>
      </c>
      <c r="J610" s="478"/>
      <c r="K610" s="478"/>
      <c r="L610" s="478"/>
      <c r="M610" s="478"/>
      <c r="N610" s="478"/>
      <c r="O610" s="478"/>
      <c r="P610" s="478"/>
      <c r="Q610" s="478"/>
      <c r="R610" s="492">
        <f>57473-1</f>
        <v>57472</v>
      </c>
      <c r="S610" s="472">
        <f t="shared" si="110"/>
        <v>0</v>
      </c>
      <c r="T610" s="478"/>
      <c r="U610" s="478"/>
      <c r="V610" s="478"/>
    </row>
    <row r="611" spans="1:22" s="468" customFormat="1" ht="30">
      <c r="A611" s="613"/>
      <c r="B611" s="449"/>
      <c r="C611" s="635">
        <v>4358</v>
      </c>
      <c r="D611" s="485" t="s">
        <v>426</v>
      </c>
      <c r="E611" s="529">
        <f t="shared" si="106"/>
        <v>308</v>
      </c>
      <c r="F611" s="472">
        <f t="shared" si="107"/>
        <v>308</v>
      </c>
      <c r="G611" s="472">
        <f t="shared" si="108"/>
        <v>0</v>
      </c>
      <c r="H611" s="478"/>
      <c r="I611" s="472">
        <f t="shared" si="109"/>
        <v>0</v>
      </c>
      <c r="J611" s="478"/>
      <c r="K611" s="478"/>
      <c r="L611" s="478"/>
      <c r="M611" s="478"/>
      <c r="N611" s="478"/>
      <c r="O611" s="478"/>
      <c r="P611" s="478"/>
      <c r="Q611" s="478"/>
      <c r="R611" s="489">
        <v>308</v>
      </c>
      <c r="S611" s="472">
        <f t="shared" si="110"/>
        <v>0</v>
      </c>
      <c r="T611" s="478"/>
      <c r="U611" s="478"/>
      <c r="V611" s="478"/>
    </row>
    <row r="612" spans="1:22" s="468" customFormat="1" ht="30">
      <c r="A612" s="613"/>
      <c r="B612" s="449"/>
      <c r="C612" s="635">
        <v>4359</v>
      </c>
      <c r="D612" s="485" t="s">
        <v>426</v>
      </c>
      <c r="E612" s="529">
        <f t="shared" si="106"/>
        <v>54</v>
      </c>
      <c r="F612" s="472">
        <f t="shared" si="107"/>
        <v>54</v>
      </c>
      <c r="G612" s="472">
        <f t="shared" si="108"/>
        <v>0</v>
      </c>
      <c r="H612" s="478"/>
      <c r="I612" s="472">
        <f t="shared" si="109"/>
        <v>0</v>
      </c>
      <c r="J612" s="478"/>
      <c r="K612" s="478"/>
      <c r="L612" s="478"/>
      <c r="M612" s="478"/>
      <c r="N612" s="478"/>
      <c r="O612" s="478"/>
      <c r="P612" s="478"/>
      <c r="Q612" s="478"/>
      <c r="R612" s="489">
        <v>54</v>
      </c>
      <c r="S612" s="472">
        <f t="shared" si="110"/>
        <v>0</v>
      </c>
      <c r="T612" s="478"/>
      <c r="U612" s="478"/>
      <c r="V612" s="478"/>
    </row>
    <row r="613" spans="1:22" s="468" customFormat="1" ht="60">
      <c r="A613" s="613"/>
      <c r="B613" s="449"/>
      <c r="C613" s="635">
        <v>4367</v>
      </c>
      <c r="D613" s="485" t="s">
        <v>567</v>
      </c>
      <c r="E613" s="529">
        <f>F613+S613</f>
        <v>170</v>
      </c>
      <c r="F613" s="472">
        <f>G613+N613+O613+P613+Q613+R613</f>
        <v>170</v>
      </c>
      <c r="G613" s="472">
        <f>H613+I613</f>
        <v>0</v>
      </c>
      <c r="H613" s="478"/>
      <c r="I613" s="472">
        <f>SUM(J613:M613)</f>
        <v>0</v>
      </c>
      <c r="J613" s="478"/>
      <c r="K613" s="478"/>
      <c r="L613" s="478"/>
      <c r="M613" s="478"/>
      <c r="N613" s="478"/>
      <c r="O613" s="478"/>
      <c r="P613" s="478"/>
      <c r="Q613" s="478"/>
      <c r="R613" s="493">
        <v>170</v>
      </c>
      <c r="S613" s="472">
        <f>T613+V613</f>
        <v>0</v>
      </c>
      <c r="T613" s="478"/>
      <c r="U613" s="478"/>
      <c r="V613" s="478"/>
    </row>
    <row r="614" spans="1:22" s="468" customFormat="1" ht="60">
      <c r="A614" s="613"/>
      <c r="B614" s="449"/>
      <c r="C614" s="635">
        <v>4368</v>
      </c>
      <c r="D614" s="485" t="s">
        <v>567</v>
      </c>
      <c r="E614" s="529">
        <f t="shared" si="106"/>
        <v>1867</v>
      </c>
      <c r="F614" s="472">
        <f t="shared" si="107"/>
        <v>1867</v>
      </c>
      <c r="G614" s="472">
        <f t="shared" si="108"/>
        <v>0</v>
      </c>
      <c r="H614" s="478"/>
      <c r="I614" s="472">
        <f t="shared" si="109"/>
        <v>0</v>
      </c>
      <c r="J614" s="478"/>
      <c r="K614" s="478"/>
      <c r="L614" s="478"/>
      <c r="M614" s="478"/>
      <c r="N614" s="478"/>
      <c r="O614" s="478"/>
      <c r="P614" s="478"/>
      <c r="Q614" s="478"/>
      <c r="R614" s="493">
        <v>1867</v>
      </c>
      <c r="S614" s="472">
        <f t="shared" si="110"/>
        <v>0</v>
      </c>
      <c r="T614" s="478"/>
      <c r="U614" s="478"/>
      <c r="V614" s="478"/>
    </row>
    <row r="615" spans="1:22" s="468" customFormat="1" ht="60">
      <c r="A615" s="613"/>
      <c r="B615" s="449"/>
      <c r="C615" s="635">
        <v>4369</v>
      </c>
      <c r="D615" s="485" t="s">
        <v>567</v>
      </c>
      <c r="E615" s="529">
        <f t="shared" si="106"/>
        <v>359</v>
      </c>
      <c r="F615" s="472">
        <f t="shared" si="107"/>
        <v>359</v>
      </c>
      <c r="G615" s="472">
        <f t="shared" si="108"/>
        <v>0</v>
      </c>
      <c r="H615" s="478"/>
      <c r="I615" s="472">
        <f t="shared" si="109"/>
        <v>0</v>
      </c>
      <c r="J615" s="478"/>
      <c r="K615" s="478"/>
      <c r="L615" s="478"/>
      <c r="M615" s="478"/>
      <c r="N615" s="478"/>
      <c r="O615" s="478"/>
      <c r="P615" s="478"/>
      <c r="Q615" s="478"/>
      <c r="R615" s="493">
        <v>359</v>
      </c>
      <c r="S615" s="472">
        <f t="shared" si="110"/>
        <v>0</v>
      </c>
      <c r="T615" s="478"/>
      <c r="U615" s="478"/>
      <c r="V615" s="478"/>
    </row>
    <row r="616" spans="1:22" s="468" customFormat="1" ht="60">
      <c r="A616" s="613"/>
      <c r="B616" s="449"/>
      <c r="C616" s="635">
        <v>4378</v>
      </c>
      <c r="D616" s="485" t="s">
        <v>560</v>
      </c>
      <c r="E616" s="529">
        <f t="shared" si="106"/>
        <v>1885</v>
      </c>
      <c r="F616" s="472">
        <f t="shared" si="107"/>
        <v>1885</v>
      </c>
      <c r="G616" s="472">
        <f t="shared" si="108"/>
        <v>0</v>
      </c>
      <c r="H616" s="478"/>
      <c r="I616" s="472">
        <f t="shared" si="109"/>
        <v>0</v>
      </c>
      <c r="J616" s="478"/>
      <c r="K616" s="478"/>
      <c r="L616" s="478"/>
      <c r="M616" s="478"/>
      <c r="N616" s="478"/>
      <c r="O616" s="478"/>
      <c r="P616" s="478"/>
      <c r="Q616" s="478"/>
      <c r="R616" s="493">
        <v>1885</v>
      </c>
      <c r="S616" s="472">
        <f t="shared" si="110"/>
        <v>0</v>
      </c>
      <c r="T616" s="478"/>
      <c r="U616" s="478"/>
      <c r="V616" s="478"/>
    </row>
    <row r="617" spans="1:22" s="468" customFormat="1" ht="60">
      <c r="A617" s="613"/>
      <c r="B617" s="449"/>
      <c r="C617" s="635">
        <v>4379</v>
      </c>
      <c r="D617" s="485" t="s">
        <v>560</v>
      </c>
      <c r="E617" s="529">
        <f t="shared" si="106"/>
        <v>333</v>
      </c>
      <c r="F617" s="472">
        <f t="shared" si="107"/>
        <v>333</v>
      </c>
      <c r="G617" s="472">
        <f t="shared" si="108"/>
        <v>0</v>
      </c>
      <c r="H617" s="478"/>
      <c r="I617" s="472">
        <f t="shared" si="109"/>
        <v>0</v>
      </c>
      <c r="J617" s="478"/>
      <c r="K617" s="478"/>
      <c r="L617" s="478"/>
      <c r="M617" s="478"/>
      <c r="N617" s="478"/>
      <c r="O617" s="478"/>
      <c r="P617" s="478"/>
      <c r="Q617" s="478"/>
      <c r="R617" s="493">
        <v>333</v>
      </c>
      <c r="S617" s="472">
        <f t="shared" si="110"/>
        <v>0</v>
      </c>
      <c r="T617" s="478"/>
      <c r="U617" s="478"/>
      <c r="V617" s="478"/>
    </row>
    <row r="618" spans="1:22" s="468" customFormat="1" ht="30">
      <c r="A618" s="613"/>
      <c r="B618" s="357"/>
      <c r="C618" s="270">
        <v>4417</v>
      </c>
      <c r="D618" s="272" t="s">
        <v>430</v>
      </c>
      <c r="E618" s="529">
        <f>F618+S618</f>
        <v>2365</v>
      </c>
      <c r="F618" s="472">
        <f>G618+N618+O618+P618+Q618+R618</f>
        <v>2365</v>
      </c>
      <c r="G618" s="472">
        <f>H618+I618</f>
        <v>0</v>
      </c>
      <c r="H618" s="478"/>
      <c r="I618" s="472">
        <f>SUM(J618:M618)</f>
        <v>0</v>
      </c>
      <c r="J618" s="478"/>
      <c r="K618" s="478"/>
      <c r="L618" s="478"/>
      <c r="M618" s="478"/>
      <c r="N618" s="478"/>
      <c r="O618" s="478"/>
      <c r="P618" s="478"/>
      <c r="Q618" s="478"/>
      <c r="R618" s="492">
        <v>2365</v>
      </c>
      <c r="S618" s="472">
        <f>T618+V618</f>
        <v>0</v>
      </c>
      <c r="T618" s="478"/>
      <c r="U618" s="478"/>
      <c r="V618" s="478"/>
    </row>
    <row r="619" spans="1:22" s="468" customFormat="1" ht="30">
      <c r="A619" s="613"/>
      <c r="B619" s="357"/>
      <c r="C619" s="270">
        <v>4418</v>
      </c>
      <c r="D619" s="272" t="s">
        <v>430</v>
      </c>
      <c r="E619" s="529">
        <f t="shared" si="106"/>
        <v>507</v>
      </c>
      <c r="F619" s="472">
        <f t="shared" si="107"/>
        <v>507</v>
      </c>
      <c r="G619" s="472">
        <f t="shared" si="108"/>
        <v>0</v>
      </c>
      <c r="H619" s="478"/>
      <c r="I619" s="472">
        <f t="shared" si="109"/>
        <v>0</v>
      </c>
      <c r="J619" s="478"/>
      <c r="K619" s="478"/>
      <c r="L619" s="478"/>
      <c r="M619" s="478"/>
      <c r="N619" s="478"/>
      <c r="O619" s="478"/>
      <c r="P619" s="478"/>
      <c r="Q619" s="478"/>
      <c r="R619" s="492">
        <v>507</v>
      </c>
      <c r="S619" s="472">
        <f t="shared" si="110"/>
        <v>0</v>
      </c>
      <c r="T619" s="478"/>
      <c r="U619" s="478"/>
      <c r="V619" s="478"/>
    </row>
    <row r="620" spans="1:22" s="468" customFormat="1" ht="30">
      <c r="A620" s="613"/>
      <c r="B620" s="357"/>
      <c r="C620" s="270">
        <v>4419</v>
      </c>
      <c r="D620" s="272" t="s">
        <v>430</v>
      </c>
      <c r="E620" s="529">
        <f t="shared" si="106"/>
        <v>425</v>
      </c>
      <c r="F620" s="472">
        <f t="shared" si="107"/>
        <v>425</v>
      </c>
      <c r="G620" s="472">
        <f t="shared" si="108"/>
        <v>0</v>
      </c>
      <c r="H620" s="478"/>
      <c r="I620" s="472">
        <f t="shared" si="109"/>
        <v>0</v>
      </c>
      <c r="J620" s="478"/>
      <c r="K620" s="478"/>
      <c r="L620" s="478"/>
      <c r="M620" s="478"/>
      <c r="N620" s="478"/>
      <c r="O620" s="478"/>
      <c r="P620" s="478"/>
      <c r="Q620" s="478"/>
      <c r="R620" s="492">
        <v>425</v>
      </c>
      <c r="S620" s="472">
        <f t="shared" si="110"/>
        <v>0</v>
      </c>
      <c r="T620" s="478"/>
      <c r="U620" s="478"/>
      <c r="V620" s="478"/>
    </row>
    <row r="621" spans="1:22" s="468" customFormat="1" ht="45">
      <c r="A621" s="613"/>
      <c r="B621" s="449"/>
      <c r="C621" s="270">
        <v>4447</v>
      </c>
      <c r="D621" s="272" t="s">
        <v>432</v>
      </c>
      <c r="E621" s="529">
        <f t="shared" si="106"/>
        <v>627</v>
      </c>
      <c r="F621" s="472">
        <f t="shared" si="107"/>
        <v>627</v>
      </c>
      <c r="G621" s="472">
        <f t="shared" si="108"/>
        <v>0</v>
      </c>
      <c r="H621" s="478"/>
      <c r="I621" s="472">
        <f t="shared" si="109"/>
        <v>0</v>
      </c>
      <c r="J621" s="478"/>
      <c r="K621" s="478"/>
      <c r="L621" s="478"/>
      <c r="M621" s="478"/>
      <c r="N621" s="478"/>
      <c r="O621" s="478"/>
      <c r="P621" s="478"/>
      <c r="Q621" s="478"/>
      <c r="R621" s="492">
        <v>627</v>
      </c>
      <c r="S621" s="472">
        <f t="shared" si="110"/>
        <v>0</v>
      </c>
      <c r="T621" s="478"/>
      <c r="U621" s="478"/>
      <c r="V621" s="478"/>
    </row>
    <row r="622" spans="1:22" s="468" customFormat="1" ht="45">
      <c r="A622" s="613"/>
      <c r="B622" s="449"/>
      <c r="C622" s="270">
        <v>4448</v>
      </c>
      <c r="D622" s="272" t="s">
        <v>432</v>
      </c>
      <c r="E622" s="529">
        <f t="shared" si="106"/>
        <v>0</v>
      </c>
      <c r="F622" s="472">
        <f t="shared" si="107"/>
        <v>0</v>
      </c>
      <c r="G622" s="472">
        <f t="shared" si="108"/>
        <v>0</v>
      </c>
      <c r="H622" s="478"/>
      <c r="I622" s="472">
        <f t="shared" si="109"/>
        <v>0</v>
      </c>
      <c r="J622" s="478"/>
      <c r="K622" s="478"/>
      <c r="L622" s="478"/>
      <c r="M622" s="478"/>
      <c r="N622" s="478"/>
      <c r="O622" s="478"/>
      <c r="P622" s="478"/>
      <c r="Q622" s="478"/>
      <c r="R622" s="492"/>
      <c r="S622" s="472">
        <f t="shared" si="110"/>
        <v>0</v>
      </c>
      <c r="T622" s="478"/>
      <c r="U622" s="478"/>
      <c r="V622" s="478"/>
    </row>
    <row r="623" spans="1:22" s="468" customFormat="1" ht="45">
      <c r="A623" s="613"/>
      <c r="B623" s="449"/>
      <c r="C623" s="270">
        <v>4449</v>
      </c>
      <c r="D623" s="272" t="s">
        <v>432</v>
      </c>
      <c r="E623" s="529">
        <f>F623+S623</f>
        <v>33</v>
      </c>
      <c r="F623" s="472">
        <f>G623+N623+O623+P623+Q623+R623</f>
        <v>33</v>
      </c>
      <c r="G623" s="472">
        <f>H623+I623</f>
        <v>0</v>
      </c>
      <c r="H623" s="478"/>
      <c r="I623" s="472">
        <f>SUM(J623:M623)</f>
        <v>0</v>
      </c>
      <c r="J623" s="478"/>
      <c r="K623" s="478"/>
      <c r="L623" s="478"/>
      <c r="M623" s="478"/>
      <c r="N623" s="478"/>
      <c r="O623" s="478"/>
      <c r="P623" s="478"/>
      <c r="Q623" s="478"/>
      <c r="R623" s="492">
        <v>33</v>
      </c>
      <c r="S623" s="472">
        <f>T623+V623</f>
        <v>0</v>
      </c>
      <c r="T623" s="478"/>
      <c r="U623" s="478"/>
      <c r="V623" s="478"/>
    </row>
    <row r="624" spans="1:22" s="468" customFormat="1" ht="63.75" customHeight="1">
      <c r="A624" s="613"/>
      <c r="B624" s="449"/>
      <c r="C624" s="270">
        <v>4747</v>
      </c>
      <c r="D624" s="272" t="s">
        <v>521</v>
      </c>
      <c r="E624" s="529">
        <f>F624+S624</f>
        <v>8728</v>
      </c>
      <c r="F624" s="472">
        <f>G624+N624+O624+P624+Q624+R624</f>
        <v>8728</v>
      </c>
      <c r="G624" s="472">
        <f>H624+I624</f>
        <v>0</v>
      </c>
      <c r="H624" s="478"/>
      <c r="I624" s="472">
        <f>SUM(J624:M624)</f>
        <v>0</v>
      </c>
      <c r="J624" s="478"/>
      <c r="K624" s="478"/>
      <c r="L624" s="478"/>
      <c r="M624" s="478"/>
      <c r="N624" s="478"/>
      <c r="O624" s="478"/>
      <c r="P624" s="478"/>
      <c r="Q624" s="478"/>
      <c r="R624" s="492">
        <v>8728</v>
      </c>
      <c r="S624" s="472">
        <f>T624+V624</f>
        <v>0</v>
      </c>
      <c r="T624" s="478"/>
      <c r="U624" s="478"/>
      <c r="V624" s="478"/>
    </row>
    <row r="625" spans="1:22" s="468" customFormat="1" ht="63.75" customHeight="1">
      <c r="A625" s="613"/>
      <c r="B625" s="449"/>
      <c r="C625" s="270">
        <v>4748</v>
      </c>
      <c r="D625" s="272" t="s">
        <v>521</v>
      </c>
      <c r="E625" s="529">
        <f t="shared" si="106"/>
        <v>16755</v>
      </c>
      <c r="F625" s="472">
        <f t="shared" si="107"/>
        <v>16755</v>
      </c>
      <c r="G625" s="472">
        <f t="shared" si="108"/>
        <v>0</v>
      </c>
      <c r="H625" s="478"/>
      <c r="I625" s="472">
        <f t="shared" si="109"/>
        <v>0</v>
      </c>
      <c r="J625" s="478"/>
      <c r="K625" s="478"/>
      <c r="L625" s="478"/>
      <c r="M625" s="478"/>
      <c r="N625" s="478"/>
      <c r="O625" s="478"/>
      <c r="P625" s="478"/>
      <c r="Q625" s="478"/>
      <c r="R625" s="492">
        <v>16755</v>
      </c>
      <c r="S625" s="472">
        <f t="shared" si="110"/>
        <v>0</v>
      </c>
      <c r="T625" s="478"/>
      <c r="U625" s="478"/>
      <c r="V625" s="478"/>
    </row>
    <row r="626" spans="1:22" s="468" customFormat="1" ht="63.75" customHeight="1">
      <c r="A626" s="613"/>
      <c r="B626" s="449"/>
      <c r="C626" s="270">
        <v>4749</v>
      </c>
      <c r="D626" s="272" t="s">
        <v>521</v>
      </c>
      <c r="E626" s="529">
        <f t="shared" si="106"/>
        <v>4404</v>
      </c>
      <c r="F626" s="472">
        <f t="shared" si="107"/>
        <v>4404</v>
      </c>
      <c r="G626" s="472">
        <f t="shared" si="108"/>
        <v>0</v>
      </c>
      <c r="H626" s="478"/>
      <c r="I626" s="472">
        <f t="shared" si="109"/>
        <v>0</v>
      </c>
      <c r="J626" s="478"/>
      <c r="K626" s="478"/>
      <c r="L626" s="478"/>
      <c r="M626" s="478"/>
      <c r="N626" s="478"/>
      <c r="O626" s="478"/>
      <c r="P626" s="478"/>
      <c r="Q626" s="478"/>
      <c r="R626" s="492">
        <v>4404</v>
      </c>
      <c r="S626" s="472">
        <f t="shared" si="110"/>
        <v>0</v>
      </c>
      <c r="T626" s="478"/>
      <c r="U626" s="478"/>
      <c r="V626" s="478"/>
    </row>
    <row r="627" spans="1:22" s="468" customFormat="1" ht="51" customHeight="1">
      <c r="A627" s="613"/>
      <c r="B627" s="449"/>
      <c r="C627" s="270">
        <v>4757</v>
      </c>
      <c r="D627" s="272" t="s">
        <v>561</v>
      </c>
      <c r="E627" s="529">
        <f>F627+S627</f>
        <v>10508</v>
      </c>
      <c r="F627" s="472">
        <f>G627+N627+O627+P627+Q627+R627</f>
        <v>10508</v>
      </c>
      <c r="G627" s="472">
        <f>H627+I627</f>
        <v>0</v>
      </c>
      <c r="H627" s="478"/>
      <c r="I627" s="472">
        <f>SUM(J627:M627)</f>
        <v>0</v>
      </c>
      <c r="J627" s="478"/>
      <c r="K627" s="478"/>
      <c r="L627" s="478"/>
      <c r="M627" s="478"/>
      <c r="N627" s="478"/>
      <c r="O627" s="478"/>
      <c r="P627" s="478"/>
      <c r="Q627" s="478"/>
      <c r="R627" s="492">
        <v>10508</v>
      </c>
      <c r="S627" s="472">
        <f>T627+V627</f>
        <v>0</v>
      </c>
      <c r="T627" s="478"/>
      <c r="U627" s="478"/>
      <c r="V627" s="478"/>
    </row>
    <row r="628" spans="1:22" s="468" customFormat="1" ht="51" customHeight="1">
      <c r="A628" s="613"/>
      <c r="B628" s="449"/>
      <c r="C628" s="270">
        <v>4758</v>
      </c>
      <c r="D628" s="272" t="s">
        <v>561</v>
      </c>
      <c r="E628" s="529">
        <f t="shared" si="106"/>
        <v>55028</v>
      </c>
      <c r="F628" s="472">
        <f t="shared" si="107"/>
        <v>55028</v>
      </c>
      <c r="G628" s="472">
        <f t="shared" si="108"/>
        <v>0</v>
      </c>
      <c r="H628" s="478"/>
      <c r="I628" s="472">
        <f t="shared" si="109"/>
        <v>0</v>
      </c>
      <c r="J628" s="478"/>
      <c r="K628" s="478"/>
      <c r="L628" s="478"/>
      <c r="M628" s="478"/>
      <c r="N628" s="478"/>
      <c r="O628" s="478"/>
      <c r="P628" s="478"/>
      <c r="Q628" s="478"/>
      <c r="R628" s="492">
        <v>55028</v>
      </c>
      <c r="S628" s="472">
        <f t="shared" si="110"/>
        <v>0</v>
      </c>
      <c r="T628" s="478"/>
      <c r="U628" s="478"/>
      <c r="V628" s="478"/>
    </row>
    <row r="629" spans="1:22" s="468" customFormat="1" ht="45">
      <c r="A629" s="613"/>
      <c r="B629" s="449"/>
      <c r="C629" s="270">
        <v>4759</v>
      </c>
      <c r="D629" s="272" t="s">
        <v>561</v>
      </c>
      <c r="E629" s="529">
        <f t="shared" si="106"/>
        <v>11150</v>
      </c>
      <c r="F629" s="472">
        <f t="shared" si="107"/>
        <v>11150</v>
      </c>
      <c r="G629" s="472">
        <f t="shared" si="108"/>
        <v>0</v>
      </c>
      <c r="H629" s="478"/>
      <c r="I629" s="472">
        <f t="shared" si="109"/>
        <v>0</v>
      </c>
      <c r="J629" s="478"/>
      <c r="K629" s="478"/>
      <c r="L629" s="478"/>
      <c r="M629" s="478"/>
      <c r="N629" s="478"/>
      <c r="O629" s="478"/>
      <c r="P629" s="478"/>
      <c r="Q629" s="478"/>
      <c r="R629" s="492">
        <v>11150</v>
      </c>
      <c r="S629" s="472">
        <f t="shared" si="110"/>
        <v>0</v>
      </c>
      <c r="T629" s="478"/>
      <c r="U629" s="478"/>
      <c r="V629" s="478"/>
    </row>
    <row r="630" spans="1:22" s="468" customFormat="1" ht="45">
      <c r="A630" s="611"/>
      <c r="B630" s="611"/>
      <c r="C630" s="630">
        <v>6068</v>
      </c>
      <c r="D630" s="480" t="s">
        <v>710</v>
      </c>
      <c r="E630" s="529">
        <f t="shared" si="106"/>
        <v>3428</v>
      </c>
      <c r="F630" s="472">
        <f t="shared" si="107"/>
        <v>0</v>
      </c>
      <c r="G630" s="472">
        <f t="shared" si="108"/>
        <v>0</v>
      </c>
      <c r="H630" s="478"/>
      <c r="I630" s="472">
        <f t="shared" si="109"/>
        <v>0</v>
      </c>
      <c r="J630" s="478"/>
      <c r="K630" s="478"/>
      <c r="L630" s="478"/>
      <c r="M630" s="478"/>
      <c r="N630" s="478"/>
      <c r="O630" s="478"/>
      <c r="P630" s="478"/>
      <c r="Q630" s="478"/>
      <c r="R630" s="478"/>
      <c r="S630" s="472">
        <f t="shared" si="110"/>
        <v>3428</v>
      </c>
      <c r="T630" s="478">
        <f>U630</f>
        <v>3428</v>
      </c>
      <c r="U630" s="478">
        <v>3428</v>
      </c>
      <c r="V630" s="478"/>
    </row>
    <row r="631" spans="1:22" s="468" customFormat="1" ht="45">
      <c r="A631" s="611"/>
      <c r="B631" s="611"/>
      <c r="C631" s="630">
        <v>6069</v>
      </c>
      <c r="D631" s="480" t="s">
        <v>710</v>
      </c>
      <c r="E631" s="529">
        <f t="shared" si="106"/>
        <v>605</v>
      </c>
      <c r="F631" s="472">
        <f t="shared" si="107"/>
        <v>0</v>
      </c>
      <c r="G631" s="472">
        <f t="shared" si="108"/>
        <v>0</v>
      </c>
      <c r="H631" s="478"/>
      <c r="I631" s="472">
        <f t="shared" si="109"/>
        <v>0</v>
      </c>
      <c r="J631" s="478"/>
      <c r="K631" s="478"/>
      <c r="L631" s="478"/>
      <c r="M631" s="478"/>
      <c r="N631" s="478"/>
      <c r="O631" s="478"/>
      <c r="P631" s="478"/>
      <c r="Q631" s="478"/>
      <c r="R631" s="478"/>
      <c r="S631" s="472">
        <f t="shared" si="110"/>
        <v>605</v>
      </c>
      <c r="T631" s="478">
        <f>U631</f>
        <v>605</v>
      </c>
      <c r="U631" s="478">
        <v>605</v>
      </c>
      <c r="V631" s="478"/>
    </row>
    <row r="632" spans="1:22" s="473" customFormat="1" ht="47.25">
      <c r="A632" s="611">
        <v>854</v>
      </c>
      <c r="B632" s="611"/>
      <c r="C632" s="628"/>
      <c r="D632" s="320" t="s">
        <v>606</v>
      </c>
      <c r="E632" s="529">
        <f t="shared" si="106"/>
        <v>2298992</v>
      </c>
      <c r="F632" s="472">
        <f t="shared" si="107"/>
        <v>2298992</v>
      </c>
      <c r="G632" s="472">
        <f t="shared" si="108"/>
        <v>1881072</v>
      </c>
      <c r="H632" s="472">
        <f>SUM(H633+H640+H663+H681+H686+H688+H691)</f>
        <v>560230</v>
      </c>
      <c r="I632" s="472">
        <f t="shared" si="109"/>
        <v>1320842</v>
      </c>
      <c r="J632" s="472">
        <f aca="true" t="shared" si="111" ref="J632:R632">SUM(J633+J640+J663+J681+J686+J688+J691)</f>
        <v>1032002</v>
      </c>
      <c r="K632" s="472">
        <f t="shared" si="111"/>
        <v>81280</v>
      </c>
      <c r="L632" s="472">
        <f t="shared" si="111"/>
        <v>195630</v>
      </c>
      <c r="M632" s="472">
        <f>SUM(M633+M640+M663+M681+M686+M688+M691)</f>
        <v>11930</v>
      </c>
      <c r="N632" s="472">
        <f>SUM(N633+N640+N663+N681+N686+N688+N691)</f>
        <v>113200</v>
      </c>
      <c r="O632" s="472">
        <f t="shared" si="111"/>
        <v>304720</v>
      </c>
      <c r="P632" s="472">
        <f>SUM(P633+P640+P663+P681+P686+P688+P691)</f>
        <v>0</v>
      </c>
      <c r="Q632" s="472">
        <f t="shared" si="111"/>
        <v>0</v>
      </c>
      <c r="R632" s="472">
        <f t="shared" si="111"/>
        <v>0</v>
      </c>
      <c r="S632" s="472">
        <f t="shared" si="110"/>
        <v>0</v>
      </c>
      <c r="T632" s="472">
        <f>SUM(T633+T640+T663+T681+T686+T688+T691)</f>
        <v>0</v>
      </c>
      <c r="U632" s="472">
        <f>SUM(U633+U640+U663+U681+U686+U688+U691)</f>
        <v>0</v>
      </c>
      <c r="V632" s="472">
        <f>SUM(V633+V640+V663+V681+V686+V688+V691)</f>
        <v>0</v>
      </c>
    </row>
    <row r="633" spans="1:22" s="476" customFormat="1" ht="15.75">
      <c r="A633" s="612"/>
      <c r="B633" s="612">
        <v>85401</v>
      </c>
      <c r="C633" s="629"/>
      <c r="D633" s="271" t="s">
        <v>607</v>
      </c>
      <c r="E633" s="529">
        <f t="shared" si="106"/>
        <v>164370</v>
      </c>
      <c r="F633" s="472">
        <f t="shared" si="107"/>
        <v>164370</v>
      </c>
      <c r="G633" s="472">
        <f t="shared" si="108"/>
        <v>164060</v>
      </c>
      <c r="H633" s="475">
        <f>SUM(H634:H639)</f>
        <v>6200</v>
      </c>
      <c r="I633" s="472">
        <f t="shared" si="109"/>
        <v>157860</v>
      </c>
      <c r="J633" s="475">
        <f aca="true" t="shared" si="112" ref="J633:R633">SUM(J634:J639)</f>
        <v>124050</v>
      </c>
      <c r="K633" s="475">
        <f t="shared" si="112"/>
        <v>10540</v>
      </c>
      <c r="L633" s="475">
        <f t="shared" si="112"/>
        <v>23270</v>
      </c>
      <c r="M633" s="475">
        <f>SUM(M634:M639)</f>
        <v>0</v>
      </c>
      <c r="N633" s="475">
        <f>SUM(N634:N639)</f>
        <v>310</v>
      </c>
      <c r="O633" s="475">
        <f t="shared" si="112"/>
        <v>0</v>
      </c>
      <c r="P633" s="475">
        <f>SUM(P634:P639)</f>
        <v>0</v>
      </c>
      <c r="Q633" s="475">
        <f t="shared" si="112"/>
        <v>0</v>
      </c>
      <c r="R633" s="475">
        <f t="shared" si="112"/>
        <v>0</v>
      </c>
      <c r="S633" s="472">
        <f t="shared" si="110"/>
        <v>0</v>
      </c>
      <c r="T633" s="475">
        <f>SUM(T634:T639)</f>
        <v>0</v>
      </c>
      <c r="U633" s="475">
        <f>SUM(U634:U639)</f>
        <v>0</v>
      </c>
      <c r="V633" s="475">
        <f>SUM(V634:V639)</f>
        <v>0</v>
      </c>
    </row>
    <row r="634" spans="1:22" s="468" customFormat="1" ht="45">
      <c r="A634" s="613"/>
      <c r="B634" s="613"/>
      <c r="C634" s="630">
        <v>3020</v>
      </c>
      <c r="D634" s="477" t="s">
        <v>709</v>
      </c>
      <c r="E634" s="529">
        <f t="shared" si="106"/>
        <v>310</v>
      </c>
      <c r="F634" s="472">
        <f t="shared" si="107"/>
        <v>310</v>
      </c>
      <c r="G634" s="472">
        <f t="shared" si="108"/>
        <v>0</v>
      </c>
      <c r="H634" s="478"/>
      <c r="I634" s="472">
        <f t="shared" si="109"/>
        <v>0</v>
      </c>
      <c r="J634" s="478"/>
      <c r="K634" s="478"/>
      <c r="L634" s="478"/>
      <c r="M634" s="478"/>
      <c r="N634" s="478">
        <v>310</v>
      </c>
      <c r="O634" s="478"/>
      <c r="P634" s="478"/>
      <c r="Q634" s="478"/>
      <c r="R634" s="478"/>
      <c r="S634" s="472">
        <f t="shared" si="110"/>
        <v>0</v>
      </c>
      <c r="T634" s="478"/>
      <c r="U634" s="478"/>
      <c r="V634" s="478"/>
    </row>
    <row r="635" spans="1:22" s="468" customFormat="1" ht="30">
      <c r="A635" s="613"/>
      <c r="B635" s="613"/>
      <c r="C635" s="630">
        <v>4010</v>
      </c>
      <c r="D635" s="477" t="s">
        <v>417</v>
      </c>
      <c r="E635" s="529">
        <f t="shared" si="106"/>
        <v>124050</v>
      </c>
      <c r="F635" s="472">
        <f t="shared" si="107"/>
        <v>124050</v>
      </c>
      <c r="G635" s="472">
        <f t="shared" si="108"/>
        <v>124050</v>
      </c>
      <c r="H635" s="478"/>
      <c r="I635" s="472">
        <f t="shared" si="109"/>
        <v>124050</v>
      </c>
      <c r="J635" s="478">
        <v>124050</v>
      </c>
      <c r="K635" s="478"/>
      <c r="L635" s="478"/>
      <c r="M635" s="478"/>
      <c r="N635" s="478"/>
      <c r="O635" s="478"/>
      <c r="P635" s="478"/>
      <c r="Q635" s="478"/>
      <c r="R635" s="478"/>
      <c r="S635" s="472">
        <f t="shared" si="110"/>
        <v>0</v>
      </c>
      <c r="T635" s="478"/>
      <c r="U635" s="478"/>
      <c r="V635" s="478"/>
    </row>
    <row r="636" spans="1:22" s="468" customFormat="1" ht="30">
      <c r="A636" s="613"/>
      <c r="B636" s="613"/>
      <c r="C636" s="630">
        <v>4040</v>
      </c>
      <c r="D636" s="477" t="s">
        <v>418</v>
      </c>
      <c r="E636" s="529">
        <f t="shared" si="106"/>
        <v>10540</v>
      </c>
      <c r="F636" s="472">
        <f t="shared" si="107"/>
        <v>10540</v>
      </c>
      <c r="G636" s="472">
        <f t="shared" si="108"/>
        <v>10540</v>
      </c>
      <c r="H636" s="478"/>
      <c r="I636" s="472">
        <f t="shared" si="109"/>
        <v>10540</v>
      </c>
      <c r="J636" s="478"/>
      <c r="K636" s="478">
        <v>10540</v>
      </c>
      <c r="L636" s="478"/>
      <c r="M636" s="478"/>
      <c r="N636" s="478"/>
      <c r="O636" s="478"/>
      <c r="P636" s="478"/>
      <c r="Q636" s="478"/>
      <c r="R636" s="478"/>
      <c r="S636" s="472">
        <f t="shared" si="110"/>
        <v>0</v>
      </c>
      <c r="T636" s="478"/>
      <c r="U636" s="478"/>
      <c r="V636" s="478"/>
    </row>
    <row r="637" spans="1:22" s="468" customFormat="1" ht="45">
      <c r="A637" s="613"/>
      <c r="B637" s="613"/>
      <c r="C637" s="630">
        <v>4110</v>
      </c>
      <c r="D637" s="477" t="s">
        <v>556</v>
      </c>
      <c r="E637" s="529">
        <f t="shared" si="106"/>
        <v>20040</v>
      </c>
      <c r="F637" s="472">
        <f t="shared" si="107"/>
        <v>20040</v>
      </c>
      <c r="G637" s="472">
        <f t="shared" si="108"/>
        <v>20040</v>
      </c>
      <c r="H637" s="478"/>
      <c r="I637" s="472">
        <f t="shared" si="109"/>
        <v>20040</v>
      </c>
      <c r="J637" s="478"/>
      <c r="K637" s="478"/>
      <c r="L637" s="478">
        <v>20040</v>
      </c>
      <c r="M637" s="478"/>
      <c r="N637" s="478"/>
      <c r="O637" s="478"/>
      <c r="P637" s="478"/>
      <c r="Q637" s="478"/>
      <c r="R637" s="478"/>
      <c r="S637" s="472">
        <f t="shared" si="110"/>
        <v>0</v>
      </c>
      <c r="T637" s="478"/>
      <c r="U637" s="478"/>
      <c r="V637" s="478"/>
    </row>
    <row r="638" spans="1:22" s="468" customFormat="1" ht="30">
      <c r="A638" s="613"/>
      <c r="B638" s="613"/>
      <c r="C638" s="630">
        <v>4120</v>
      </c>
      <c r="D638" s="477" t="s">
        <v>420</v>
      </c>
      <c r="E638" s="529">
        <f t="shared" si="106"/>
        <v>3230</v>
      </c>
      <c r="F638" s="472">
        <f t="shared" si="107"/>
        <v>3230</v>
      </c>
      <c r="G638" s="472">
        <f t="shared" si="108"/>
        <v>3230</v>
      </c>
      <c r="H638" s="478"/>
      <c r="I638" s="472">
        <f t="shared" si="109"/>
        <v>3230</v>
      </c>
      <c r="J638" s="478"/>
      <c r="K638" s="478"/>
      <c r="L638" s="478">
        <v>3230</v>
      </c>
      <c r="M638" s="478"/>
      <c r="N638" s="478"/>
      <c r="O638" s="478"/>
      <c r="P638" s="478"/>
      <c r="Q638" s="478"/>
      <c r="R638" s="478"/>
      <c r="S638" s="472">
        <f t="shared" si="110"/>
        <v>0</v>
      </c>
      <c r="T638" s="478"/>
      <c r="U638" s="478"/>
      <c r="V638" s="478"/>
    </row>
    <row r="639" spans="1:22" s="468" customFormat="1" ht="40.5" customHeight="1">
      <c r="A639" s="613"/>
      <c r="B639" s="613"/>
      <c r="C639" s="630">
        <v>4440</v>
      </c>
      <c r="D639" s="477" t="s">
        <v>432</v>
      </c>
      <c r="E639" s="529">
        <f t="shared" si="106"/>
        <v>6200</v>
      </c>
      <c r="F639" s="472">
        <f t="shared" si="107"/>
        <v>6200</v>
      </c>
      <c r="G639" s="472">
        <f t="shared" si="108"/>
        <v>6200</v>
      </c>
      <c r="H639" s="478">
        <v>6200</v>
      </c>
      <c r="I639" s="472">
        <f t="shared" si="109"/>
        <v>0</v>
      </c>
      <c r="J639" s="478"/>
      <c r="K639" s="478"/>
      <c r="L639" s="478"/>
      <c r="M639" s="478"/>
      <c r="N639" s="478"/>
      <c r="O639" s="478"/>
      <c r="P639" s="478"/>
      <c r="Q639" s="478"/>
      <c r="R639" s="478"/>
      <c r="S639" s="472">
        <f t="shared" si="110"/>
        <v>0</v>
      </c>
      <c r="T639" s="478"/>
      <c r="U639" s="478"/>
      <c r="V639" s="478"/>
    </row>
    <row r="640" spans="1:22" s="476" customFormat="1" ht="78.75">
      <c r="A640" s="612"/>
      <c r="B640" s="612">
        <v>85406</v>
      </c>
      <c r="C640" s="629"/>
      <c r="D640" s="271" t="s">
        <v>608</v>
      </c>
      <c r="E640" s="529">
        <f t="shared" si="106"/>
        <v>1067880</v>
      </c>
      <c r="F640" s="472">
        <f t="shared" si="107"/>
        <v>1067880</v>
      </c>
      <c r="G640" s="472">
        <f t="shared" si="108"/>
        <v>751750</v>
      </c>
      <c r="H640" s="475">
        <f>SUM(H641:H662)</f>
        <v>80780</v>
      </c>
      <c r="I640" s="472">
        <f t="shared" si="109"/>
        <v>670970</v>
      </c>
      <c r="J640" s="475">
        <f aca="true" t="shared" si="113" ref="J640:R640">SUM(J641:J662)</f>
        <v>525130</v>
      </c>
      <c r="K640" s="475">
        <f t="shared" si="113"/>
        <v>40620</v>
      </c>
      <c r="L640" s="475">
        <f t="shared" si="113"/>
        <v>98390</v>
      </c>
      <c r="M640" s="475">
        <f t="shared" si="113"/>
        <v>6830</v>
      </c>
      <c r="N640" s="475">
        <f t="shared" si="113"/>
        <v>11410</v>
      </c>
      <c r="O640" s="475">
        <f>SUM(O641:O662)</f>
        <v>304720</v>
      </c>
      <c r="P640" s="475">
        <f>SUM(P641:P662)</f>
        <v>0</v>
      </c>
      <c r="Q640" s="475">
        <f t="shared" si="113"/>
        <v>0</v>
      </c>
      <c r="R640" s="475">
        <f t="shared" si="113"/>
        <v>0</v>
      </c>
      <c r="S640" s="472">
        <f t="shared" si="110"/>
        <v>0</v>
      </c>
      <c r="T640" s="475">
        <f>SUM(T641:T662)</f>
        <v>0</v>
      </c>
      <c r="U640" s="475">
        <f>SUM(U641:U662)</f>
        <v>0</v>
      </c>
      <c r="V640" s="475">
        <f>SUM(V641:V662)</f>
        <v>0</v>
      </c>
    </row>
    <row r="641" spans="1:22" s="468" customFormat="1" ht="92.25" customHeight="1">
      <c r="A641" s="613"/>
      <c r="B641" s="613"/>
      <c r="C641" s="630">
        <v>2310</v>
      </c>
      <c r="D641" s="477" t="s">
        <v>609</v>
      </c>
      <c r="E641" s="529">
        <f t="shared" si="106"/>
        <v>304720</v>
      </c>
      <c r="F641" s="472">
        <f t="shared" si="107"/>
        <v>304720</v>
      </c>
      <c r="G641" s="472">
        <f t="shared" si="108"/>
        <v>0</v>
      </c>
      <c r="H641" s="487"/>
      <c r="I641" s="472">
        <f t="shared" si="109"/>
        <v>0</v>
      </c>
      <c r="J641" s="478"/>
      <c r="K641" s="478"/>
      <c r="L641" s="478"/>
      <c r="M641" s="478"/>
      <c r="N641" s="478"/>
      <c r="O641" s="478">
        <v>304720</v>
      </c>
      <c r="P641" s="478"/>
      <c r="Q641" s="478"/>
      <c r="R641" s="478"/>
      <c r="S641" s="472">
        <f t="shared" si="110"/>
        <v>0</v>
      </c>
      <c r="T641" s="478"/>
      <c r="U641" s="478"/>
      <c r="V641" s="478"/>
    </row>
    <row r="642" spans="1:22" s="468" customFormat="1" ht="33.75" customHeight="1">
      <c r="A642" s="613"/>
      <c r="B642" s="613"/>
      <c r="C642" s="630">
        <v>3020</v>
      </c>
      <c r="D642" s="477" t="s">
        <v>709</v>
      </c>
      <c r="E642" s="529">
        <f t="shared" si="106"/>
        <v>11410</v>
      </c>
      <c r="F642" s="472">
        <f t="shared" si="107"/>
        <v>11410</v>
      </c>
      <c r="G642" s="472">
        <f t="shared" si="108"/>
        <v>0</v>
      </c>
      <c r="H642" s="478"/>
      <c r="I642" s="472">
        <f t="shared" si="109"/>
        <v>0</v>
      </c>
      <c r="J642" s="478"/>
      <c r="K642" s="478"/>
      <c r="L642" s="478"/>
      <c r="M642" s="478"/>
      <c r="N642" s="478">
        <v>11410</v>
      </c>
      <c r="O642" s="478"/>
      <c r="P642" s="478"/>
      <c r="Q642" s="478"/>
      <c r="R642" s="478"/>
      <c r="S642" s="472">
        <f t="shared" si="110"/>
        <v>0</v>
      </c>
      <c r="T642" s="478"/>
      <c r="U642" s="478"/>
      <c r="V642" s="478"/>
    </row>
    <row r="643" spans="1:22" s="468" customFormat="1" ht="30">
      <c r="A643" s="613"/>
      <c r="B643" s="613"/>
      <c r="C643" s="630">
        <v>4010</v>
      </c>
      <c r="D643" s="477" t="s">
        <v>417</v>
      </c>
      <c r="E643" s="529">
        <f t="shared" si="106"/>
        <v>525130</v>
      </c>
      <c r="F643" s="472">
        <f t="shared" si="107"/>
        <v>525130</v>
      </c>
      <c r="G643" s="472">
        <f t="shared" si="108"/>
        <v>525130</v>
      </c>
      <c r="H643" s="478"/>
      <c r="I643" s="472">
        <f t="shared" si="109"/>
        <v>525130</v>
      </c>
      <c r="J643" s="478">
        <v>525130</v>
      </c>
      <c r="K643" s="478"/>
      <c r="L643" s="478"/>
      <c r="M643" s="478"/>
      <c r="N643" s="478"/>
      <c r="O643" s="478"/>
      <c r="P643" s="478"/>
      <c r="Q643" s="478"/>
      <c r="R643" s="478"/>
      <c r="S643" s="472">
        <f t="shared" si="110"/>
        <v>0</v>
      </c>
      <c r="T643" s="478"/>
      <c r="U643" s="478"/>
      <c r="V643" s="478"/>
    </row>
    <row r="644" spans="1:22" s="468" customFormat="1" ht="30">
      <c r="A644" s="613"/>
      <c r="B644" s="613"/>
      <c r="C644" s="630">
        <v>4040</v>
      </c>
      <c r="D644" s="477" t="s">
        <v>418</v>
      </c>
      <c r="E644" s="529">
        <f t="shared" si="106"/>
        <v>40620</v>
      </c>
      <c r="F644" s="472">
        <f t="shared" si="107"/>
        <v>40620</v>
      </c>
      <c r="G644" s="472">
        <f t="shared" si="108"/>
        <v>40620</v>
      </c>
      <c r="H644" s="478"/>
      <c r="I644" s="472">
        <f t="shared" si="109"/>
        <v>40620</v>
      </c>
      <c r="J644" s="478"/>
      <c r="K644" s="478">
        <v>40620</v>
      </c>
      <c r="L644" s="478"/>
      <c r="M644" s="478"/>
      <c r="N644" s="478"/>
      <c r="O644" s="478"/>
      <c r="P644" s="478"/>
      <c r="Q644" s="478"/>
      <c r="R644" s="478"/>
      <c r="S644" s="472">
        <f t="shared" si="110"/>
        <v>0</v>
      </c>
      <c r="T644" s="478"/>
      <c r="U644" s="478"/>
      <c r="V644" s="478"/>
    </row>
    <row r="645" spans="1:22" s="468" customFormat="1" ht="45">
      <c r="A645" s="613"/>
      <c r="B645" s="613"/>
      <c r="C645" s="630">
        <v>4110</v>
      </c>
      <c r="D645" s="477" t="s">
        <v>556</v>
      </c>
      <c r="E645" s="529">
        <f t="shared" si="106"/>
        <v>84810</v>
      </c>
      <c r="F645" s="472">
        <f t="shared" si="107"/>
        <v>84810</v>
      </c>
      <c r="G645" s="472">
        <f t="shared" si="108"/>
        <v>84810</v>
      </c>
      <c r="H645" s="478"/>
      <c r="I645" s="472">
        <f t="shared" si="109"/>
        <v>84810</v>
      </c>
      <c r="J645" s="478"/>
      <c r="K645" s="478"/>
      <c r="L645" s="478">
        <v>84810</v>
      </c>
      <c r="M645" s="478"/>
      <c r="N645" s="478"/>
      <c r="O645" s="478"/>
      <c r="P645" s="478"/>
      <c r="Q645" s="478"/>
      <c r="R645" s="478"/>
      <c r="S645" s="472">
        <f t="shared" si="110"/>
        <v>0</v>
      </c>
      <c r="T645" s="478"/>
      <c r="U645" s="478"/>
      <c r="V645" s="478"/>
    </row>
    <row r="646" spans="1:22" s="468" customFormat="1" ht="30">
      <c r="A646" s="613"/>
      <c r="B646" s="613"/>
      <c r="C646" s="630">
        <v>4120</v>
      </c>
      <c r="D646" s="477" t="s">
        <v>420</v>
      </c>
      <c r="E646" s="529">
        <f t="shared" si="106"/>
        <v>13580</v>
      </c>
      <c r="F646" s="472">
        <f t="shared" si="107"/>
        <v>13580</v>
      </c>
      <c r="G646" s="472">
        <f t="shared" si="108"/>
        <v>13580</v>
      </c>
      <c r="H646" s="478"/>
      <c r="I646" s="472">
        <f t="shared" si="109"/>
        <v>13580</v>
      </c>
      <c r="J646" s="478"/>
      <c r="K646" s="478"/>
      <c r="L646" s="478">
        <v>13580</v>
      </c>
      <c r="M646" s="478"/>
      <c r="N646" s="478"/>
      <c r="O646" s="478"/>
      <c r="P646" s="478"/>
      <c r="Q646" s="478"/>
      <c r="R646" s="478"/>
      <c r="S646" s="472">
        <f t="shared" si="110"/>
        <v>0</v>
      </c>
      <c r="T646" s="478"/>
      <c r="U646" s="478"/>
      <c r="V646" s="478"/>
    </row>
    <row r="647" spans="1:22" s="468" customFormat="1" ht="30">
      <c r="A647" s="613"/>
      <c r="B647" s="613"/>
      <c r="C647" s="630">
        <v>4170</v>
      </c>
      <c r="D647" s="477" t="s">
        <v>592</v>
      </c>
      <c r="E647" s="529">
        <f t="shared" si="106"/>
        <v>6830</v>
      </c>
      <c r="F647" s="472">
        <f t="shared" si="107"/>
        <v>6830</v>
      </c>
      <c r="G647" s="472">
        <f t="shared" si="108"/>
        <v>6830</v>
      </c>
      <c r="H647" s="478"/>
      <c r="I647" s="472">
        <f t="shared" si="109"/>
        <v>6830</v>
      </c>
      <c r="J647" s="478"/>
      <c r="K647" s="478"/>
      <c r="L647" s="478"/>
      <c r="M647" s="478">
        <v>6830</v>
      </c>
      <c r="N647" s="478"/>
      <c r="O647" s="478"/>
      <c r="P647" s="478"/>
      <c r="Q647" s="478"/>
      <c r="R647" s="478"/>
      <c r="S647" s="472">
        <f t="shared" si="110"/>
        <v>0</v>
      </c>
      <c r="T647" s="478"/>
      <c r="U647" s="478"/>
      <c r="V647" s="478"/>
    </row>
    <row r="648" spans="1:22" s="468" customFormat="1" ht="36.75" customHeight="1">
      <c r="A648" s="613"/>
      <c r="B648" s="613"/>
      <c r="C648" s="630">
        <v>4210</v>
      </c>
      <c r="D648" s="477" t="s">
        <v>422</v>
      </c>
      <c r="E648" s="529">
        <f t="shared" si="106"/>
        <v>7560</v>
      </c>
      <c r="F648" s="472">
        <f t="shared" si="107"/>
        <v>7560</v>
      </c>
      <c r="G648" s="472">
        <f t="shared" si="108"/>
        <v>7560</v>
      </c>
      <c r="H648" s="478">
        <v>7560</v>
      </c>
      <c r="I648" s="472">
        <f t="shared" si="109"/>
        <v>0</v>
      </c>
      <c r="J648" s="478"/>
      <c r="K648" s="478"/>
      <c r="L648" s="478"/>
      <c r="M648" s="478"/>
      <c r="N648" s="478"/>
      <c r="O648" s="478"/>
      <c r="P648" s="478"/>
      <c r="Q648" s="478"/>
      <c r="R648" s="478"/>
      <c r="S648" s="472">
        <f t="shared" si="110"/>
        <v>0</v>
      </c>
      <c r="T648" s="478"/>
      <c r="U648" s="478"/>
      <c r="V648" s="478"/>
    </row>
    <row r="649" spans="1:22" s="468" customFormat="1" ht="61.5" customHeight="1">
      <c r="A649" s="613"/>
      <c r="B649" s="613"/>
      <c r="C649" s="630">
        <v>4240</v>
      </c>
      <c r="D649" s="477" t="s">
        <v>566</v>
      </c>
      <c r="E649" s="529">
        <f t="shared" si="106"/>
        <v>1160</v>
      </c>
      <c r="F649" s="472">
        <f t="shared" si="107"/>
        <v>1160</v>
      </c>
      <c r="G649" s="472">
        <f t="shared" si="108"/>
        <v>1160</v>
      </c>
      <c r="H649" s="478">
        <v>1160</v>
      </c>
      <c r="I649" s="472">
        <f t="shared" si="109"/>
        <v>0</v>
      </c>
      <c r="J649" s="478"/>
      <c r="K649" s="478"/>
      <c r="L649" s="478"/>
      <c r="M649" s="478"/>
      <c r="N649" s="478"/>
      <c r="O649" s="478"/>
      <c r="P649" s="478"/>
      <c r="Q649" s="478"/>
      <c r="R649" s="478"/>
      <c r="S649" s="472">
        <f t="shared" si="110"/>
        <v>0</v>
      </c>
      <c r="T649" s="478"/>
      <c r="U649" s="478"/>
      <c r="V649" s="478"/>
    </row>
    <row r="650" spans="1:22" s="468" customFormat="1" ht="15.75">
      <c r="A650" s="613"/>
      <c r="B650" s="613"/>
      <c r="C650" s="630">
        <v>4260</v>
      </c>
      <c r="D650" s="477" t="s">
        <v>423</v>
      </c>
      <c r="E650" s="529">
        <f t="shared" si="106"/>
        <v>14520</v>
      </c>
      <c r="F650" s="472">
        <f t="shared" si="107"/>
        <v>14520</v>
      </c>
      <c r="G650" s="472">
        <f t="shared" si="108"/>
        <v>14520</v>
      </c>
      <c r="H650" s="478">
        <v>14520</v>
      </c>
      <c r="I650" s="472">
        <f t="shared" si="109"/>
        <v>0</v>
      </c>
      <c r="J650" s="478"/>
      <c r="K650" s="478"/>
      <c r="L650" s="478"/>
      <c r="M650" s="478"/>
      <c r="N650" s="478"/>
      <c r="O650" s="478"/>
      <c r="P650" s="478"/>
      <c r="Q650" s="478"/>
      <c r="R650" s="478"/>
      <c r="S650" s="472">
        <f t="shared" si="110"/>
        <v>0</v>
      </c>
      <c r="T650" s="478"/>
      <c r="U650" s="478"/>
      <c r="V650" s="478"/>
    </row>
    <row r="651" spans="1:22" s="468" customFormat="1" ht="30">
      <c r="A651" s="613"/>
      <c r="B651" s="613"/>
      <c r="C651" s="630">
        <v>4270</v>
      </c>
      <c r="D651" s="477" t="s">
        <v>424</v>
      </c>
      <c r="E651" s="529">
        <f t="shared" si="106"/>
        <v>5500</v>
      </c>
      <c r="F651" s="472">
        <f t="shared" si="107"/>
        <v>5500</v>
      </c>
      <c r="G651" s="472">
        <f t="shared" si="108"/>
        <v>5500</v>
      </c>
      <c r="H651" s="478">
        <v>5500</v>
      </c>
      <c r="I651" s="472">
        <f t="shared" si="109"/>
        <v>0</v>
      </c>
      <c r="J651" s="478"/>
      <c r="K651" s="478"/>
      <c r="L651" s="478"/>
      <c r="M651" s="478"/>
      <c r="N651" s="478"/>
      <c r="O651" s="478"/>
      <c r="P651" s="478"/>
      <c r="Q651" s="478"/>
      <c r="R651" s="478"/>
      <c r="S651" s="472">
        <f t="shared" si="110"/>
        <v>0</v>
      </c>
      <c r="T651" s="478"/>
      <c r="U651" s="478"/>
      <c r="V651" s="478"/>
    </row>
    <row r="652" spans="1:22" s="468" customFormat="1" ht="15.75">
      <c r="A652" s="613"/>
      <c r="B652" s="613"/>
      <c r="C652" s="630">
        <v>4280</v>
      </c>
      <c r="D652" s="477" t="s">
        <v>425</v>
      </c>
      <c r="E652" s="529">
        <f t="shared" si="106"/>
        <v>370</v>
      </c>
      <c r="F652" s="472">
        <f t="shared" si="107"/>
        <v>370</v>
      </c>
      <c r="G652" s="472">
        <f t="shared" si="108"/>
        <v>370</v>
      </c>
      <c r="H652" s="478">
        <v>370</v>
      </c>
      <c r="I652" s="472">
        <f t="shared" si="109"/>
        <v>0</v>
      </c>
      <c r="J652" s="478"/>
      <c r="K652" s="478"/>
      <c r="L652" s="478"/>
      <c r="M652" s="478"/>
      <c r="N652" s="478"/>
      <c r="O652" s="478"/>
      <c r="P652" s="478"/>
      <c r="Q652" s="478"/>
      <c r="R652" s="478"/>
      <c r="S652" s="472">
        <f t="shared" si="110"/>
        <v>0</v>
      </c>
      <c r="T652" s="478"/>
      <c r="U652" s="478"/>
      <c r="V652" s="478"/>
    </row>
    <row r="653" spans="1:22" s="468" customFormat="1" ht="39.75" customHeight="1">
      <c r="A653" s="613"/>
      <c r="B653" s="613"/>
      <c r="C653" s="630">
        <v>4300</v>
      </c>
      <c r="D653" s="477" t="s">
        <v>529</v>
      </c>
      <c r="E653" s="529">
        <f t="shared" si="106"/>
        <v>4900</v>
      </c>
      <c r="F653" s="472">
        <f t="shared" si="107"/>
        <v>4900</v>
      </c>
      <c r="G653" s="472">
        <f t="shared" si="108"/>
        <v>4900</v>
      </c>
      <c r="H653" s="478">
        <v>4900</v>
      </c>
      <c r="I653" s="472">
        <f t="shared" si="109"/>
        <v>0</v>
      </c>
      <c r="J653" s="478"/>
      <c r="K653" s="478"/>
      <c r="L653" s="478"/>
      <c r="M653" s="478"/>
      <c r="N653" s="478"/>
      <c r="O653" s="478"/>
      <c r="P653" s="478"/>
      <c r="Q653" s="478"/>
      <c r="R653" s="478"/>
      <c r="S653" s="472">
        <f t="shared" si="110"/>
        <v>0</v>
      </c>
      <c r="T653" s="478"/>
      <c r="U653" s="478"/>
      <c r="V653" s="478"/>
    </row>
    <row r="654" spans="1:22" s="468" customFormat="1" ht="42.75" customHeight="1">
      <c r="A654" s="613"/>
      <c r="B654" s="613"/>
      <c r="C654" s="630">
        <v>4350</v>
      </c>
      <c r="D654" s="477" t="s">
        <v>426</v>
      </c>
      <c r="E654" s="529">
        <f t="shared" si="106"/>
        <v>1010</v>
      </c>
      <c r="F654" s="472">
        <f t="shared" si="107"/>
        <v>1010</v>
      </c>
      <c r="G654" s="472">
        <f t="shared" si="108"/>
        <v>1010</v>
      </c>
      <c r="H654" s="478">
        <v>1010</v>
      </c>
      <c r="I654" s="472">
        <f t="shared" si="109"/>
        <v>0</v>
      </c>
      <c r="J654" s="478"/>
      <c r="K654" s="478"/>
      <c r="L654" s="478"/>
      <c r="M654" s="478"/>
      <c r="N654" s="478"/>
      <c r="O654" s="478"/>
      <c r="P654" s="478"/>
      <c r="Q654" s="478"/>
      <c r="R654" s="478"/>
      <c r="S654" s="472">
        <f t="shared" si="110"/>
        <v>0</v>
      </c>
      <c r="T654" s="478"/>
      <c r="U654" s="478"/>
      <c r="V654" s="478"/>
    </row>
    <row r="655" spans="1:22" s="468" customFormat="1" ht="60">
      <c r="A655" s="613"/>
      <c r="B655" s="613"/>
      <c r="C655" s="630">
        <v>4370</v>
      </c>
      <c r="D655" s="477" t="s">
        <v>560</v>
      </c>
      <c r="E655" s="529">
        <f t="shared" si="106"/>
        <v>5790</v>
      </c>
      <c r="F655" s="472">
        <f t="shared" si="107"/>
        <v>5790</v>
      </c>
      <c r="G655" s="472">
        <f t="shared" si="108"/>
        <v>5790</v>
      </c>
      <c r="H655" s="478">
        <v>5790</v>
      </c>
      <c r="I655" s="472">
        <f t="shared" si="109"/>
        <v>0</v>
      </c>
      <c r="J655" s="478"/>
      <c r="K655" s="478"/>
      <c r="L655" s="478"/>
      <c r="M655" s="478"/>
      <c r="N655" s="478"/>
      <c r="O655" s="478"/>
      <c r="P655" s="478"/>
      <c r="Q655" s="478"/>
      <c r="R655" s="478"/>
      <c r="S655" s="472">
        <f t="shared" si="110"/>
        <v>0</v>
      </c>
      <c r="T655" s="478"/>
      <c r="U655" s="478"/>
      <c r="V655" s="478"/>
    </row>
    <row r="656" spans="1:22" s="468" customFormat="1" ht="30">
      <c r="A656" s="613"/>
      <c r="B656" s="613"/>
      <c r="C656" s="630">
        <v>4410</v>
      </c>
      <c r="D656" s="477" t="s">
        <v>430</v>
      </c>
      <c r="E656" s="529">
        <f t="shared" si="106"/>
        <v>3630</v>
      </c>
      <c r="F656" s="472">
        <f t="shared" si="107"/>
        <v>3630</v>
      </c>
      <c r="G656" s="472">
        <f t="shared" si="108"/>
        <v>3630</v>
      </c>
      <c r="H656" s="478">
        <v>3630</v>
      </c>
      <c r="I656" s="472">
        <f t="shared" si="109"/>
        <v>0</v>
      </c>
      <c r="J656" s="478"/>
      <c r="K656" s="478"/>
      <c r="L656" s="478"/>
      <c r="M656" s="478"/>
      <c r="N656" s="478"/>
      <c r="O656" s="478"/>
      <c r="P656" s="478"/>
      <c r="Q656" s="478"/>
      <c r="R656" s="478"/>
      <c r="S656" s="472">
        <f t="shared" si="110"/>
        <v>0</v>
      </c>
      <c r="T656" s="478"/>
      <c r="U656" s="478"/>
      <c r="V656" s="478"/>
    </row>
    <row r="657" spans="1:22" s="468" customFormat="1" ht="15.75">
      <c r="A657" s="613"/>
      <c r="B657" s="613"/>
      <c r="C657" s="630">
        <v>4430</v>
      </c>
      <c r="D657" s="477" t="s">
        <v>431</v>
      </c>
      <c r="E657" s="529">
        <f t="shared" si="106"/>
        <v>1130</v>
      </c>
      <c r="F657" s="472">
        <f t="shared" si="107"/>
        <v>1130</v>
      </c>
      <c r="G657" s="472">
        <f t="shared" si="108"/>
        <v>1130</v>
      </c>
      <c r="H657" s="478">
        <v>1130</v>
      </c>
      <c r="I657" s="472">
        <f t="shared" si="109"/>
        <v>0</v>
      </c>
      <c r="J657" s="478"/>
      <c r="K657" s="478"/>
      <c r="L657" s="478"/>
      <c r="M657" s="478"/>
      <c r="N657" s="478"/>
      <c r="O657" s="478"/>
      <c r="P657" s="478"/>
      <c r="Q657" s="478"/>
      <c r="R657" s="478"/>
      <c r="S657" s="472">
        <f t="shared" si="110"/>
        <v>0</v>
      </c>
      <c r="T657" s="478"/>
      <c r="U657" s="478"/>
      <c r="V657" s="478"/>
    </row>
    <row r="658" spans="1:22" s="468" customFormat="1" ht="57" customHeight="1">
      <c r="A658" s="613"/>
      <c r="B658" s="613"/>
      <c r="C658" s="630">
        <v>4440</v>
      </c>
      <c r="D658" s="477" t="s">
        <v>432</v>
      </c>
      <c r="E658" s="529">
        <f t="shared" si="106"/>
        <v>29130</v>
      </c>
      <c r="F658" s="472">
        <f t="shared" si="107"/>
        <v>29130</v>
      </c>
      <c r="G658" s="472">
        <f t="shared" si="108"/>
        <v>29130</v>
      </c>
      <c r="H658" s="478">
        <v>29130</v>
      </c>
      <c r="I658" s="472">
        <f t="shared" si="109"/>
        <v>0</v>
      </c>
      <c r="J658" s="478"/>
      <c r="K658" s="478"/>
      <c r="L658" s="478"/>
      <c r="M658" s="478"/>
      <c r="N658" s="478"/>
      <c r="O658" s="478"/>
      <c r="P658" s="478"/>
      <c r="Q658" s="478"/>
      <c r="R658" s="478"/>
      <c r="S658" s="472">
        <f t="shared" si="110"/>
        <v>0</v>
      </c>
      <c r="T658" s="478"/>
      <c r="U658" s="478"/>
      <c r="V658" s="478"/>
    </row>
    <row r="659" spans="1:22" s="468" customFormat="1" ht="41.25" customHeight="1">
      <c r="A659" s="613"/>
      <c r="B659" s="613"/>
      <c r="C659" s="630">
        <v>4510</v>
      </c>
      <c r="D659" s="477" t="s">
        <v>743</v>
      </c>
      <c r="E659" s="529">
        <f t="shared" si="106"/>
        <v>100</v>
      </c>
      <c r="F659" s="472">
        <f t="shared" si="107"/>
        <v>100</v>
      </c>
      <c r="G659" s="472">
        <f t="shared" si="108"/>
        <v>100</v>
      </c>
      <c r="H659" s="478">
        <v>100</v>
      </c>
      <c r="I659" s="472">
        <f t="shared" si="109"/>
        <v>0</v>
      </c>
      <c r="J659" s="478"/>
      <c r="K659" s="478"/>
      <c r="L659" s="478"/>
      <c r="M659" s="478"/>
      <c r="N659" s="478"/>
      <c r="O659" s="478"/>
      <c r="P659" s="478"/>
      <c r="Q659" s="478"/>
      <c r="R659" s="478"/>
      <c r="S659" s="472">
        <f t="shared" si="110"/>
        <v>0</v>
      </c>
      <c r="T659" s="478"/>
      <c r="U659" s="478"/>
      <c r="V659" s="478"/>
    </row>
    <row r="660" spans="1:22" s="468" customFormat="1" ht="47.25" customHeight="1">
      <c r="A660" s="613"/>
      <c r="B660" s="613"/>
      <c r="C660" s="630">
        <v>4700</v>
      </c>
      <c r="D660" s="477" t="s">
        <v>708</v>
      </c>
      <c r="E660" s="529">
        <f t="shared" si="106"/>
        <v>1370</v>
      </c>
      <c r="F660" s="472">
        <f t="shared" si="107"/>
        <v>1370</v>
      </c>
      <c r="G660" s="472">
        <f t="shared" si="108"/>
        <v>1370</v>
      </c>
      <c r="H660" s="478">
        <v>1370</v>
      </c>
      <c r="I660" s="472">
        <f t="shared" si="109"/>
        <v>0</v>
      </c>
      <c r="J660" s="478"/>
      <c r="K660" s="478"/>
      <c r="L660" s="478"/>
      <c r="M660" s="478"/>
      <c r="N660" s="478"/>
      <c r="O660" s="478"/>
      <c r="P660" s="478"/>
      <c r="Q660" s="478"/>
      <c r="R660" s="478"/>
      <c r="S660" s="472">
        <f t="shared" si="110"/>
        <v>0</v>
      </c>
      <c r="T660" s="478"/>
      <c r="U660" s="478"/>
      <c r="V660" s="478"/>
    </row>
    <row r="661" spans="1:22" s="468" customFormat="1" ht="60" customHeight="1">
      <c r="A661" s="613"/>
      <c r="B661" s="613"/>
      <c r="C661" s="630">
        <v>4740</v>
      </c>
      <c r="D661" s="477" t="s">
        <v>521</v>
      </c>
      <c r="E661" s="529">
        <f t="shared" si="106"/>
        <v>1080</v>
      </c>
      <c r="F661" s="472">
        <f t="shared" si="107"/>
        <v>1080</v>
      </c>
      <c r="G661" s="472">
        <f t="shared" si="108"/>
        <v>1080</v>
      </c>
      <c r="H661" s="478">
        <v>1080</v>
      </c>
      <c r="I661" s="472">
        <f t="shared" si="109"/>
        <v>0</v>
      </c>
      <c r="J661" s="478"/>
      <c r="K661" s="478"/>
      <c r="L661" s="478"/>
      <c r="M661" s="478"/>
      <c r="N661" s="478"/>
      <c r="O661" s="478"/>
      <c r="P661" s="478"/>
      <c r="Q661" s="478"/>
      <c r="R661" s="478"/>
      <c r="S661" s="472">
        <f t="shared" si="110"/>
        <v>0</v>
      </c>
      <c r="T661" s="478"/>
      <c r="U661" s="478"/>
      <c r="V661" s="478"/>
    </row>
    <row r="662" spans="1:22" s="468" customFormat="1" ht="49.5" customHeight="1">
      <c r="A662" s="613"/>
      <c r="B662" s="613"/>
      <c r="C662" s="630">
        <v>4750</v>
      </c>
      <c r="D662" s="477" t="s">
        <v>561</v>
      </c>
      <c r="E662" s="529">
        <f t="shared" si="106"/>
        <v>3530</v>
      </c>
      <c r="F662" s="472">
        <f t="shared" si="107"/>
        <v>3530</v>
      </c>
      <c r="G662" s="472">
        <f t="shared" si="108"/>
        <v>3530</v>
      </c>
      <c r="H662" s="478">
        <v>3530</v>
      </c>
      <c r="I662" s="472">
        <f t="shared" si="109"/>
        <v>0</v>
      </c>
      <c r="J662" s="478"/>
      <c r="K662" s="478"/>
      <c r="L662" s="478"/>
      <c r="M662" s="478"/>
      <c r="N662" s="478"/>
      <c r="O662" s="478"/>
      <c r="P662" s="478"/>
      <c r="Q662" s="478"/>
      <c r="R662" s="478"/>
      <c r="S662" s="472">
        <f t="shared" si="110"/>
        <v>0</v>
      </c>
      <c r="T662" s="478"/>
      <c r="U662" s="478"/>
      <c r="V662" s="478"/>
    </row>
    <row r="663" spans="1:22" s="476" customFormat="1" ht="31.5">
      <c r="A663" s="620"/>
      <c r="B663" s="612">
        <v>85410</v>
      </c>
      <c r="C663" s="629"/>
      <c r="D663" s="271" t="s">
        <v>610</v>
      </c>
      <c r="E663" s="529">
        <f t="shared" si="106"/>
        <v>970422</v>
      </c>
      <c r="F663" s="472">
        <f t="shared" si="107"/>
        <v>970422</v>
      </c>
      <c r="G663" s="472">
        <f t="shared" si="108"/>
        <v>947942</v>
      </c>
      <c r="H663" s="475">
        <f>SUM(H664:H680)</f>
        <v>455930</v>
      </c>
      <c r="I663" s="472">
        <f t="shared" si="109"/>
        <v>492012</v>
      </c>
      <c r="J663" s="475">
        <f>SUM(J664:J680)</f>
        <v>382822</v>
      </c>
      <c r="K663" s="475">
        <f aca="true" t="shared" si="114" ref="K663:R663">SUM(K664:K680)</f>
        <v>30120</v>
      </c>
      <c r="L663" s="475">
        <f t="shared" si="114"/>
        <v>73970</v>
      </c>
      <c r="M663" s="475">
        <f t="shared" si="114"/>
        <v>5100</v>
      </c>
      <c r="N663" s="475">
        <f t="shared" si="114"/>
        <v>22480</v>
      </c>
      <c r="O663" s="475">
        <f t="shared" si="114"/>
        <v>0</v>
      </c>
      <c r="P663" s="475">
        <f>SUM(P664:P680)</f>
        <v>0</v>
      </c>
      <c r="Q663" s="475">
        <f t="shared" si="114"/>
        <v>0</v>
      </c>
      <c r="R663" s="475">
        <f t="shared" si="114"/>
        <v>0</v>
      </c>
      <c r="S663" s="472">
        <f t="shared" si="110"/>
        <v>0</v>
      </c>
      <c r="T663" s="475">
        <f>SUM(T664:T680)</f>
        <v>0</v>
      </c>
      <c r="U663" s="475">
        <f>SUM(U664:U680)</f>
        <v>0</v>
      </c>
      <c r="V663" s="475">
        <f>SUM(V664:V680)</f>
        <v>0</v>
      </c>
    </row>
    <row r="664" spans="1:22" s="468" customFormat="1" ht="45">
      <c r="A664" s="621"/>
      <c r="B664" s="613"/>
      <c r="C664" s="630">
        <v>3020</v>
      </c>
      <c r="D664" s="477" t="s">
        <v>709</v>
      </c>
      <c r="E664" s="529">
        <f t="shared" si="106"/>
        <v>22480</v>
      </c>
      <c r="F664" s="472">
        <f t="shared" si="107"/>
        <v>22480</v>
      </c>
      <c r="G664" s="472">
        <f t="shared" si="108"/>
        <v>0</v>
      </c>
      <c r="H664" s="478"/>
      <c r="I664" s="472">
        <f t="shared" si="109"/>
        <v>0</v>
      </c>
      <c r="J664" s="478"/>
      <c r="K664" s="478"/>
      <c r="L664" s="478"/>
      <c r="M664" s="478"/>
      <c r="N664" s="478">
        <v>22480</v>
      </c>
      <c r="O664" s="478"/>
      <c r="P664" s="478"/>
      <c r="Q664" s="478"/>
      <c r="R664" s="478"/>
      <c r="S664" s="472">
        <f t="shared" si="110"/>
        <v>0</v>
      </c>
      <c r="T664" s="478"/>
      <c r="U664" s="478"/>
      <c r="V664" s="478"/>
    </row>
    <row r="665" spans="1:22" s="468" customFormat="1" ht="30">
      <c r="A665" s="621"/>
      <c r="B665" s="613"/>
      <c r="C665" s="630">
        <v>4010</v>
      </c>
      <c r="D665" s="477" t="s">
        <v>417</v>
      </c>
      <c r="E665" s="529">
        <f t="shared" si="106"/>
        <v>382822</v>
      </c>
      <c r="F665" s="472">
        <f t="shared" si="107"/>
        <v>382822</v>
      </c>
      <c r="G665" s="472">
        <f t="shared" si="108"/>
        <v>382822</v>
      </c>
      <c r="H665" s="478"/>
      <c r="I665" s="472">
        <f t="shared" si="109"/>
        <v>382822</v>
      </c>
      <c r="J665" s="478">
        <v>382822</v>
      </c>
      <c r="K665" s="478"/>
      <c r="L665" s="478"/>
      <c r="M665" s="478"/>
      <c r="N665" s="478"/>
      <c r="O665" s="478"/>
      <c r="P665" s="478"/>
      <c r="Q665" s="478"/>
      <c r="R665" s="478"/>
      <c r="S665" s="472">
        <f t="shared" si="110"/>
        <v>0</v>
      </c>
      <c r="T665" s="478"/>
      <c r="U665" s="478"/>
      <c r="V665" s="478"/>
    </row>
    <row r="666" spans="1:22" s="468" customFormat="1" ht="37.5" customHeight="1">
      <c r="A666" s="621"/>
      <c r="B666" s="613"/>
      <c r="C666" s="630">
        <v>4040</v>
      </c>
      <c r="D666" s="477" t="s">
        <v>418</v>
      </c>
      <c r="E666" s="529">
        <f t="shared" si="106"/>
        <v>30120</v>
      </c>
      <c r="F666" s="472">
        <f t="shared" si="107"/>
        <v>30120</v>
      </c>
      <c r="G666" s="472">
        <f t="shared" si="108"/>
        <v>30120</v>
      </c>
      <c r="H666" s="478"/>
      <c r="I666" s="472">
        <f t="shared" si="109"/>
        <v>30120</v>
      </c>
      <c r="J666" s="478"/>
      <c r="K666" s="478">
        <v>30120</v>
      </c>
      <c r="L666" s="478"/>
      <c r="M666" s="478"/>
      <c r="N666" s="478"/>
      <c r="O666" s="478"/>
      <c r="P666" s="478"/>
      <c r="Q666" s="478"/>
      <c r="R666" s="478"/>
      <c r="S666" s="472">
        <f t="shared" si="110"/>
        <v>0</v>
      </c>
      <c r="T666" s="478"/>
      <c r="U666" s="478"/>
      <c r="V666" s="478"/>
    </row>
    <row r="667" spans="1:22" s="468" customFormat="1" ht="45">
      <c r="A667" s="621"/>
      <c r="B667" s="613"/>
      <c r="C667" s="630">
        <v>4110</v>
      </c>
      <c r="D667" s="477" t="s">
        <v>556</v>
      </c>
      <c r="E667" s="529">
        <f t="shared" si="106"/>
        <v>63670</v>
      </c>
      <c r="F667" s="472">
        <f t="shared" si="107"/>
        <v>63670</v>
      </c>
      <c r="G667" s="472">
        <f t="shared" si="108"/>
        <v>63670</v>
      </c>
      <c r="H667" s="478"/>
      <c r="I667" s="472">
        <f t="shared" si="109"/>
        <v>63670</v>
      </c>
      <c r="J667" s="478"/>
      <c r="K667" s="478"/>
      <c r="L667" s="478">
        <v>63670</v>
      </c>
      <c r="M667" s="478"/>
      <c r="N667" s="478"/>
      <c r="O667" s="478"/>
      <c r="P667" s="478"/>
      <c r="Q667" s="478"/>
      <c r="R667" s="478"/>
      <c r="S667" s="472">
        <f t="shared" si="110"/>
        <v>0</v>
      </c>
      <c r="T667" s="478"/>
      <c r="U667" s="478"/>
      <c r="V667" s="478"/>
    </row>
    <row r="668" spans="1:22" s="468" customFormat="1" ht="30">
      <c r="A668" s="621"/>
      <c r="B668" s="613"/>
      <c r="C668" s="630">
        <v>4120</v>
      </c>
      <c r="D668" s="477" t="s">
        <v>420</v>
      </c>
      <c r="E668" s="529">
        <f t="shared" si="106"/>
        <v>10300</v>
      </c>
      <c r="F668" s="472">
        <f t="shared" si="107"/>
        <v>10300</v>
      </c>
      <c r="G668" s="472">
        <f t="shared" si="108"/>
        <v>10300</v>
      </c>
      <c r="H668" s="478"/>
      <c r="I668" s="472">
        <f t="shared" si="109"/>
        <v>10300</v>
      </c>
      <c r="J668" s="478"/>
      <c r="K668" s="478"/>
      <c r="L668" s="478">
        <v>10300</v>
      </c>
      <c r="M668" s="478"/>
      <c r="N668" s="478"/>
      <c r="O668" s="478"/>
      <c r="P668" s="478"/>
      <c r="Q668" s="478"/>
      <c r="R668" s="478"/>
      <c r="S668" s="472">
        <f t="shared" si="110"/>
        <v>0</v>
      </c>
      <c r="T668" s="478"/>
      <c r="U668" s="478"/>
      <c r="V668" s="478"/>
    </row>
    <row r="669" spans="1:22" s="468" customFormat="1" ht="48" customHeight="1">
      <c r="A669" s="621"/>
      <c r="B669" s="613"/>
      <c r="C669" s="630">
        <v>4170</v>
      </c>
      <c r="D669" s="477" t="s">
        <v>592</v>
      </c>
      <c r="E669" s="529">
        <f t="shared" si="106"/>
        <v>5100</v>
      </c>
      <c r="F669" s="472">
        <f t="shared" si="107"/>
        <v>5100</v>
      </c>
      <c r="G669" s="472">
        <f t="shared" si="108"/>
        <v>5100</v>
      </c>
      <c r="H669" s="478"/>
      <c r="I669" s="472">
        <f t="shared" si="109"/>
        <v>5100</v>
      </c>
      <c r="J669" s="478"/>
      <c r="K669" s="478"/>
      <c r="L669" s="478"/>
      <c r="M669" s="478">
        <v>5100</v>
      </c>
      <c r="N669" s="478"/>
      <c r="O669" s="478"/>
      <c r="P669" s="478"/>
      <c r="Q669" s="478"/>
      <c r="R669" s="478"/>
      <c r="S669" s="472">
        <f t="shared" si="110"/>
        <v>0</v>
      </c>
      <c r="T669" s="478"/>
      <c r="U669" s="478"/>
      <c r="V669" s="478"/>
    </row>
    <row r="670" spans="1:22" s="468" customFormat="1" ht="30">
      <c r="A670" s="621"/>
      <c r="B670" s="613"/>
      <c r="C670" s="630">
        <v>4210</v>
      </c>
      <c r="D670" s="477" t="s">
        <v>422</v>
      </c>
      <c r="E670" s="529">
        <f aca="true" t="shared" si="115" ref="E670:E742">F670+S670</f>
        <v>284940</v>
      </c>
      <c r="F670" s="472">
        <f t="shared" si="107"/>
        <v>284940</v>
      </c>
      <c r="G670" s="472">
        <f t="shared" si="108"/>
        <v>284940</v>
      </c>
      <c r="H670" s="478">
        <v>284940</v>
      </c>
      <c r="I670" s="472">
        <f t="shared" si="109"/>
        <v>0</v>
      </c>
      <c r="J670" s="478"/>
      <c r="K670" s="478"/>
      <c r="L670" s="478"/>
      <c r="M670" s="478"/>
      <c r="N670" s="478"/>
      <c r="O670" s="478"/>
      <c r="P670" s="478"/>
      <c r="Q670" s="478"/>
      <c r="R670" s="478"/>
      <c r="S670" s="472">
        <f t="shared" si="110"/>
        <v>0</v>
      </c>
      <c r="T670" s="478"/>
      <c r="U670" s="478"/>
      <c r="V670" s="478"/>
    </row>
    <row r="671" spans="1:22" s="468" customFormat="1" ht="15.75">
      <c r="A671" s="621"/>
      <c r="B671" s="613"/>
      <c r="C671" s="630">
        <v>4260</v>
      </c>
      <c r="D671" s="477" t="s">
        <v>423</v>
      </c>
      <c r="E671" s="529">
        <f t="shared" si="115"/>
        <v>36240</v>
      </c>
      <c r="F671" s="472">
        <f aca="true" t="shared" si="116" ref="F671:F744">G671+N671+O671+P671+Q671+R671</f>
        <v>36240</v>
      </c>
      <c r="G671" s="472">
        <f aca="true" t="shared" si="117" ref="G671:G744">H671+I671</f>
        <v>36240</v>
      </c>
      <c r="H671" s="478">
        <v>36240</v>
      </c>
      <c r="I671" s="472">
        <f aca="true" t="shared" si="118" ref="I671:I742">SUM(J671:M671)</f>
        <v>0</v>
      </c>
      <c r="J671" s="478"/>
      <c r="K671" s="478"/>
      <c r="L671" s="478"/>
      <c r="M671" s="478"/>
      <c r="N671" s="478"/>
      <c r="O671" s="478"/>
      <c r="P671" s="478"/>
      <c r="Q671" s="478"/>
      <c r="R671" s="478"/>
      <c r="S671" s="472">
        <f aca="true" t="shared" si="119" ref="S671:S744">T671+V671</f>
        <v>0</v>
      </c>
      <c r="T671" s="478"/>
      <c r="U671" s="478"/>
      <c r="V671" s="478"/>
    </row>
    <row r="672" spans="1:22" s="468" customFormat="1" ht="30">
      <c r="A672" s="621"/>
      <c r="B672" s="613"/>
      <c r="C672" s="630">
        <v>4270</v>
      </c>
      <c r="D672" s="477" t="s">
        <v>424</v>
      </c>
      <c r="E672" s="529">
        <f t="shared" si="115"/>
        <v>92050</v>
      </c>
      <c r="F672" s="472">
        <f t="shared" si="116"/>
        <v>92050</v>
      </c>
      <c r="G672" s="472">
        <f t="shared" si="117"/>
        <v>92050</v>
      </c>
      <c r="H672" s="478">
        <v>92050</v>
      </c>
      <c r="I672" s="472">
        <f t="shared" si="118"/>
        <v>0</v>
      </c>
      <c r="J672" s="478"/>
      <c r="K672" s="478"/>
      <c r="L672" s="478"/>
      <c r="M672" s="478"/>
      <c r="N672" s="478"/>
      <c r="O672" s="478"/>
      <c r="P672" s="478"/>
      <c r="Q672" s="478"/>
      <c r="R672" s="478"/>
      <c r="S672" s="472">
        <f t="shared" si="119"/>
        <v>0</v>
      </c>
      <c r="T672" s="478"/>
      <c r="U672" s="478"/>
      <c r="V672" s="478"/>
    </row>
    <row r="673" spans="1:22" s="468" customFormat="1" ht="27.75" customHeight="1">
      <c r="A673" s="621"/>
      <c r="B673" s="613"/>
      <c r="C673" s="630">
        <v>4280</v>
      </c>
      <c r="D673" s="477" t="s">
        <v>425</v>
      </c>
      <c r="E673" s="529">
        <f t="shared" si="115"/>
        <v>270</v>
      </c>
      <c r="F673" s="472">
        <f t="shared" si="116"/>
        <v>270</v>
      </c>
      <c r="G673" s="472">
        <f t="shared" si="117"/>
        <v>270</v>
      </c>
      <c r="H673" s="478">
        <v>270</v>
      </c>
      <c r="I673" s="472">
        <f t="shared" si="118"/>
        <v>0</v>
      </c>
      <c r="J673" s="478"/>
      <c r="K673" s="478"/>
      <c r="L673" s="478"/>
      <c r="M673" s="478"/>
      <c r="N673" s="478"/>
      <c r="O673" s="478"/>
      <c r="P673" s="478"/>
      <c r="Q673" s="478"/>
      <c r="R673" s="478"/>
      <c r="S673" s="472">
        <f t="shared" si="119"/>
        <v>0</v>
      </c>
      <c r="T673" s="478"/>
      <c r="U673" s="478"/>
      <c r="V673" s="478"/>
    </row>
    <row r="674" spans="1:22" s="468" customFormat="1" ht="51" customHeight="1">
      <c r="A674" s="621"/>
      <c r="B674" s="613"/>
      <c r="C674" s="630">
        <v>4300</v>
      </c>
      <c r="D674" s="477" t="s">
        <v>529</v>
      </c>
      <c r="E674" s="529">
        <f t="shared" si="115"/>
        <v>17550</v>
      </c>
      <c r="F674" s="472">
        <f t="shared" si="116"/>
        <v>17550</v>
      </c>
      <c r="G674" s="472">
        <f t="shared" si="117"/>
        <v>17550</v>
      </c>
      <c r="H674" s="478">
        <v>17550</v>
      </c>
      <c r="I674" s="472">
        <f t="shared" si="118"/>
        <v>0</v>
      </c>
      <c r="J674" s="478"/>
      <c r="K674" s="478"/>
      <c r="L674" s="478"/>
      <c r="M674" s="478"/>
      <c r="N674" s="478"/>
      <c r="O674" s="478"/>
      <c r="P674" s="478"/>
      <c r="Q674" s="478"/>
      <c r="R674" s="478"/>
      <c r="S674" s="472">
        <f t="shared" si="119"/>
        <v>0</v>
      </c>
      <c r="T674" s="478"/>
      <c r="U674" s="478"/>
      <c r="V674" s="478"/>
    </row>
    <row r="675" spans="1:22" s="468" customFormat="1" ht="60">
      <c r="A675" s="621"/>
      <c r="B675" s="613"/>
      <c r="C675" s="630">
        <v>4360</v>
      </c>
      <c r="D675" s="477" t="s">
        <v>567</v>
      </c>
      <c r="E675" s="529">
        <f t="shared" si="115"/>
        <v>990</v>
      </c>
      <c r="F675" s="472">
        <f t="shared" si="116"/>
        <v>990</v>
      </c>
      <c r="G675" s="472">
        <f t="shared" si="117"/>
        <v>990</v>
      </c>
      <c r="H675" s="478">
        <v>990</v>
      </c>
      <c r="I675" s="472">
        <f t="shared" si="118"/>
        <v>0</v>
      </c>
      <c r="J675" s="478"/>
      <c r="K675" s="478"/>
      <c r="L675" s="478"/>
      <c r="M675" s="478"/>
      <c r="N675" s="478"/>
      <c r="O675" s="478"/>
      <c r="P675" s="478"/>
      <c r="Q675" s="478"/>
      <c r="R675" s="478"/>
      <c r="S675" s="472">
        <f t="shared" si="119"/>
        <v>0</v>
      </c>
      <c r="T675" s="478"/>
      <c r="U675" s="478"/>
      <c r="V675" s="478"/>
    </row>
    <row r="676" spans="1:22" s="468" customFormat="1" ht="60">
      <c r="A676" s="621"/>
      <c r="B676" s="613"/>
      <c r="C676" s="630">
        <v>4370</v>
      </c>
      <c r="D676" s="477" t="s">
        <v>560</v>
      </c>
      <c r="E676" s="529">
        <f t="shared" si="115"/>
        <v>1720</v>
      </c>
      <c r="F676" s="472">
        <f t="shared" si="116"/>
        <v>1720</v>
      </c>
      <c r="G676" s="472">
        <f t="shared" si="117"/>
        <v>1720</v>
      </c>
      <c r="H676" s="478">
        <v>1720</v>
      </c>
      <c r="I676" s="472">
        <f t="shared" si="118"/>
        <v>0</v>
      </c>
      <c r="J676" s="478"/>
      <c r="K676" s="478"/>
      <c r="L676" s="478"/>
      <c r="M676" s="478"/>
      <c r="N676" s="478"/>
      <c r="O676" s="478"/>
      <c r="P676" s="478"/>
      <c r="Q676" s="478"/>
      <c r="R676" s="478"/>
      <c r="S676" s="472">
        <f t="shared" si="119"/>
        <v>0</v>
      </c>
      <c r="T676" s="478"/>
      <c r="U676" s="478"/>
      <c r="V676" s="478"/>
    </row>
    <row r="677" spans="1:22" s="468" customFormat="1" ht="30">
      <c r="A677" s="621"/>
      <c r="B677" s="613"/>
      <c r="C677" s="630">
        <v>4410</v>
      </c>
      <c r="D677" s="477" t="s">
        <v>430</v>
      </c>
      <c r="E677" s="529">
        <f t="shared" si="115"/>
        <v>410</v>
      </c>
      <c r="F677" s="472">
        <f t="shared" si="116"/>
        <v>410</v>
      </c>
      <c r="G677" s="472">
        <f t="shared" si="117"/>
        <v>410</v>
      </c>
      <c r="H677" s="478">
        <v>410</v>
      </c>
      <c r="I677" s="472">
        <f t="shared" si="118"/>
        <v>0</v>
      </c>
      <c r="J677" s="478"/>
      <c r="K677" s="478"/>
      <c r="L677" s="478"/>
      <c r="M677" s="478"/>
      <c r="N677" s="478"/>
      <c r="O677" s="478"/>
      <c r="P677" s="478"/>
      <c r="Q677" s="478"/>
      <c r="R677" s="478"/>
      <c r="S677" s="472">
        <f t="shared" si="119"/>
        <v>0</v>
      </c>
      <c r="T677" s="478"/>
      <c r="U677" s="478"/>
      <c r="V677" s="478"/>
    </row>
    <row r="678" spans="1:22" s="468" customFormat="1" ht="15.75">
      <c r="A678" s="621"/>
      <c r="B678" s="613"/>
      <c r="C678" s="630">
        <v>4430</v>
      </c>
      <c r="D678" s="477" t="s">
        <v>431</v>
      </c>
      <c r="E678" s="529">
        <f t="shared" si="115"/>
        <v>560</v>
      </c>
      <c r="F678" s="472">
        <f t="shared" si="116"/>
        <v>560</v>
      </c>
      <c r="G678" s="472">
        <f t="shared" si="117"/>
        <v>560</v>
      </c>
      <c r="H678" s="478">
        <v>560</v>
      </c>
      <c r="I678" s="472">
        <f t="shared" si="118"/>
        <v>0</v>
      </c>
      <c r="J678" s="478"/>
      <c r="K678" s="478"/>
      <c r="L678" s="478"/>
      <c r="M678" s="478"/>
      <c r="N678" s="478"/>
      <c r="O678" s="478"/>
      <c r="P678" s="478"/>
      <c r="Q678" s="478"/>
      <c r="R678" s="478"/>
      <c r="S678" s="472">
        <f t="shared" si="119"/>
        <v>0</v>
      </c>
      <c r="T678" s="478"/>
      <c r="U678" s="478"/>
      <c r="V678" s="478"/>
    </row>
    <row r="679" spans="1:22" s="468" customFormat="1" ht="46.5" customHeight="1">
      <c r="A679" s="621"/>
      <c r="B679" s="613"/>
      <c r="C679" s="630">
        <v>4440</v>
      </c>
      <c r="D679" s="477" t="s">
        <v>432</v>
      </c>
      <c r="E679" s="529">
        <f t="shared" si="115"/>
        <v>21200</v>
      </c>
      <c r="F679" s="472">
        <f t="shared" si="116"/>
        <v>21200</v>
      </c>
      <c r="G679" s="472">
        <f t="shared" si="117"/>
        <v>21200</v>
      </c>
      <c r="H679" s="478">
        <v>21200</v>
      </c>
      <c r="I679" s="472">
        <f t="shared" si="118"/>
        <v>0</v>
      </c>
      <c r="J679" s="478"/>
      <c r="K679" s="478"/>
      <c r="L679" s="478"/>
      <c r="M679" s="478"/>
      <c r="N679" s="478"/>
      <c r="O679" s="478"/>
      <c r="P679" s="478"/>
      <c r="Q679" s="478"/>
      <c r="R679" s="478"/>
      <c r="S679" s="472">
        <f t="shared" si="119"/>
        <v>0</v>
      </c>
      <c r="T679" s="478"/>
      <c r="U679" s="478"/>
      <c r="V679" s="478"/>
    </row>
    <row r="680" spans="1:22" s="468" customFormat="1" ht="54" customHeight="1" hidden="1">
      <c r="A680" s="611"/>
      <c r="B680" s="611"/>
      <c r="C680" s="630">
        <v>6050</v>
      </c>
      <c r="D680" s="480" t="s">
        <v>499</v>
      </c>
      <c r="E680" s="529">
        <f t="shared" si="115"/>
        <v>0</v>
      </c>
      <c r="F680" s="472">
        <f t="shared" si="116"/>
        <v>0</v>
      </c>
      <c r="G680" s="472">
        <f t="shared" si="117"/>
        <v>0</v>
      </c>
      <c r="H680" s="478"/>
      <c r="I680" s="472">
        <f t="shared" si="118"/>
        <v>0</v>
      </c>
      <c r="J680" s="478"/>
      <c r="K680" s="478"/>
      <c r="L680" s="478"/>
      <c r="M680" s="478"/>
      <c r="N680" s="478"/>
      <c r="O680" s="478"/>
      <c r="P680" s="478"/>
      <c r="Q680" s="478"/>
      <c r="R680" s="478"/>
      <c r="S680" s="472">
        <f t="shared" si="119"/>
        <v>0</v>
      </c>
      <c r="T680" s="478"/>
      <c r="U680" s="478"/>
      <c r="V680" s="478"/>
    </row>
    <row r="681" spans="1:22" s="468" customFormat="1" ht="47.25" customHeight="1" hidden="1">
      <c r="A681" s="611"/>
      <c r="B681" s="625">
        <v>85413</v>
      </c>
      <c r="C681" s="630"/>
      <c r="D681" s="494" t="s">
        <v>534</v>
      </c>
      <c r="E681" s="529">
        <f t="shared" si="115"/>
        <v>0</v>
      </c>
      <c r="F681" s="472">
        <f t="shared" si="116"/>
        <v>0</v>
      </c>
      <c r="G681" s="472">
        <f t="shared" si="117"/>
        <v>0</v>
      </c>
      <c r="H681" s="475">
        <f>SUM(H682:H685)</f>
        <v>0</v>
      </c>
      <c r="I681" s="472">
        <f t="shared" si="118"/>
        <v>0</v>
      </c>
      <c r="J681" s="475">
        <f aca="true" t="shared" si="120" ref="J681:R681">SUM(J682:J685)</f>
        <v>0</v>
      </c>
      <c r="K681" s="475">
        <f t="shared" si="120"/>
        <v>0</v>
      </c>
      <c r="L681" s="475">
        <f t="shared" si="120"/>
        <v>0</v>
      </c>
      <c r="M681" s="475"/>
      <c r="N681" s="475"/>
      <c r="O681" s="475">
        <f t="shared" si="120"/>
        <v>0</v>
      </c>
      <c r="P681" s="475">
        <f>SUM(P682:P685)</f>
        <v>0</v>
      </c>
      <c r="Q681" s="475">
        <f t="shared" si="120"/>
        <v>0</v>
      </c>
      <c r="R681" s="475">
        <f t="shared" si="120"/>
        <v>0</v>
      </c>
      <c r="S681" s="472">
        <f t="shared" si="119"/>
        <v>0</v>
      </c>
      <c r="T681" s="475">
        <f>SUM(T682:T685)</f>
        <v>0</v>
      </c>
      <c r="U681" s="475">
        <f>SUM(U682:U685)</f>
        <v>0</v>
      </c>
      <c r="V681" s="475">
        <f>SUM(V682:V685)</f>
        <v>0</v>
      </c>
    </row>
    <row r="682" spans="1:22" s="468" customFormat="1" ht="30" customHeight="1" hidden="1">
      <c r="A682" s="611"/>
      <c r="B682" s="611"/>
      <c r="C682" s="630">
        <v>4170</v>
      </c>
      <c r="D682" s="480" t="s">
        <v>541</v>
      </c>
      <c r="E682" s="529">
        <f t="shared" si="115"/>
        <v>0</v>
      </c>
      <c r="F682" s="472">
        <f t="shared" si="116"/>
        <v>0</v>
      </c>
      <c r="G682" s="472">
        <f t="shared" si="117"/>
        <v>0</v>
      </c>
      <c r="H682" s="478"/>
      <c r="I682" s="472">
        <f t="shared" si="118"/>
        <v>0</v>
      </c>
      <c r="J682" s="478"/>
      <c r="K682" s="478"/>
      <c r="L682" s="478"/>
      <c r="M682" s="478"/>
      <c r="N682" s="478"/>
      <c r="O682" s="478"/>
      <c r="P682" s="478"/>
      <c r="Q682" s="478"/>
      <c r="R682" s="478"/>
      <c r="S682" s="472">
        <f t="shared" si="119"/>
        <v>0</v>
      </c>
      <c r="T682" s="478"/>
      <c r="U682" s="478"/>
      <c r="V682" s="478"/>
    </row>
    <row r="683" spans="1:22" s="468" customFormat="1" ht="30" customHeight="1" hidden="1">
      <c r="A683" s="611"/>
      <c r="B683" s="611"/>
      <c r="C683" s="630">
        <v>4210</v>
      </c>
      <c r="D683" s="480" t="s">
        <v>422</v>
      </c>
      <c r="E683" s="529">
        <f t="shared" si="115"/>
        <v>0</v>
      </c>
      <c r="F683" s="472">
        <f t="shared" si="116"/>
        <v>0</v>
      </c>
      <c r="G683" s="472">
        <f t="shared" si="117"/>
        <v>0</v>
      </c>
      <c r="H683" s="478"/>
      <c r="I683" s="472">
        <f t="shared" si="118"/>
        <v>0</v>
      </c>
      <c r="J683" s="478"/>
      <c r="K683" s="478"/>
      <c r="L683" s="478"/>
      <c r="M683" s="478"/>
      <c r="N683" s="478"/>
      <c r="O683" s="478"/>
      <c r="P683" s="478"/>
      <c r="Q683" s="478"/>
      <c r="R683" s="478"/>
      <c r="S683" s="472">
        <f t="shared" si="119"/>
        <v>0</v>
      </c>
      <c r="T683" s="478"/>
      <c r="U683" s="478"/>
      <c r="V683" s="478"/>
    </row>
    <row r="684" spans="1:22" s="468" customFormat="1" ht="15.75" customHeight="1" hidden="1">
      <c r="A684" s="611"/>
      <c r="B684" s="611"/>
      <c r="C684" s="630">
        <v>4300</v>
      </c>
      <c r="D684" s="480" t="s">
        <v>529</v>
      </c>
      <c r="E684" s="529">
        <f t="shared" si="115"/>
        <v>0</v>
      </c>
      <c r="F684" s="472">
        <f t="shared" si="116"/>
        <v>0</v>
      </c>
      <c r="G684" s="472">
        <f t="shared" si="117"/>
        <v>0</v>
      </c>
      <c r="H684" s="478"/>
      <c r="I684" s="472">
        <f t="shared" si="118"/>
        <v>0</v>
      </c>
      <c r="J684" s="478"/>
      <c r="K684" s="478"/>
      <c r="L684" s="478"/>
      <c r="M684" s="478"/>
      <c r="N684" s="478"/>
      <c r="O684" s="478"/>
      <c r="P684" s="478"/>
      <c r="Q684" s="478"/>
      <c r="R684" s="478"/>
      <c r="S684" s="472">
        <f t="shared" si="119"/>
        <v>0</v>
      </c>
      <c r="T684" s="478"/>
      <c r="U684" s="478"/>
      <c r="V684" s="478"/>
    </row>
    <row r="685" spans="1:22" s="468" customFormat="1" ht="15.75" customHeight="1" hidden="1">
      <c r="A685" s="611"/>
      <c r="B685" s="611"/>
      <c r="C685" s="630">
        <v>4430</v>
      </c>
      <c r="D685" s="480" t="s">
        <v>431</v>
      </c>
      <c r="E685" s="529">
        <f t="shared" si="115"/>
        <v>0</v>
      </c>
      <c r="F685" s="472">
        <f t="shared" si="116"/>
        <v>0</v>
      </c>
      <c r="G685" s="472">
        <f t="shared" si="117"/>
        <v>0</v>
      </c>
      <c r="H685" s="478"/>
      <c r="I685" s="472">
        <f t="shared" si="118"/>
        <v>0</v>
      </c>
      <c r="J685" s="478"/>
      <c r="K685" s="478"/>
      <c r="L685" s="478"/>
      <c r="M685" s="478"/>
      <c r="N685" s="478"/>
      <c r="O685" s="478"/>
      <c r="P685" s="478"/>
      <c r="Q685" s="478"/>
      <c r="R685" s="478"/>
      <c r="S685" s="472">
        <f t="shared" si="119"/>
        <v>0</v>
      </c>
      <c r="T685" s="478"/>
      <c r="U685" s="478"/>
      <c r="V685" s="478"/>
    </row>
    <row r="686" spans="1:22" s="476" customFormat="1" ht="31.5">
      <c r="A686" s="620"/>
      <c r="B686" s="612">
        <v>85415</v>
      </c>
      <c r="C686" s="629"/>
      <c r="D686" s="271" t="s">
        <v>611</v>
      </c>
      <c r="E686" s="529">
        <f t="shared" si="115"/>
        <v>79000</v>
      </c>
      <c r="F686" s="472">
        <f t="shared" si="116"/>
        <v>79000</v>
      </c>
      <c r="G686" s="472">
        <f t="shared" si="117"/>
        <v>0</v>
      </c>
      <c r="H686" s="475">
        <f>SUM(H687:H687)</f>
        <v>0</v>
      </c>
      <c r="I686" s="472">
        <f t="shared" si="118"/>
        <v>0</v>
      </c>
      <c r="J686" s="475">
        <f aca="true" t="shared" si="121" ref="J686:V686">SUM(J687:J687)</f>
        <v>0</v>
      </c>
      <c r="K686" s="475">
        <f t="shared" si="121"/>
        <v>0</v>
      </c>
      <c r="L686" s="475">
        <f t="shared" si="121"/>
        <v>0</v>
      </c>
      <c r="M686" s="475">
        <f t="shared" si="121"/>
        <v>0</v>
      </c>
      <c r="N686" s="475">
        <f t="shared" si="121"/>
        <v>79000</v>
      </c>
      <c r="O686" s="475">
        <f t="shared" si="121"/>
        <v>0</v>
      </c>
      <c r="P686" s="475">
        <f t="shared" si="121"/>
        <v>0</v>
      </c>
      <c r="Q686" s="475">
        <f t="shared" si="121"/>
        <v>0</v>
      </c>
      <c r="R686" s="475">
        <f t="shared" si="121"/>
        <v>0</v>
      </c>
      <c r="S686" s="472">
        <f t="shared" si="119"/>
        <v>0</v>
      </c>
      <c r="T686" s="475">
        <f t="shared" si="121"/>
        <v>0</v>
      </c>
      <c r="U686" s="475">
        <f t="shared" si="121"/>
        <v>0</v>
      </c>
      <c r="V686" s="475">
        <f t="shared" si="121"/>
        <v>0</v>
      </c>
    </row>
    <row r="687" spans="1:22" s="468" customFormat="1" ht="47.25" customHeight="1">
      <c r="A687" s="621"/>
      <c r="B687" s="613"/>
      <c r="C687" s="630">
        <v>3240</v>
      </c>
      <c r="D687" s="477" t="s">
        <v>612</v>
      </c>
      <c r="E687" s="529">
        <f t="shared" si="115"/>
        <v>79000</v>
      </c>
      <c r="F687" s="472">
        <f t="shared" si="116"/>
        <v>79000</v>
      </c>
      <c r="G687" s="472">
        <f t="shared" si="117"/>
        <v>0</v>
      </c>
      <c r="H687" s="641"/>
      <c r="I687" s="472">
        <f t="shared" si="118"/>
        <v>0</v>
      </c>
      <c r="J687" s="478"/>
      <c r="K687" s="478"/>
      <c r="L687" s="478"/>
      <c r="M687" s="478"/>
      <c r="N687" s="478">
        <v>79000</v>
      </c>
      <c r="O687" s="478"/>
      <c r="P687" s="478"/>
      <c r="Q687" s="478"/>
      <c r="R687" s="478"/>
      <c r="S687" s="472">
        <f t="shared" si="119"/>
        <v>0</v>
      </c>
      <c r="T687" s="478"/>
      <c r="U687" s="478"/>
      <c r="V687" s="478"/>
    </row>
    <row r="688" spans="1:22" s="476" customFormat="1" ht="47.25">
      <c r="A688" s="620"/>
      <c r="B688" s="612">
        <v>85446</v>
      </c>
      <c r="C688" s="629"/>
      <c r="D688" s="271" t="s">
        <v>572</v>
      </c>
      <c r="E688" s="529">
        <f t="shared" si="115"/>
        <v>8770</v>
      </c>
      <c r="F688" s="472">
        <f t="shared" si="116"/>
        <v>8770</v>
      </c>
      <c r="G688" s="472">
        <f t="shared" si="117"/>
        <v>8770</v>
      </c>
      <c r="H688" s="475">
        <f>SUM(H689:H690)</f>
        <v>8770</v>
      </c>
      <c r="I688" s="472">
        <f t="shared" si="118"/>
        <v>0</v>
      </c>
      <c r="J688" s="475">
        <f>SUM(J689:J690)</f>
        <v>0</v>
      </c>
      <c r="K688" s="475">
        <f aca="true" t="shared" si="122" ref="K688:R688">SUM(K689:K690)</f>
        <v>0</v>
      </c>
      <c r="L688" s="475">
        <f t="shared" si="122"/>
        <v>0</v>
      </c>
      <c r="M688" s="475">
        <f t="shared" si="122"/>
        <v>0</v>
      </c>
      <c r="N688" s="475">
        <f t="shared" si="122"/>
        <v>0</v>
      </c>
      <c r="O688" s="475">
        <f t="shared" si="122"/>
        <v>0</v>
      </c>
      <c r="P688" s="475">
        <f>SUM(P689:P690)</f>
        <v>0</v>
      </c>
      <c r="Q688" s="475">
        <f t="shared" si="122"/>
        <v>0</v>
      </c>
      <c r="R688" s="475">
        <f t="shared" si="122"/>
        <v>0</v>
      </c>
      <c r="S688" s="472">
        <f t="shared" si="119"/>
        <v>0</v>
      </c>
      <c r="T688" s="475">
        <f>SUM(T689:T690)</f>
        <v>0</v>
      </c>
      <c r="U688" s="475">
        <f>SUM(U689:U690)</f>
        <v>0</v>
      </c>
      <c r="V688" s="475">
        <f>SUM(V689:V690)</f>
        <v>0</v>
      </c>
    </row>
    <row r="689" spans="1:22" s="468" customFormat="1" ht="27.75" customHeight="1">
      <c r="A689" s="621"/>
      <c r="B689" s="613"/>
      <c r="C689" s="630">
        <v>4300</v>
      </c>
      <c r="D689" s="477" t="s">
        <v>529</v>
      </c>
      <c r="E689" s="529">
        <f t="shared" si="115"/>
        <v>7180</v>
      </c>
      <c r="F689" s="472">
        <f t="shared" si="116"/>
        <v>7180</v>
      </c>
      <c r="G689" s="472">
        <f t="shared" si="117"/>
        <v>7180</v>
      </c>
      <c r="H689" s="478">
        <v>7180</v>
      </c>
      <c r="I689" s="472">
        <f t="shared" si="118"/>
        <v>0</v>
      </c>
      <c r="J689" s="478"/>
      <c r="K689" s="478"/>
      <c r="L689" s="478"/>
      <c r="M689" s="478"/>
      <c r="N689" s="478"/>
      <c r="O689" s="478"/>
      <c r="P689" s="478"/>
      <c r="Q689" s="478"/>
      <c r="R689" s="478"/>
      <c r="S689" s="472">
        <f t="shared" si="119"/>
        <v>0</v>
      </c>
      <c r="T689" s="478"/>
      <c r="U689" s="478"/>
      <c r="V689" s="478"/>
    </row>
    <row r="690" spans="1:22" s="468" customFormat="1" ht="30">
      <c r="A690" s="621"/>
      <c r="B690" s="613"/>
      <c r="C690" s="630">
        <v>4410</v>
      </c>
      <c r="D690" s="477" t="s">
        <v>430</v>
      </c>
      <c r="E690" s="529">
        <f t="shared" si="115"/>
        <v>1590</v>
      </c>
      <c r="F690" s="472">
        <f t="shared" si="116"/>
        <v>1590</v>
      </c>
      <c r="G690" s="472">
        <f t="shared" si="117"/>
        <v>1590</v>
      </c>
      <c r="H690" s="478">
        <v>1590</v>
      </c>
      <c r="I690" s="472">
        <f t="shared" si="118"/>
        <v>0</v>
      </c>
      <c r="J690" s="478"/>
      <c r="K690" s="478"/>
      <c r="L690" s="478"/>
      <c r="M690" s="478"/>
      <c r="N690" s="478"/>
      <c r="O690" s="478"/>
      <c r="P690" s="478"/>
      <c r="Q690" s="478"/>
      <c r="R690" s="478"/>
      <c r="S690" s="472">
        <f t="shared" si="119"/>
        <v>0</v>
      </c>
      <c r="T690" s="478"/>
      <c r="U690" s="478"/>
      <c r="V690" s="478"/>
    </row>
    <row r="691" spans="1:22" s="476" customFormat="1" ht="15.75">
      <c r="A691" s="620"/>
      <c r="B691" s="612">
        <v>85495</v>
      </c>
      <c r="C691" s="629"/>
      <c r="D691" s="271" t="s">
        <v>546</v>
      </c>
      <c r="E691" s="529">
        <f t="shared" si="115"/>
        <v>8550</v>
      </c>
      <c r="F691" s="472">
        <f t="shared" si="116"/>
        <v>8550</v>
      </c>
      <c r="G691" s="472">
        <f t="shared" si="117"/>
        <v>8550</v>
      </c>
      <c r="H691" s="475">
        <f>SUM(H692:H695)</f>
        <v>8550</v>
      </c>
      <c r="I691" s="472">
        <f t="shared" si="118"/>
        <v>0</v>
      </c>
      <c r="J691" s="475">
        <f>SUM(J692:J695)</f>
        <v>0</v>
      </c>
      <c r="K691" s="475">
        <f aca="true" t="shared" si="123" ref="K691:R691">SUM(K692:K695)</f>
        <v>0</v>
      </c>
      <c r="L691" s="475">
        <f t="shared" si="123"/>
        <v>0</v>
      </c>
      <c r="M691" s="475">
        <f t="shared" si="123"/>
        <v>0</v>
      </c>
      <c r="N691" s="475">
        <f t="shared" si="123"/>
        <v>0</v>
      </c>
      <c r="O691" s="475">
        <f t="shared" si="123"/>
        <v>0</v>
      </c>
      <c r="P691" s="475">
        <f>SUM(P692:P695)</f>
        <v>0</v>
      </c>
      <c r="Q691" s="475">
        <f t="shared" si="123"/>
        <v>0</v>
      </c>
      <c r="R691" s="475">
        <f t="shared" si="123"/>
        <v>0</v>
      </c>
      <c r="S691" s="472">
        <f t="shared" si="119"/>
        <v>0</v>
      </c>
      <c r="T691" s="475">
        <f>SUM(T692:T695)</f>
        <v>0</v>
      </c>
      <c r="U691" s="475">
        <f>SUM(U692:U695)</f>
        <v>0</v>
      </c>
      <c r="V691" s="475">
        <f>SUM(V692:V695)</f>
        <v>0</v>
      </c>
    </row>
    <row r="692" spans="1:22" s="468" customFormat="1" ht="45.75" customHeight="1">
      <c r="A692" s="621"/>
      <c r="B692" s="613"/>
      <c r="C692" s="630">
        <v>4440</v>
      </c>
      <c r="D692" s="477" t="s">
        <v>432</v>
      </c>
      <c r="E692" s="529">
        <f t="shared" si="115"/>
        <v>8550</v>
      </c>
      <c r="F692" s="472">
        <f t="shared" si="116"/>
        <v>8550</v>
      </c>
      <c r="G692" s="472">
        <f t="shared" si="117"/>
        <v>8550</v>
      </c>
      <c r="H692" s="478">
        <v>8550</v>
      </c>
      <c r="I692" s="472">
        <f t="shared" si="118"/>
        <v>0</v>
      </c>
      <c r="J692" s="478"/>
      <c r="K692" s="478"/>
      <c r="L692" s="478"/>
      <c r="M692" s="478"/>
      <c r="N692" s="478"/>
      <c r="O692" s="478"/>
      <c r="P692" s="478"/>
      <c r="Q692" s="478"/>
      <c r="R692" s="478"/>
      <c r="S692" s="472">
        <f t="shared" si="119"/>
        <v>0</v>
      </c>
      <c r="T692" s="478"/>
      <c r="U692" s="478"/>
      <c r="V692" s="478"/>
    </row>
    <row r="693" spans="1:22" s="468" customFormat="1" ht="30" customHeight="1" hidden="1">
      <c r="A693" s="613"/>
      <c r="B693" s="613"/>
      <c r="C693" s="630">
        <v>4010</v>
      </c>
      <c r="D693" s="477" t="s">
        <v>417</v>
      </c>
      <c r="E693" s="529">
        <f t="shared" si="115"/>
        <v>0</v>
      </c>
      <c r="F693" s="472">
        <f t="shared" si="116"/>
        <v>0</v>
      </c>
      <c r="G693" s="472">
        <f t="shared" si="117"/>
        <v>0</v>
      </c>
      <c r="H693" s="478"/>
      <c r="I693" s="472">
        <f t="shared" si="118"/>
        <v>0</v>
      </c>
      <c r="J693" s="478"/>
      <c r="K693" s="478"/>
      <c r="L693" s="478"/>
      <c r="M693" s="478"/>
      <c r="N693" s="478"/>
      <c r="O693" s="478"/>
      <c r="P693" s="478"/>
      <c r="Q693" s="478"/>
      <c r="R693" s="478"/>
      <c r="S693" s="472">
        <f t="shared" si="119"/>
        <v>0</v>
      </c>
      <c r="T693" s="478"/>
      <c r="U693" s="478"/>
      <c r="V693" s="478"/>
    </row>
    <row r="694" spans="1:22" s="468" customFormat="1" ht="45" customHeight="1" hidden="1">
      <c r="A694" s="613"/>
      <c r="B694" s="613"/>
      <c r="C694" s="630">
        <v>4110</v>
      </c>
      <c r="D694" s="477" t="s">
        <v>556</v>
      </c>
      <c r="E694" s="529">
        <f t="shared" si="115"/>
        <v>0</v>
      </c>
      <c r="F694" s="472">
        <f t="shared" si="116"/>
        <v>0</v>
      </c>
      <c r="G694" s="472">
        <f t="shared" si="117"/>
        <v>0</v>
      </c>
      <c r="H694" s="478"/>
      <c r="I694" s="472">
        <f t="shared" si="118"/>
        <v>0</v>
      </c>
      <c r="J694" s="478"/>
      <c r="K694" s="478"/>
      <c r="L694" s="478"/>
      <c r="M694" s="478"/>
      <c r="N694" s="478"/>
      <c r="O694" s="478"/>
      <c r="P694" s="478"/>
      <c r="Q694" s="478"/>
      <c r="R694" s="478"/>
      <c r="S694" s="472">
        <f t="shared" si="119"/>
        <v>0</v>
      </c>
      <c r="T694" s="478"/>
      <c r="U694" s="478"/>
      <c r="V694" s="478"/>
    </row>
    <row r="695" spans="1:22" s="468" customFormat="1" ht="30" customHeight="1" hidden="1">
      <c r="A695" s="613"/>
      <c r="B695" s="613"/>
      <c r="C695" s="630">
        <v>4120</v>
      </c>
      <c r="D695" s="477" t="s">
        <v>420</v>
      </c>
      <c r="E695" s="529">
        <f t="shared" si="115"/>
        <v>0</v>
      </c>
      <c r="F695" s="472">
        <f t="shared" si="116"/>
        <v>0</v>
      </c>
      <c r="G695" s="472">
        <f t="shared" si="117"/>
        <v>0</v>
      </c>
      <c r="H695" s="478"/>
      <c r="I695" s="472">
        <f t="shared" si="118"/>
        <v>0</v>
      </c>
      <c r="J695" s="478"/>
      <c r="K695" s="478"/>
      <c r="L695" s="478"/>
      <c r="M695" s="478"/>
      <c r="N695" s="478"/>
      <c r="O695" s="478"/>
      <c r="P695" s="478"/>
      <c r="Q695" s="478"/>
      <c r="R695" s="478"/>
      <c r="S695" s="472">
        <f t="shared" si="119"/>
        <v>0</v>
      </c>
      <c r="T695" s="478"/>
      <c r="U695" s="478"/>
      <c r="V695" s="478"/>
    </row>
    <row r="696" spans="1:22" s="468" customFormat="1" ht="30" customHeight="1" hidden="1">
      <c r="A696" s="613"/>
      <c r="B696" s="613"/>
      <c r="C696" s="630">
        <v>4010</v>
      </c>
      <c r="D696" s="477" t="s">
        <v>1</v>
      </c>
      <c r="E696" s="529">
        <f t="shared" si="115"/>
        <v>0</v>
      </c>
      <c r="F696" s="472">
        <f t="shared" si="116"/>
        <v>0</v>
      </c>
      <c r="G696" s="472">
        <f t="shared" si="117"/>
        <v>0</v>
      </c>
      <c r="H696" s="478"/>
      <c r="I696" s="472">
        <f t="shared" si="118"/>
        <v>0</v>
      </c>
      <c r="J696" s="478"/>
      <c r="K696" s="478"/>
      <c r="L696" s="478"/>
      <c r="M696" s="478"/>
      <c r="N696" s="478"/>
      <c r="O696" s="478"/>
      <c r="P696" s="478"/>
      <c r="Q696" s="478"/>
      <c r="R696" s="478"/>
      <c r="S696" s="472">
        <f t="shared" si="119"/>
        <v>0</v>
      </c>
      <c r="T696" s="478"/>
      <c r="U696" s="478"/>
      <c r="V696" s="478"/>
    </row>
    <row r="697" spans="1:22" s="468" customFormat="1" ht="45" customHeight="1" hidden="1">
      <c r="A697" s="613"/>
      <c r="B697" s="613"/>
      <c r="C697" s="630">
        <v>4110</v>
      </c>
      <c r="D697" s="477" t="s">
        <v>556</v>
      </c>
      <c r="E697" s="529">
        <f t="shared" si="115"/>
        <v>0</v>
      </c>
      <c r="F697" s="472">
        <f t="shared" si="116"/>
        <v>0</v>
      </c>
      <c r="G697" s="472">
        <f t="shared" si="117"/>
        <v>0</v>
      </c>
      <c r="H697" s="478"/>
      <c r="I697" s="472">
        <f t="shared" si="118"/>
        <v>0</v>
      </c>
      <c r="J697" s="478"/>
      <c r="K697" s="478"/>
      <c r="L697" s="478"/>
      <c r="M697" s="478"/>
      <c r="N697" s="478"/>
      <c r="O697" s="478"/>
      <c r="P697" s="478"/>
      <c r="Q697" s="478"/>
      <c r="R697" s="478"/>
      <c r="S697" s="472">
        <f t="shared" si="119"/>
        <v>0</v>
      </c>
      <c r="T697" s="478"/>
      <c r="U697" s="478"/>
      <c r="V697" s="478"/>
    </row>
    <row r="698" spans="1:22" s="468" customFormat="1" ht="30" customHeight="1" hidden="1">
      <c r="A698" s="613"/>
      <c r="B698" s="613"/>
      <c r="C698" s="630">
        <v>4120</v>
      </c>
      <c r="D698" s="477" t="s">
        <v>420</v>
      </c>
      <c r="E698" s="529">
        <f t="shared" si="115"/>
        <v>0</v>
      </c>
      <c r="F698" s="472">
        <f t="shared" si="116"/>
        <v>0</v>
      </c>
      <c r="G698" s="472">
        <f t="shared" si="117"/>
        <v>0</v>
      </c>
      <c r="H698" s="478"/>
      <c r="I698" s="472">
        <f t="shared" si="118"/>
        <v>0</v>
      </c>
      <c r="J698" s="478"/>
      <c r="K698" s="478"/>
      <c r="L698" s="478"/>
      <c r="M698" s="478"/>
      <c r="N698" s="478"/>
      <c r="O698" s="478"/>
      <c r="P698" s="478"/>
      <c r="Q698" s="478"/>
      <c r="R698" s="478"/>
      <c r="S698" s="472">
        <f t="shared" si="119"/>
        <v>0</v>
      </c>
      <c r="T698" s="478"/>
      <c r="U698" s="478"/>
      <c r="V698" s="478"/>
    </row>
    <row r="699" spans="1:22" s="476" customFormat="1" ht="24">
      <c r="A699" s="652">
        <v>900</v>
      </c>
      <c r="B699" s="652"/>
      <c r="C699" s="653"/>
      <c r="D699" s="654" t="s">
        <v>339</v>
      </c>
      <c r="E699" s="529">
        <f aca="true" t="shared" si="124" ref="E699:E710">F699+S699</f>
        <v>1674172</v>
      </c>
      <c r="F699" s="472">
        <f aca="true" t="shared" si="125" ref="F699:F710">G699+N699+O699+P699+Q699+R699</f>
        <v>517721</v>
      </c>
      <c r="G699" s="472">
        <f aca="true" t="shared" si="126" ref="G699:G710">H699+I699</f>
        <v>477721</v>
      </c>
      <c r="H699" s="472">
        <f aca="true" t="shared" si="127" ref="H699:V699">SUM(H700)</f>
        <v>477721</v>
      </c>
      <c r="I699" s="472">
        <f aca="true" t="shared" si="128" ref="I699:I710">SUM(J699:M699)</f>
        <v>0</v>
      </c>
      <c r="J699" s="472">
        <f t="shared" si="127"/>
        <v>0</v>
      </c>
      <c r="K699" s="472">
        <f t="shared" si="127"/>
        <v>0</v>
      </c>
      <c r="L699" s="472">
        <f t="shared" si="127"/>
        <v>0</v>
      </c>
      <c r="M699" s="472">
        <f t="shared" si="127"/>
        <v>0</v>
      </c>
      <c r="N699" s="472">
        <f t="shared" si="127"/>
        <v>0</v>
      </c>
      <c r="O699" s="472">
        <f t="shared" si="127"/>
        <v>40000</v>
      </c>
      <c r="P699" s="472">
        <f t="shared" si="127"/>
        <v>0</v>
      </c>
      <c r="Q699" s="472">
        <f t="shared" si="127"/>
        <v>0</v>
      </c>
      <c r="R699" s="472">
        <f t="shared" si="127"/>
        <v>0</v>
      </c>
      <c r="S699" s="472">
        <f aca="true" t="shared" si="129" ref="S699:S710">T699+V699</f>
        <v>1156451</v>
      </c>
      <c r="T699" s="472">
        <f t="shared" si="127"/>
        <v>1156451</v>
      </c>
      <c r="U699" s="472">
        <f t="shared" si="127"/>
        <v>603576</v>
      </c>
      <c r="V699" s="472">
        <f t="shared" si="127"/>
        <v>0</v>
      </c>
    </row>
    <row r="700" spans="1:22" s="476" customFormat="1" ht="48">
      <c r="A700" s="655"/>
      <c r="B700" s="655">
        <v>90019</v>
      </c>
      <c r="C700" s="656"/>
      <c r="D700" s="657" t="s">
        <v>340</v>
      </c>
      <c r="E700" s="529">
        <f t="shared" si="124"/>
        <v>1674172</v>
      </c>
      <c r="F700" s="472">
        <f t="shared" si="125"/>
        <v>517721</v>
      </c>
      <c r="G700" s="472">
        <f t="shared" si="126"/>
        <v>477721</v>
      </c>
      <c r="H700" s="495">
        <f>SUM(H701:H710)</f>
        <v>477721</v>
      </c>
      <c r="I700" s="472">
        <f t="shared" si="128"/>
        <v>0</v>
      </c>
      <c r="J700" s="495">
        <f aca="true" t="shared" si="130" ref="J700:R700">SUM(J701:J710)</f>
        <v>0</v>
      </c>
      <c r="K700" s="495">
        <f t="shared" si="130"/>
        <v>0</v>
      </c>
      <c r="L700" s="495">
        <f t="shared" si="130"/>
        <v>0</v>
      </c>
      <c r="M700" s="495">
        <f t="shared" si="130"/>
        <v>0</v>
      </c>
      <c r="N700" s="495">
        <f t="shared" si="130"/>
        <v>0</v>
      </c>
      <c r="O700" s="495">
        <f t="shared" si="130"/>
        <v>40000</v>
      </c>
      <c r="P700" s="495">
        <f t="shared" si="130"/>
        <v>0</v>
      </c>
      <c r="Q700" s="495">
        <f t="shared" si="130"/>
        <v>0</v>
      </c>
      <c r="R700" s="495">
        <f t="shared" si="130"/>
        <v>0</v>
      </c>
      <c r="S700" s="472">
        <f t="shared" si="129"/>
        <v>1156451</v>
      </c>
      <c r="T700" s="495">
        <f>SUM(T701:T710)</f>
        <v>1156451</v>
      </c>
      <c r="U700" s="495">
        <f>SUM(U701:U710)</f>
        <v>603576</v>
      </c>
      <c r="V700" s="495">
        <f>SUM(V701:V710)</f>
        <v>0</v>
      </c>
    </row>
    <row r="701" spans="1:22" s="476" customFormat="1" ht="60">
      <c r="A701" s="655"/>
      <c r="B701" s="655"/>
      <c r="C701" s="635">
        <v>2810</v>
      </c>
      <c r="D701" s="651" t="s">
        <v>341</v>
      </c>
      <c r="E701" s="529">
        <f t="shared" si="124"/>
        <v>16000</v>
      </c>
      <c r="F701" s="472">
        <f t="shared" si="125"/>
        <v>16000</v>
      </c>
      <c r="G701" s="472">
        <f t="shared" si="126"/>
        <v>0</v>
      </c>
      <c r="H701" s="495"/>
      <c r="I701" s="472">
        <f t="shared" si="128"/>
        <v>0</v>
      </c>
      <c r="J701" s="495"/>
      <c r="K701" s="495"/>
      <c r="L701" s="495"/>
      <c r="M701" s="495"/>
      <c r="N701" s="495"/>
      <c r="O701" s="496">
        <v>16000</v>
      </c>
      <c r="P701" s="495"/>
      <c r="Q701" s="495"/>
      <c r="R701" s="495"/>
      <c r="S701" s="472">
        <f t="shared" si="129"/>
        <v>0</v>
      </c>
      <c r="T701" s="495"/>
      <c r="U701" s="495"/>
      <c r="V701" s="495"/>
    </row>
    <row r="702" spans="1:22" s="468" customFormat="1" ht="60">
      <c r="A702" s="655"/>
      <c r="B702" s="655"/>
      <c r="C702" s="635">
        <v>2820</v>
      </c>
      <c r="D702" s="651" t="s">
        <v>341</v>
      </c>
      <c r="E702" s="529">
        <f t="shared" si="124"/>
        <v>24000</v>
      </c>
      <c r="F702" s="472">
        <f t="shared" si="125"/>
        <v>24000</v>
      </c>
      <c r="G702" s="472">
        <f t="shared" si="126"/>
        <v>0</v>
      </c>
      <c r="H702" s="478"/>
      <c r="I702" s="472">
        <f t="shared" si="128"/>
        <v>0</v>
      </c>
      <c r="J702" s="478"/>
      <c r="K702" s="478"/>
      <c r="L702" s="478"/>
      <c r="M702" s="478"/>
      <c r="N702" s="478"/>
      <c r="O702" s="478">
        <v>24000</v>
      </c>
      <c r="P702" s="478"/>
      <c r="Q702" s="478"/>
      <c r="R702" s="478"/>
      <c r="S702" s="472">
        <f t="shared" si="129"/>
        <v>0</v>
      </c>
      <c r="T702" s="478"/>
      <c r="U702" s="478"/>
      <c r="V702" s="478"/>
    </row>
    <row r="703" spans="1:22" s="468" customFormat="1" ht="39.75" customHeight="1">
      <c r="A703" s="658"/>
      <c r="B703" s="658"/>
      <c r="C703" s="635">
        <v>4210</v>
      </c>
      <c r="D703" s="651" t="s">
        <v>422</v>
      </c>
      <c r="E703" s="529">
        <f t="shared" si="124"/>
        <v>116000</v>
      </c>
      <c r="F703" s="472">
        <f t="shared" si="125"/>
        <v>116000</v>
      </c>
      <c r="G703" s="472">
        <f t="shared" si="126"/>
        <v>116000</v>
      </c>
      <c r="H703" s="478">
        <v>116000</v>
      </c>
      <c r="I703" s="472">
        <f t="shared" si="128"/>
        <v>0</v>
      </c>
      <c r="J703" s="478"/>
      <c r="K703" s="478"/>
      <c r="L703" s="478"/>
      <c r="M703" s="478"/>
      <c r="N703" s="478"/>
      <c r="O703" s="478"/>
      <c r="P703" s="478"/>
      <c r="Q703" s="478"/>
      <c r="R703" s="478"/>
      <c r="S703" s="472">
        <f t="shared" si="129"/>
        <v>0</v>
      </c>
      <c r="T703" s="478"/>
      <c r="U703" s="478"/>
      <c r="V703" s="478"/>
    </row>
    <row r="704" spans="1:22" s="468" customFormat="1" ht="35.25" customHeight="1">
      <c r="A704" s="658"/>
      <c r="B704" s="658"/>
      <c r="C704" s="635">
        <v>4270</v>
      </c>
      <c r="D704" s="651" t="s">
        <v>424</v>
      </c>
      <c r="E704" s="529">
        <f t="shared" si="124"/>
        <v>174000</v>
      </c>
      <c r="F704" s="472">
        <f t="shared" si="125"/>
        <v>174000</v>
      </c>
      <c r="G704" s="472">
        <f t="shared" si="126"/>
        <v>174000</v>
      </c>
      <c r="H704" s="478">
        <v>174000</v>
      </c>
      <c r="I704" s="472">
        <f t="shared" si="128"/>
        <v>0</v>
      </c>
      <c r="J704" s="478"/>
      <c r="K704" s="478"/>
      <c r="L704" s="478"/>
      <c r="M704" s="478"/>
      <c r="N704" s="478"/>
      <c r="O704" s="478"/>
      <c r="P704" s="478"/>
      <c r="Q704" s="478"/>
      <c r="R704" s="478"/>
      <c r="S704" s="472">
        <f t="shared" si="129"/>
        <v>0</v>
      </c>
      <c r="T704" s="478"/>
      <c r="U704" s="478"/>
      <c r="V704" s="478"/>
    </row>
    <row r="705" spans="1:22" s="468" customFormat="1" ht="15.75">
      <c r="A705" s="658"/>
      <c r="B705" s="658"/>
      <c r="C705" s="635">
        <v>4300</v>
      </c>
      <c r="D705" s="651" t="s">
        <v>529</v>
      </c>
      <c r="E705" s="529">
        <f t="shared" si="124"/>
        <v>177721</v>
      </c>
      <c r="F705" s="472">
        <f t="shared" si="125"/>
        <v>177721</v>
      </c>
      <c r="G705" s="472">
        <f t="shared" si="126"/>
        <v>177721</v>
      </c>
      <c r="H705" s="478">
        <v>177721</v>
      </c>
      <c r="I705" s="472">
        <f t="shared" si="128"/>
        <v>0</v>
      </c>
      <c r="J705" s="478"/>
      <c r="K705" s="478"/>
      <c r="L705" s="478"/>
      <c r="M705" s="478"/>
      <c r="N705" s="478"/>
      <c r="O705" s="478"/>
      <c r="P705" s="478"/>
      <c r="Q705" s="478"/>
      <c r="R705" s="478"/>
      <c r="S705" s="472">
        <f t="shared" si="129"/>
        <v>0</v>
      </c>
      <c r="T705" s="478"/>
      <c r="U705" s="478"/>
      <c r="V705" s="478"/>
    </row>
    <row r="706" spans="1:22" s="468" customFormat="1" ht="45" customHeight="1">
      <c r="A706" s="658"/>
      <c r="B706" s="658"/>
      <c r="C706" s="635">
        <v>4700</v>
      </c>
      <c r="D706" s="651" t="s">
        <v>342</v>
      </c>
      <c r="E706" s="529">
        <f t="shared" si="124"/>
        <v>10000</v>
      </c>
      <c r="F706" s="472">
        <f t="shared" si="125"/>
        <v>10000</v>
      </c>
      <c r="G706" s="472">
        <f t="shared" si="126"/>
        <v>10000</v>
      </c>
      <c r="H706" s="478">
        <v>10000</v>
      </c>
      <c r="I706" s="472">
        <f t="shared" si="128"/>
        <v>0</v>
      </c>
      <c r="J706" s="478"/>
      <c r="K706" s="478"/>
      <c r="L706" s="478"/>
      <c r="M706" s="478"/>
      <c r="N706" s="478"/>
      <c r="O706" s="478"/>
      <c r="P706" s="478"/>
      <c r="Q706" s="478"/>
      <c r="R706" s="478"/>
      <c r="S706" s="472">
        <f t="shared" si="129"/>
        <v>0</v>
      </c>
      <c r="T706" s="478"/>
      <c r="U706" s="478"/>
      <c r="V706" s="478"/>
    </row>
    <row r="707" spans="1:22" s="468" customFormat="1" ht="48">
      <c r="A707" s="658"/>
      <c r="B707" s="658"/>
      <c r="C707" s="635">
        <v>6170</v>
      </c>
      <c r="D707" s="651" t="s">
        <v>343</v>
      </c>
      <c r="E707" s="529">
        <f t="shared" si="124"/>
        <v>50000</v>
      </c>
      <c r="F707" s="472">
        <f t="shared" si="125"/>
        <v>0</v>
      </c>
      <c r="G707" s="472">
        <f t="shared" si="126"/>
        <v>0</v>
      </c>
      <c r="H707" s="478"/>
      <c r="I707" s="472">
        <f t="shared" si="128"/>
        <v>0</v>
      </c>
      <c r="J707" s="478"/>
      <c r="K707" s="478"/>
      <c r="L707" s="478"/>
      <c r="M707" s="478"/>
      <c r="N707" s="478"/>
      <c r="O707" s="478"/>
      <c r="P707" s="478"/>
      <c r="Q707" s="478"/>
      <c r="R707" s="478"/>
      <c r="S707" s="472">
        <f t="shared" si="129"/>
        <v>50000</v>
      </c>
      <c r="T707" s="478">
        <v>50000</v>
      </c>
      <c r="U707" s="478"/>
      <c r="V707" s="478"/>
    </row>
    <row r="708" spans="1:22" s="468" customFormat="1" ht="75" customHeight="1">
      <c r="A708" s="658"/>
      <c r="B708" s="658"/>
      <c r="C708" s="635">
        <v>6620</v>
      </c>
      <c r="D708" s="651" t="s">
        <v>586</v>
      </c>
      <c r="E708" s="529">
        <f>F708+S708</f>
        <v>50000</v>
      </c>
      <c r="F708" s="472">
        <f>G708+N708+O708+P708+Q708+R708</f>
        <v>0</v>
      </c>
      <c r="G708" s="472">
        <f>H708+I708</f>
        <v>0</v>
      </c>
      <c r="H708" s="478"/>
      <c r="I708" s="472">
        <f>SUM(J708:M708)</f>
        <v>0</v>
      </c>
      <c r="J708" s="478"/>
      <c r="K708" s="478"/>
      <c r="L708" s="478"/>
      <c r="M708" s="478"/>
      <c r="N708" s="478"/>
      <c r="O708" s="478"/>
      <c r="P708" s="478"/>
      <c r="Q708" s="478"/>
      <c r="R708" s="478"/>
      <c r="S708" s="472">
        <f>T708+V708</f>
        <v>50000</v>
      </c>
      <c r="T708" s="478">
        <v>50000</v>
      </c>
      <c r="U708" s="478"/>
      <c r="V708" s="478"/>
    </row>
    <row r="709" spans="1:22" s="468" customFormat="1" ht="75" customHeight="1">
      <c r="A709" s="658"/>
      <c r="B709" s="658"/>
      <c r="C709" s="635">
        <v>6050</v>
      </c>
      <c r="D709" s="651" t="s">
        <v>39</v>
      </c>
      <c r="E709" s="529">
        <f t="shared" si="124"/>
        <v>452875</v>
      </c>
      <c r="F709" s="472">
        <f>G709+N709+O709+P709+Q709+R709</f>
        <v>0</v>
      </c>
      <c r="G709" s="472">
        <f>H709+I709</f>
        <v>0</v>
      </c>
      <c r="H709" s="478"/>
      <c r="I709" s="472">
        <f>SUM(J709:M709)</f>
        <v>0</v>
      </c>
      <c r="J709" s="478"/>
      <c r="K709" s="478"/>
      <c r="L709" s="478"/>
      <c r="M709" s="478"/>
      <c r="N709" s="478"/>
      <c r="O709" s="478"/>
      <c r="P709" s="478"/>
      <c r="Q709" s="478"/>
      <c r="R709" s="478"/>
      <c r="S709" s="472">
        <f>T709+V709</f>
        <v>452875</v>
      </c>
      <c r="T709" s="478">
        <v>452875</v>
      </c>
      <c r="U709" s="478"/>
      <c r="V709" s="478"/>
    </row>
    <row r="710" spans="1:22" s="468" customFormat="1" ht="75" customHeight="1">
      <c r="A710" s="658"/>
      <c r="B710" s="658"/>
      <c r="C710" s="635">
        <v>6059</v>
      </c>
      <c r="D710" s="651" t="s">
        <v>39</v>
      </c>
      <c r="E710" s="529">
        <f t="shared" si="124"/>
        <v>603576</v>
      </c>
      <c r="F710" s="472">
        <f t="shared" si="125"/>
        <v>0</v>
      </c>
      <c r="G710" s="472">
        <f t="shared" si="126"/>
        <v>0</v>
      </c>
      <c r="H710" s="478"/>
      <c r="I710" s="472">
        <f t="shared" si="128"/>
        <v>0</v>
      </c>
      <c r="J710" s="478"/>
      <c r="K710" s="478"/>
      <c r="L710" s="478"/>
      <c r="M710" s="478"/>
      <c r="N710" s="478"/>
      <c r="O710" s="478"/>
      <c r="P710" s="478"/>
      <c r="Q710" s="478"/>
      <c r="R710" s="478"/>
      <c r="S710" s="472">
        <f t="shared" si="129"/>
        <v>603576</v>
      </c>
      <c r="T710" s="478">
        <f>U710</f>
        <v>603576</v>
      </c>
      <c r="U710" s="478">
        <v>603576</v>
      </c>
      <c r="V710" s="478"/>
    </row>
    <row r="711" spans="1:22" s="473" customFormat="1" ht="63">
      <c r="A711" s="626">
        <v>921</v>
      </c>
      <c r="B711" s="611"/>
      <c r="C711" s="628"/>
      <c r="D711" s="320" t="s">
        <v>614</v>
      </c>
      <c r="E711" s="529">
        <f t="shared" si="115"/>
        <v>160000</v>
      </c>
      <c r="F711" s="472">
        <f t="shared" si="116"/>
        <v>160000</v>
      </c>
      <c r="G711" s="472">
        <f t="shared" si="117"/>
        <v>70000</v>
      </c>
      <c r="H711" s="472">
        <f>SUM(H714+H717+H712)</f>
        <v>68400</v>
      </c>
      <c r="I711" s="472">
        <f t="shared" si="118"/>
        <v>1600</v>
      </c>
      <c r="J711" s="472">
        <f aca="true" t="shared" si="131" ref="J711:R711">SUM(J714+J717+J712)</f>
        <v>0</v>
      </c>
      <c r="K711" s="472">
        <f t="shared" si="131"/>
        <v>0</v>
      </c>
      <c r="L711" s="472">
        <f t="shared" si="131"/>
        <v>0</v>
      </c>
      <c r="M711" s="472">
        <f t="shared" si="131"/>
        <v>1600</v>
      </c>
      <c r="N711" s="472">
        <f t="shared" si="131"/>
        <v>0</v>
      </c>
      <c r="O711" s="472">
        <f t="shared" si="131"/>
        <v>90000</v>
      </c>
      <c r="P711" s="472">
        <f>SUM(P714+P717+P712)</f>
        <v>0</v>
      </c>
      <c r="Q711" s="472">
        <f t="shared" si="131"/>
        <v>0</v>
      </c>
      <c r="R711" s="472">
        <f t="shared" si="131"/>
        <v>0</v>
      </c>
      <c r="S711" s="472">
        <f t="shared" si="119"/>
        <v>0</v>
      </c>
      <c r="T711" s="472">
        <f>SUM(T714+T717+T712)</f>
        <v>0</v>
      </c>
      <c r="U711" s="472">
        <f>SUM(U714+U717+U712)</f>
        <v>0</v>
      </c>
      <c r="V711" s="472">
        <f>SUM(V714+V717+V712)</f>
        <v>0</v>
      </c>
    </row>
    <row r="712" spans="1:22" s="476" customFormat="1" ht="31.5">
      <c r="A712" s="612"/>
      <c r="B712" s="612">
        <v>92108</v>
      </c>
      <c r="C712" s="629"/>
      <c r="D712" s="271" t="s">
        <v>114</v>
      </c>
      <c r="E712" s="529">
        <f t="shared" si="115"/>
        <v>5200</v>
      </c>
      <c r="F712" s="472">
        <f t="shared" si="116"/>
        <v>5200</v>
      </c>
      <c r="G712" s="472">
        <f t="shared" si="117"/>
        <v>0</v>
      </c>
      <c r="H712" s="475">
        <f aca="true" t="shared" si="132" ref="H712:V712">SUM(H713:H713)</f>
        <v>0</v>
      </c>
      <c r="I712" s="472">
        <f t="shared" si="118"/>
        <v>0</v>
      </c>
      <c r="J712" s="475">
        <f t="shared" si="132"/>
        <v>0</v>
      </c>
      <c r="K712" s="475">
        <f t="shared" si="132"/>
        <v>0</v>
      </c>
      <c r="L712" s="475">
        <f t="shared" si="132"/>
        <v>0</v>
      </c>
      <c r="M712" s="475">
        <f t="shared" si="132"/>
        <v>0</v>
      </c>
      <c r="N712" s="475">
        <f t="shared" si="132"/>
        <v>0</v>
      </c>
      <c r="O712" s="475">
        <f t="shared" si="132"/>
        <v>5200</v>
      </c>
      <c r="P712" s="475">
        <f t="shared" si="132"/>
        <v>0</v>
      </c>
      <c r="Q712" s="475">
        <f t="shared" si="132"/>
        <v>0</v>
      </c>
      <c r="R712" s="475">
        <f t="shared" si="132"/>
        <v>0</v>
      </c>
      <c r="S712" s="472">
        <f t="shared" si="119"/>
        <v>0</v>
      </c>
      <c r="T712" s="475">
        <f t="shared" si="132"/>
        <v>0</v>
      </c>
      <c r="U712" s="475">
        <f t="shared" si="132"/>
        <v>0</v>
      </c>
      <c r="V712" s="475">
        <f t="shared" si="132"/>
        <v>0</v>
      </c>
    </row>
    <row r="713" spans="1:22" s="468" customFormat="1" ht="90">
      <c r="A713" s="613"/>
      <c r="B713" s="613"/>
      <c r="C713" s="630">
        <v>2820</v>
      </c>
      <c r="D713" s="477" t="s">
        <v>16</v>
      </c>
      <c r="E713" s="529">
        <f t="shared" si="115"/>
        <v>5200</v>
      </c>
      <c r="F713" s="472">
        <f t="shared" si="116"/>
        <v>5200</v>
      </c>
      <c r="G713" s="472">
        <f t="shared" si="117"/>
        <v>0</v>
      </c>
      <c r="H713" s="478"/>
      <c r="I713" s="472">
        <f t="shared" si="118"/>
        <v>0</v>
      </c>
      <c r="J713" s="478"/>
      <c r="K713" s="478"/>
      <c r="L713" s="478"/>
      <c r="M713" s="478"/>
      <c r="N713" s="478"/>
      <c r="O713" s="478">
        <v>5200</v>
      </c>
      <c r="P713" s="478"/>
      <c r="Q713" s="478"/>
      <c r="R713" s="478"/>
      <c r="S713" s="472">
        <f t="shared" si="119"/>
        <v>0</v>
      </c>
      <c r="T713" s="478"/>
      <c r="U713" s="478"/>
      <c r="V713" s="478"/>
    </row>
    <row r="714" spans="1:22" s="476" customFormat="1" ht="15.75">
      <c r="A714" s="612"/>
      <c r="B714" s="612">
        <v>92116</v>
      </c>
      <c r="C714" s="629"/>
      <c r="D714" s="271" t="s">
        <v>615</v>
      </c>
      <c r="E714" s="529">
        <f t="shared" si="115"/>
        <v>76000</v>
      </c>
      <c r="F714" s="472">
        <f t="shared" si="116"/>
        <v>76000</v>
      </c>
      <c r="G714" s="472">
        <f t="shared" si="117"/>
        <v>0</v>
      </c>
      <c r="H714" s="475">
        <f>SUM(H715:H716)</f>
        <v>0</v>
      </c>
      <c r="I714" s="472">
        <f t="shared" si="118"/>
        <v>0</v>
      </c>
      <c r="J714" s="475">
        <f aca="true" t="shared" si="133" ref="J714:R714">SUM(J715:J716)</f>
        <v>0</v>
      </c>
      <c r="K714" s="475">
        <f t="shared" si="133"/>
        <v>0</v>
      </c>
      <c r="L714" s="475">
        <f t="shared" si="133"/>
        <v>0</v>
      </c>
      <c r="M714" s="475">
        <f t="shared" si="133"/>
        <v>0</v>
      </c>
      <c r="N714" s="475">
        <f t="shared" si="133"/>
        <v>0</v>
      </c>
      <c r="O714" s="475">
        <f t="shared" si="133"/>
        <v>76000</v>
      </c>
      <c r="P714" s="475">
        <f>SUM(P715:P716)</f>
        <v>0</v>
      </c>
      <c r="Q714" s="475">
        <f t="shared" si="133"/>
        <v>0</v>
      </c>
      <c r="R714" s="475">
        <f t="shared" si="133"/>
        <v>0</v>
      </c>
      <c r="S714" s="472">
        <f t="shared" si="119"/>
        <v>0</v>
      </c>
      <c r="T714" s="475">
        <f>SUM(T715:T716)</f>
        <v>0</v>
      </c>
      <c r="U714" s="475">
        <f>SUM(U715:U716)</f>
        <v>0</v>
      </c>
      <c r="V714" s="475">
        <f>SUM(V715:V716)</f>
        <v>0</v>
      </c>
    </row>
    <row r="715" spans="1:22" s="468" customFormat="1" ht="120">
      <c r="A715" s="613"/>
      <c r="B715" s="613"/>
      <c r="C715" s="630">
        <v>2310</v>
      </c>
      <c r="D715" s="477" t="s">
        <v>616</v>
      </c>
      <c r="E715" s="529">
        <f t="shared" si="115"/>
        <v>76000</v>
      </c>
      <c r="F715" s="472">
        <f t="shared" si="116"/>
        <v>76000</v>
      </c>
      <c r="G715" s="472">
        <f t="shared" si="117"/>
        <v>0</v>
      </c>
      <c r="H715" s="478"/>
      <c r="I715" s="472">
        <f t="shared" si="118"/>
        <v>0</v>
      </c>
      <c r="J715" s="478"/>
      <c r="K715" s="478"/>
      <c r="L715" s="478"/>
      <c r="M715" s="478"/>
      <c r="N715" s="478"/>
      <c r="O715" s="478">
        <v>76000</v>
      </c>
      <c r="P715" s="478"/>
      <c r="Q715" s="478"/>
      <c r="R715" s="478"/>
      <c r="S715" s="472">
        <f t="shared" si="119"/>
        <v>0</v>
      </c>
      <c r="T715" s="478"/>
      <c r="U715" s="478"/>
      <c r="V715" s="478"/>
    </row>
    <row r="716" spans="1:22" s="468" customFormat="1" ht="39.75" customHeight="1" hidden="1">
      <c r="A716" s="613"/>
      <c r="B716" s="613"/>
      <c r="C716" s="630">
        <v>4210</v>
      </c>
      <c r="D716" s="477" t="s">
        <v>745</v>
      </c>
      <c r="E716" s="529">
        <f t="shared" si="115"/>
        <v>0</v>
      </c>
      <c r="F716" s="472">
        <f t="shared" si="116"/>
        <v>0</v>
      </c>
      <c r="G716" s="472">
        <f t="shared" si="117"/>
        <v>0</v>
      </c>
      <c r="H716" s="478"/>
      <c r="I716" s="472">
        <f t="shared" si="118"/>
        <v>0</v>
      </c>
      <c r="J716" s="478"/>
      <c r="K716" s="478"/>
      <c r="L716" s="478"/>
      <c r="M716" s="478"/>
      <c r="N716" s="478"/>
      <c r="O716" s="478"/>
      <c r="P716" s="478"/>
      <c r="Q716" s="478"/>
      <c r="R716" s="478"/>
      <c r="S716" s="472">
        <f t="shared" si="119"/>
        <v>0</v>
      </c>
      <c r="T716" s="478"/>
      <c r="U716" s="478"/>
      <c r="V716" s="478"/>
    </row>
    <row r="717" spans="1:22" s="476" customFormat="1" ht="15.75">
      <c r="A717" s="612"/>
      <c r="B717" s="612">
        <v>92195</v>
      </c>
      <c r="C717" s="629"/>
      <c r="D717" s="271" t="s">
        <v>546</v>
      </c>
      <c r="E717" s="529">
        <f t="shared" si="115"/>
        <v>78800</v>
      </c>
      <c r="F717" s="472">
        <f t="shared" si="116"/>
        <v>78800</v>
      </c>
      <c r="G717" s="472">
        <f t="shared" si="117"/>
        <v>70000</v>
      </c>
      <c r="H717" s="475">
        <f>SUM(H718:H728)</f>
        <v>68400</v>
      </c>
      <c r="I717" s="472">
        <f t="shared" si="118"/>
        <v>1600</v>
      </c>
      <c r="J717" s="475">
        <f>SUM(J718:J728)</f>
        <v>0</v>
      </c>
      <c r="K717" s="475">
        <f aca="true" t="shared" si="134" ref="K717:R717">SUM(K718:K728)</f>
        <v>0</v>
      </c>
      <c r="L717" s="475">
        <f t="shared" si="134"/>
        <v>0</v>
      </c>
      <c r="M717" s="475">
        <f t="shared" si="134"/>
        <v>1600</v>
      </c>
      <c r="N717" s="475">
        <f t="shared" si="134"/>
        <v>0</v>
      </c>
      <c r="O717" s="475">
        <f t="shared" si="134"/>
        <v>8800</v>
      </c>
      <c r="P717" s="475">
        <f>SUM(P718:P728)</f>
        <v>0</v>
      </c>
      <c r="Q717" s="475">
        <f t="shared" si="134"/>
        <v>0</v>
      </c>
      <c r="R717" s="475">
        <f t="shared" si="134"/>
        <v>0</v>
      </c>
      <c r="S717" s="472">
        <f t="shared" si="119"/>
        <v>0</v>
      </c>
      <c r="T717" s="475">
        <f>SUM(T718:T728)</f>
        <v>0</v>
      </c>
      <c r="U717" s="475">
        <f>SUM(U718:U728)</f>
        <v>0</v>
      </c>
      <c r="V717" s="475">
        <f>SUM(V718:V728)</f>
        <v>0</v>
      </c>
    </row>
    <row r="718" spans="1:22" s="476" customFormat="1" ht="90" customHeight="1">
      <c r="A718" s="612"/>
      <c r="B718" s="612"/>
      <c r="C718" s="630">
        <v>2810</v>
      </c>
      <c r="D718" s="477" t="s">
        <v>17</v>
      </c>
      <c r="E718" s="529">
        <f t="shared" si="115"/>
        <v>1800</v>
      </c>
      <c r="F718" s="472">
        <f t="shared" si="116"/>
        <v>1800</v>
      </c>
      <c r="G718" s="472">
        <f t="shared" si="117"/>
        <v>0</v>
      </c>
      <c r="H718" s="475"/>
      <c r="I718" s="472">
        <f t="shared" si="118"/>
        <v>0</v>
      </c>
      <c r="J718" s="475"/>
      <c r="K718" s="475"/>
      <c r="L718" s="475"/>
      <c r="M718" s="475"/>
      <c r="N718" s="475"/>
      <c r="O718" s="478">
        <v>1800</v>
      </c>
      <c r="P718" s="475"/>
      <c r="Q718" s="475"/>
      <c r="R718" s="475"/>
      <c r="S718" s="472">
        <f t="shared" si="119"/>
        <v>0</v>
      </c>
      <c r="T718" s="475"/>
      <c r="U718" s="475"/>
      <c r="V718" s="475"/>
    </row>
    <row r="719" spans="1:22" s="476" customFormat="1" ht="75" customHeight="1">
      <c r="A719" s="612"/>
      <c r="B719" s="612"/>
      <c r="C719" s="630">
        <v>2820</v>
      </c>
      <c r="D719" s="477" t="s">
        <v>16</v>
      </c>
      <c r="E719" s="529">
        <f t="shared" si="115"/>
        <v>7000</v>
      </c>
      <c r="F719" s="472">
        <f t="shared" si="116"/>
        <v>7000</v>
      </c>
      <c r="G719" s="472">
        <f t="shared" si="117"/>
        <v>0</v>
      </c>
      <c r="H719" s="475"/>
      <c r="I719" s="472">
        <f t="shared" si="118"/>
        <v>0</v>
      </c>
      <c r="J719" s="475"/>
      <c r="K719" s="475"/>
      <c r="L719" s="475"/>
      <c r="M719" s="475"/>
      <c r="N719" s="475"/>
      <c r="O719" s="478">
        <v>7000</v>
      </c>
      <c r="P719" s="475"/>
      <c r="Q719" s="475"/>
      <c r="R719" s="475"/>
      <c r="S719" s="472">
        <f t="shared" si="119"/>
        <v>0</v>
      </c>
      <c r="T719" s="475"/>
      <c r="U719" s="475"/>
      <c r="V719" s="475"/>
    </row>
    <row r="720" spans="1:22" s="468" customFormat="1" ht="30" customHeight="1">
      <c r="A720" s="613"/>
      <c r="B720" s="613"/>
      <c r="C720" s="630">
        <v>4170</v>
      </c>
      <c r="D720" s="477" t="s">
        <v>760</v>
      </c>
      <c r="E720" s="529">
        <f t="shared" si="115"/>
        <v>1600</v>
      </c>
      <c r="F720" s="472">
        <f t="shared" si="116"/>
        <v>1600</v>
      </c>
      <c r="G720" s="472">
        <f t="shared" si="117"/>
        <v>1600</v>
      </c>
      <c r="H720" s="478"/>
      <c r="I720" s="472">
        <f t="shared" si="118"/>
        <v>1600</v>
      </c>
      <c r="J720" s="478"/>
      <c r="K720" s="478"/>
      <c r="L720" s="478"/>
      <c r="M720" s="478">
        <v>1600</v>
      </c>
      <c r="N720" s="478"/>
      <c r="O720" s="478"/>
      <c r="P720" s="478"/>
      <c r="Q720" s="478"/>
      <c r="R720" s="478"/>
      <c r="S720" s="472">
        <f t="shared" si="119"/>
        <v>0</v>
      </c>
      <c r="T720" s="478"/>
      <c r="U720" s="478"/>
      <c r="V720" s="478"/>
    </row>
    <row r="721" spans="1:22" s="468" customFormat="1" ht="34.5" customHeight="1">
      <c r="A721" s="613"/>
      <c r="B721" s="613"/>
      <c r="C721" s="630">
        <v>4210</v>
      </c>
      <c r="D721" s="477" t="s">
        <v>422</v>
      </c>
      <c r="E721" s="529">
        <f t="shared" si="115"/>
        <v>33600</v>
      </c>
      <c r="F721" s="472">
        <f t="shared" si="116"/>
        <v>33600</v>
      </c>
      <c r="G721" s="472">
        <f t="shared" si="117"/>
        <v>33600</v>
      </c>
      <c r="H721" s="478">
        <v>33600</v>
      </c>
      <c r="I721" s="472">
        <f t="shared" si="118"/>
        <v>0</v>
      </c>
      <c r="J721" s="478"/>
      <c r="K721" s="478"/>
      <c r="L721" s="478"/>
      <c r="M721" s="478"/>
      <c r="N721" s="478"/>
      <c r="O721" s="478"/>
      <c r="P721" s="478"/>
      <c r="Q721" s="478"/>
      <c r="R721" s="478"/>
      <c r="S721" s="472">
        <f t="shared" si="119"/>
        <v>0</v>
      </c>
      <c r="T721" s="478"/>
      <c r="U721" s="478"/>
      <c r="V721" s="478"/>
    </row>
    <row r="722" spans="1:22" s="468" customFormat="1" ht="34.5" customHeight="1" hidden="1">
      <c r="A722" s="613"/>
      <c r="B722" s="613"/>
      <c r="C722" s="630">
        <v>4218</v>
      </c>
      <c r="D722" s="477" t="s">
        <v>422</v>
      </c>
      <c r="E722" s="529">
        <f t="shared" si="115"/>
        <v>0</v>
      </c>
      <c r="F722" s="472">
        <f t="shared" si="116"/>
        <v>0</v>
      </c>
      <c r="G722" s="472">
        <f t="shared" si="117"/>
        <v>0</v>
      </c>
      <c r="H722" s="478"/>
      <c r="I722" s="472">
        <f t="shared" si="118"/>
        <v>0</v>
      </c>
      <c r="J722" s="478"/>
      <c r="K722" s="478"/>
      <c r="L722" s="478"/>
      <c r="M722" s="478"/>
      <c r="N722" s="478"/>
      <c r="O722" s="478"/>
      <c r="P722" s="478"/>
      <c r="Q722" s="478"/>
      <c r="R722" s="489"/>
      <c r="S722" s="472">
        <f t="shared" si="119"/>
        <v>0</v>
      </c>
      <c r="T722" s="478"/>
      <c r="U722" s="478"/>
      <c r="V722" s="478"/>
    </row>
    <row r="723" spans="1:22" s="468" customFormat="1" ht="34.5" customHeight="1" hidden="1">
      <c r="A723" s="613"/>
      <c r="B723" s="613"/>
      <c r="C723" s="630">
        <v>4219</v>
      </c>
      <c r="D723" s="477" t="s">
        <v>422</v>
      </c>
      <c r="E723" s="529">
        <f t="shared" si="115"/>
        <v>0</v>
      </c>
      <c r="F723" s="472">
        <f t="shared" si="116"/>
        <v>0</v>
      </c>
      <c r="G723" s="472">
        <f t="shared" si="117"/>
        <v>0</v>
      </c>
      <c r="H723" s="478"/>
      <c r="I723" s="472">
        <f t="shared" si="118"/>
        <v>0</v>
      </c>
      <c r="J723" s="478"/>
      <c r="K723" s="478"/>
      <c r="L723" s="478"/>
      <c r="M723" s="478"/>
      <c r="N723" s="478"/>
      <c r="O723" s="478"/>
      <c r="P723" s="478"/>
      <c r="Q723" s="478"/>
      <c r="R723" s="489"/>
      <c r="S723" s="472">
        <f t="shared" si="119"/>
        <v>0</v>
      </c>
      <c r="T723" s="478"/>
      <c r="U723" s="478"/>
      <c r="V723" s="478"/>
    </row>
    <row r="724" spans="1:22" s="468" customFormat="1" ht="19.5" customHeight="1" hidden="1">
      <c r="A724" s="613"/>
      <c r="B724" s="613"/>
      <c r="C724" s="630">
        <v>4308</v>
      </c>
      <c r="D724" s="477" t="s">
        <v>529</v>
      </c>
      <c r="E724" s="529">
        <f t="shared" si="115"/>
        <v>0</v>
      </c>
      <c r="F724" s="472">
        <f t="shared" si="116"/>
        <v>0</v>
      </c>
      <c r="G724" s="472">
        <f t="shared" si="117"/>
        <v>0</v>
      </c>
      <c r="H724" s="478"/>
      <c r="I724" s="472">
        <f t="shared" si="118"/>
        <v>0</v>
      </c>
      <c r="J724" s="478"/>
      <c r="K724" s="478"/>
      <c r="L724" s="478"/>
      <c r="M724" s="478"/>
      <c r="N724" s="478"/>
      <c r="O724" s="478"/>
      <c r="P724" s="478"/>
      <c r="Q724" s="478"/>
      <c r="R724" s="489"/>
      <c r="S724" s="472">
        <f t="shared" si="119"/>
        <v>0</v>
      </c>
      <c r="T724" s="478"/>
      <c r="U724" s="478"/>
      <c r="V724" s="478"/>
    </row>
    <row r="725" spans="1:22" s="468" customFormat="1" ht="21.75" customHeight="1" hidden="1">
      <c r="A725" s="613"/>
      <c r="B725" s="613"/>
      <c r="C725" s="630">
        <v>4309</v>
      </c>
      <c r="D725" s="477" t="s">
        <v>529</v>
      </c>
      <c r="E725" s="529">
        <f t="shared" si="115"/>
        <v>0</v>
      </c>
      <c r="F725" s="472">
        <f t="shared" si="116"/>
        <v>0</v>
      </c>
      <c r="G725" s="472">
        <f t="shared" si="117"/>
        <v>0</v>
      </c>
      <c r="H725" s="478"/>
      <c r="I725" s="472">
        <f t="shared" si="118"/>
        <v>0</v>
      </c>
      <c r="J725" s="478"/>
      <c r="K725" s="478"/>
      <c r="L725" s="478"/>
      <c r="M725" s="478"/>
      <c r="N725" s="478"/>
      <c r="O725" s="478"/>
      <c r="P725" s="478"/>
      <c r="Q725" s="478"/>
      <c r="R725" s="489"/>
      <c r="S725" s="472">
        <f t="shared" si="119"/>
        <v>0</v>
      </c>
      <c r="T725" s="478"/>
      <c r="U725" s="478"/>
      <c r="V725" s="478"/>
    </row>
    <row r="726" spans="1:22" s="468" customFormat="1" ht="48.75" customHeight="1">
      <c r="A726" s="613"/>
      <c r="B726" s="613"/>
      <c r="C726" s="630">
        <v>4300</v>
      </c>
      <c r="D726" s="477" t="s">
        <v>529</v>
      </c>
      <c r="E726" s="529">
        <f t="shared" si="115"/>
        <v>34800</v>
      </c>
      <c r="F726" s="472">
        <f t="shared" si="116"/>
        <v>34800</v>
      </c>
      <c r="G726" s="472">
        <f t="shared" si="117"/>
        <v>34800</v>
      </c>
      <c r="H726" s="478">
        <v>34800</v>
      </c>
      <c r="I726" s="472">
        <f t="shared" si="118"/>
        <v>0</v>
      </c>
      <c r="J726" s="478"/>
      <c r="K726" s="478"/>
      <c r="L726" s="478"/>
      <c r="M726" s="478"/>
      <c r="N726" s="478"/>
      <c r="O726" s="478"/>
      <c r="P726" s="478"/>
      <c r="Q726" s="478"/>
      <c r="R726" s="478"/>
      <c r="S726" s="472">
        <f t="shared" si="119"/>
        <v>0</v>
      </c>
      <c r="T726" s="478"/>
      <c r="U726" s="478"/>
      <c r="V726" s="478"/>
    </row>
    <row r="727" spans="1:22" s="468" customFormat="1" ht="50.25" customHeight="1" hidden="1">
      <c r="A727" s="613"/>
      <c r="B727" s="613"/>
      <c r="C727" s="638">
        <v>4740</v>
      </c>
      <c r="D727" s="481" t="s">
        <v>521</v>
      </c>
      <c r="E727" s="529">
        <f t="shared" si="115"/>
        <v>0</v>
      </c>
      <c r="F727" s="472">
        <f t="shared" si="116"/>
        <v>0</v>
      </c>
      <c r="G727" s="472">
        <f t="shared" si="117"/>
        <v>0</v>
      </c>
      <c r="H727" s="478"/>
      <c r="I727" s="472">
        <f t="shared" si="118"/>
        <v>0</v>
      </c>
      <c r="J727" s="478"/>
      <c r="K727" s="478"/>
      <c r="L727" s="478"/>
      <c r="M727" s="478"/>
      <c r="N727" s="478"/>
      <c r="O727" s="478"/>
      <c r="P727" s="478"/>
      <c r="Q727" s="478"/>
      <c r="R727" s="478"/>
      <c r="S727" s="472">
        <f t="shared" si="119"/>
        <v>0</v>
      </c>
      <c r="T727" s="478"/>
      <c r="U727" s="478"/>
      <c r="V727" s="478"/>
    </row>
    <row r="728" spans="1:22" s="468" customFormat="1" ht="47.25" customHeight="1" hidden="1">
      <c r="A728" s="613"/>
      <c r="B728" s="613"/>
      <c r="C728" s="638">
        <v>4750</v>
      </c>
      <c r="D728" s="481" t="s">
        <v>561</v>
      </c>
      <c r="E728" s="529">
        <f t="shared" si="115"/>
        <v>0</v>
      </c>
      <c r="F728" s="472">
        <f t="shared" si="116"/>
        <v>0</v>
      </c>
      <c r="G728" s="472">
        <f t="shared" si="117"/>
        <v>0</v>
      </c>
      <c r="H728" s="478"/>
      <c r="I728" s="472">
        <f t="shared" si="118"/>
        <v>0</v>
      </c>
      <c r="J728" s="478"/>
      <c r="K728" s="478"/>
      <c r="L728" s="478"/>
      <c r="M728" s="478"/>
      <c r="N728" s="478"/>
      <c r="O728" s="478"/>
      <c r="P728" s="478"/>
      <c r="Q728" s="478"/>
      <c r="R728" s="478"/>
      <c r="S728" s="472">
        <f t="shared" si="119"/>
        <v>0</v>
      </c>
      <c r="T728" s="478"/>
      <c r="U728" s="478"/>
      <c r="V728" s="478"/>
    </row>
    <row r="729" spans="1:22" s="468" customFormat="1" ht="31.5" customHeight="1" hidden="1">
      <c r="A729" s="613"/>
      <c r="B729" s="613"/>
      <c r="C729" s="638">
        <v>6050</v>
      </c>
      <c r="D729" s="481" t="s">
        <v>39</v>
      </c>
      <c r="E729" s="529">
        <f t="shared" si="115"/>
        <v>0</v>
      </c>
      <c r="F729" s="472">
        <f t="shared" si="116"/>
        <v>0</v>
      </c>
      <c r="G729" s="472">
        <f t="shared" si="117"/>
        <v>0</v>
      </c>
      <c r="H729" s="478"/>
      <c r="I729" s="472">
        <f t="shared" si="118"/>
        <v>0</v>
      </c>
      <c r="J729" s="478"/>
      <c r="K729" s="478"/>
      <c r="L729" s="478"/>
      <c r="M729" s="478"/>
      <c r="N729" s="478"/>
      <c r="O729" s="478"/>
      <c r="P729" s="478"/>
      <c r="Q729" s="478"/>
      <c r="R729" s="478"/>
      <c r="S729" s="472">
        <f t="shared" si="119"/>
        <v>0</v>
      </c>
      <c r="T729" s="478"/>
      <c r="U729" s="478"/>
      <c r="V729" s="478"/>
    </row>
    <row r="730" spans="1:22" s="476" customFormat="1" ht="31.5">
      <c r="A730" s="612">
        <v>926</v>
      </c>
      <c r="B730" s="612"/>
      <c r="C730" s="629"/>
      <c r="D730" s="320" t="s">
        <v>617</v>
      </c>
      <c r="E730" s="529">
        <f t="shared" si="115"/>
        <v>138000</v>
      </c>
      <c r="F730" s="472">
        <f t="shared" si="116"/>
        <v>138000</v>
      </c>
      <c r="G730" s="472">
        <f t="shared" si="117"/>
        <v>88000</v>
      </c>
      <c r="H730" s="472">
        <f aca="true" t="shared" si="135" ref="H730:V730">SUM(H731)</f>
        <v>72300</v>
      </c>
      <c r="I730" s="472">
        <f t="shared" si="118"/>
        <v>15700</v>
      </c>
      <c r="J730" s="472">
        <f t="shared" si="135"/>
        <v>0</v>
      </c>
      <c r="K730" s="472">
        <f t="shared" si="135"/>
        <v>0</v>
      </c>
      <c r="L730" s="472">
        <f t="shared" si="135"/>
        <v>700</v>
      </c>
      <c r="M730" s="472">
        <f t="shared" si="135"/>
        <v>15000</v>
      </c>
      <c r="N730" s="472">
        <f t="shared" si="135"/>
        <v>0</v>
      </c>
      <c r="O730" s="472">
        <f t="shared" si="135"/>
        <v>50000</v>
      </c>
      <c r="P730" s="472">
        <f t="shared" si="135"/>
        <v>0</v>
      </c>
      <c r="Q730" s="472">
        <f t="shared" si="135"/>
        <v>0</v>
      </c>
      <c r="R730" s="472">
        <f t="shared" si="135"/>
        <v>0</v>
      </c>
      <c r="S730" s="472">
        <f t="shared" si="119"/>
        <v>0</v>
      </c>
      <c r="T730" s="472">
        <f t="shared" si="135"/>
        <v>0</v>
      </c>
      <c r="U730" s="472">
        <f t="shared" si="135"/>
        <v>0</v>
      </c>
      <c r="V730" s="472">
        <f t="shared" si="135"/>
        <v>0</v>
      </c>
    </row>
    <row r="731" spans="1:22" s="476" customFormat="1" ht="47.25">
      <c r="A731" s="612"/>
      <c r="B731" s="612">
        <v>92605</v>
      </c>
      <c r="C731" s="629"/>
      <c r="D731" s="271" t="s">
        <v>618</v>
      </c>
      <c r="E731" s="529">
        <f t="shared" si="115"/>
        <v>138000</v>
      </c>
      <c r="F731" s="472">
        <f t="shared" si="116"/>
        <v>138000</v>
      </c>
      <c r="G731" s="472">
        <f t="shared" si="117"/>
        <v>88000</v>
      </c>
      <c r="H731" s="495">
        <f>SUM(H732:H741)</f>
        <v>72300</v>
      </c>
      <c r="I731" s="472">
        <f t="shared" si="118"/>
        <v>15700</v>
      </c>
      <c r="J731" s="495">
        <f aca="true" t="shared" si="136" ref="J731:R731">SUM(J732:J741)</f>
        <v>0</v>
      </c>
      <c r="K731" s="495">
        <f t="shared" si="136"/>
        <v>0</v>
      </c>
      <c r="L731" s="495">
        <f t="shared" si="136"/>
        <v>700</v>
      </c>
      <c r="M731" s="495">
        <f t="shared" si="136"/>
        <v>15000</v>
      </c>
      <c r="N731" s="495">
        <f t="shared" si="136"/>
        <v>0</v>
      </c>
      <c r="O731" s="495">
        <f t="shared" si="136"/>
        <v>50000</v>
      </c>
      <c r="P731" s="495">
        <f>SUM(P732:P741)</f>
        <v>0</v>
      </c>
      <c r="Q731" s="495">
        <f t="shared" si="136"/>
        <v>0</v>
      </c>
      <c r="R731" s="495">
        <f t="shared" si="136"/>
        <v>0</v>
      </c>
      <c r="S731" s="472">
        <f t="shared" si="119"/>
        <v>0</v>
      </c>
      <c r="T731" s="495">
        <f>SUM(T732:T741)</f>
        <v>0</v>
      </c>
      <c r="U731" s="495">
        <f>SUM(U732:U741)</f>
        <v>0</v>
      </c>
      <c r="V731" s="495">
        <f>SUM(V732:V741)</f>
        <v>0</v>
      </c>
    </row>
    <row r="732" spans="1:22" s="476" customFormat="1" ht="90">
      <c r="A732" s="612"/>
      <c r="B732" s="612"/>
      <c r="C732" s="630">
        <v>2820</v>
      </c>
      <c r="D732" s="477" t="s">
        <v>16</v>
      </c>
      <c r="E732" s="529">
        <f t="shared" si="115"/>
        <v>50000</v>
      </c>
      <c r="F732" s="472">
        <f t="shared" si="116"/>
        <v>50000</v>
      </c>
      <c r="G732" s="472">
        <f t="shared" si="117"/>
        <v>0</v>
      </c>
      <c r="H732" s="495"/>
      <c r="I732" s="472">
        <f t="shared" si="118"/>
        <v>0</v>
      </c>
      <c r="J732" s="495"/>
      <c r="K732" s="495"/>
      <c r="L732" s="495"/>
      <c r="M732" s="495"/>
      <c r="N732" s="495"/>
      <c r="O732" s="496">
        <v>50000</v>
      </c>
      <c r="P732" s="495"/>
      <c r="Q732" s="495"/>
      <c r="R732" s="495"/>
      <c r="S732" s="472">
        <f t="shared" si="119"/>
        <v>0</v>
      </c>
      <c r="T732" s="495"/>
      <c r="U732" s="495"/>
      <c r="V732" s="495"/>
    </row>
    <row r="733" spans="1:22" s="468" customFormat="1" ht="31.5" customHeight="1">
      <c r="A733" s="613"/>
      <c r="B733" s="613"/>
      <c r="C733" s="630">
        <v>4110</v>
      </c>
      <c r="D733" s="477" t="s">
        <v>556</v>
      </c>
      <c r="E733" s="529">
        <f t="shared" si="115"/>
        <v>600</v>
      </c>
      <c r="F733" s="472">
        <f t="shared" si="116"/>
        <v>600</v>
      </c>
      <c r="G733" s="472">
        <f t="shared" si="117"/>
        <v>600</v>
      </c>
      <c r="H733" s="478"/>
      <c r="I733" s="472">
        <f t="shared" si="118"/>
        <v>600</v>
      </c>
      <c r="J733" s="478"/>
      <c r="K733" s="478"/>
      <c r="L733" s="478">
        <v>600</v>
      </c>
      <c r="M733" s="478"/>
      <c r="N733" s="478"/>
      <c r="O733" s="478"/>
      <c r="P733" s="478"/>
      <c r="Q733" s="478"/>
      <c r="R733" s="478"/>
      <c r="S733" s="472">
        <f t="shared" si="119"/>
        <v>0</v>
      </c>
      <c r="T733" s="478"/>
      <c r="U733" s="478"/>
      <c r="V733" s="478"/>
    </row>
    <row r="734" spans="1:22" s="468" customFormat="1" ht="39.75" customHeight="1">
      <c r="A734" s="613"/>
      <c r="B734" s="613"/>
      <c r="C734" s="630">
        <v>4120</v>
      </c>
      <c r="D734" s="477" t="s">
        <v>420</v>
      </c>
      <c r="E734" s="529">
        <f t="shared" si="115"/>
        <v>100</v>
      </c>
      <c r="F734" s="472">
        <f t="shared" si="116"/>
        <v>100</v>
      </c>
      <c r="G734" s="472">
        <f t="shared" si="117"/>
        <v>100</v>
      </c>
      <c r="H734" s="478"/>
      <c r="I734" s="472">
        <f t="shared" si="118"/>
        <v>100</v>
      </c>
      <c r="J734" s="478"/>
      <c r="K734" s="478"/>
      <c r="L734" s="478">
        <v>100</v>
      </c>
      <c r="M734" s="478"/>
      <c r="N734" s="478"/>
      <c r="O734" s="478"/>
      <c r="P734" s="478"/>
      <c r="Q734" s="478"/>
      <c r="R734" s="478"/>
      <c r="S734" s="472">
        <f t="shared" si="119"/>
        <v>0</v>
      </c>
      <c r="T734" s="478"/>
      <c r="U734" s="478"/>
      <c r="V734" s="478"/>
    </row>
    <row r="735" spans="1:22" s="468" customFormat="1" ht="35.25" customHeight="1">
      <c r="A735" s="613"/>
      <c r="B735" s="613"/>
      <c r="C735" s="630">
        <v>4210</v>
      </c>
      <c r="D735" s="477" t="s">
        <v>422</v>
      </c>
      <c r="E735" s="529">
        <f t="shared" si="115"/>
        <v>56000</v>
      </c>
      <c r="F735" s="472">
        <f t="shared" si="116"/>
        <v>56000</v>
      </c>
      <c r="G735" s="472">
        <f t="shared" si="117"/>
        <v>56000</v>
      </c>
      <c r="H735" s="478">
        <v>56000</v>
      </c>
      <c r="I735" s="472">
        <f t="shared" si="118"/>
        <v>0</v>
      </c>
      <c r="J735" s="478"/>
      <c r="K735" s="478"/>
      <c r="L735" s="478"/>
      <c r="M735" s="478"/>
      <c r="N735" s="478"/>
      <c r="O735" s="478"/>
      <c r="P735" s="478"/>
      <c r="Q735" s="478"/>
      <c r="R735" s="478"/>
      <c r="S735" s="472">
        <f t="shared" si="119"/>
        <v>0</v>
      </c>
      <c r="T735" s="478"/>
      <c r="U735" s="478"/>
      <c r="V735" s="478"/>
    </row>
    <row r="736" spans="1:22" s="468" customFormat="1" ht="30">
      <c r="A736" s="613"/>
      <c r="B736" s="613"/>
      <c r="C736" s="630">
        <v>4170</v>
      </c>
      <c r="D736" s="477" t="s">
        <v>518</v>
      </c>
      <c r="E736" s="529">
        <f t="shared" si="115"/>
        <v>15000</v>
      </c>
      <c r="F736" s="472">
        <f t="shared" si="116"/>
        <v>15000</v>
      </c>
      <c r="G736" s="472">
        <f t="shared" si="117"/>
        <v>15000</v>
      </c>
      <c r="H736" s="478"/>
      <c r="I736" s="472">
        <f t="shared" si="118"/>
        <v>15000</v>
      </c>
      <c r="J736" s="478"/>
      <c r="K736" s="478"/>
      <c r="L736" s="478"/>
      <c r="M736" s="478">
        <v>15000</v>
      </c>
      <c r="N736" s="478"/>
      <c r="O736" s="478"/>
      <c r="P736" s="478"/>
      <c r="Q736" s="478"/>
      <c r="R736" s="478"/>
      <c r="S736" s="472">
        <f t="shared" si="119"/>
        <v>0</v>
      </c>
      <c r="T736" s="478"/>
      <c r="U736" s="478"/>
      <c r="V736" s="478"/>
    </row>
    <row r="737" spans="1:22" s="468" customFormat="1" ht="45" customHeight="1" hidden="1">
      <c r="A737" s="621"/>
      <c r="B737" s="613"/>
      <c r="C737" s="630">
        <v>4110</v>
      </c>
      <c r="D737" s="477" t="s">
        <v>556</v>
      </c>
      <c r="E737" s="529">
        <f t="shared" si="115"/>
        <v>0</v>
      </c>
      <c r="F737" s="472">
        <f t="shared" si="116"/>
        <v>0</v>
      </c>
      <c r="G737" s="472">
        <f t="shared" si="117"/>
        <v>0</v>
      </c>
      <c r="H737" s="478"/>
      <c r="I737" s="472">
        <f t="shared" si="118"/>
        <v>0</v>
      </c>
      <c r="J737" s="478"/>
      <c r="K737" s="478"/>
      <c r="L737" s="478"/>
      <c r="M737" s="478"/>
      <c r="N737" s="478"/>
      <c r="O737" s="478"/>
      <c r="P737" s="478"/>
      <c r="Q737" s="478"/>
      <c r="R737" s="478"/>
      <c r="S737" s="472">
        <f t="shared" si="119"/>
        <v>0</v>
      </c>
      <c r="T737" s="478"/>
      <c r="U737" s="478"/>
      <c r="V737" s="478"/>
    </row>
    <row r="738" spans="1:22" s="468" customFormat="1" ht="41.25" customHeight="1">
      <c r="A738" s="613"/>
      <c r="B738" s="613"/>
      <c r="C738" s="630">
        <v>4300</v>
      </c>
      <c r="D738" s="477" t="s">
        <v>529</v>
      </c>
      <c r="E738" s="529">
        <f t="shared" si="115"/>
        <v>16000</v>
      </c>
      <c r="F738" s="472">
        <f t="shared" si="116"/>
        <v>16000</v>
      </c>
      <c r="G738" s="472">
        <f t="shared" si="117"/>
        <v>16000</v>
      </c>
      <c r="H738" s="478">
        <v>16000</v>
      </c>
      <c r="I738" s="472">
        <f t="shared" si="118"/>
        <v>0</v>
      </c>
      <c r="J738" s="478"/>
      <c r="K738" s="478"/>
      <c r="L738" s="478"/>
      <c r="M738" s="478"/>
      <c r="N738" s="478"/>
      <c r="O738" s="478"/>
      <c r="P738" s="478"/>
      <c r="Q738" s="478"/>
      <c r="R738" s="478"/>
      <c r="S738" s="472">
        <f t="shared" si="119"/>
        <v>0</v>
      </c>
      <c r="T738" s="478"/>
      <c r="U738" s="478"/>
      <c r="V738" s="478"/>
    </row>
    <row r="739" spans="1:22" s="468" customFormat="1" ht="75" customHeight="1" hidden="1">
      <c r="A739" s="613"/>
      <c r="B739" s="613"/>
      <c r="C739" s="630">
        <v>4400</v>
      </c>
      <c r="D739" s="477" t="s">
        <v>25</v>
      </c>
      <c r="E739" s="529">
        <f t="shared" si="115"/>
        <v>0</v>
      </c>
      <c r="F739" s="472">
        <f t="shared" si="116"/>
        <v>0</v>
      </c>
      <c r="G739" s="472">
        <f t="shared" si="117"/>
        <v>0</v>
      </c>
      <c r="H739" s="478"/>
      <c r="I739" s="472">
        <f t="shared" si="118"/>
        <v>0</v>
      </c>
      <c r="J739" s="478"/>
      <c r="K739" s="478"/>
      <c r="L739" s="478"/>
      <c r="M739" s="478"/>
      <c r="N739" s="478"/>
      <c r="O739" s="478"/>
      <c r="P739" s="478"/>
      <c r="Q739" s="478"/>
      <c r="R739" s="478"/>
      <c r="S739" s="472">
        <f t="shared" si="119"/>
        <v>0</v>
      </c>
      <c r="T739" s="478"/>
      <c r="U739" s="478"/>
      <c r="V739" s="478"/>
    </row>
    <row r="740" spans="1:22" s="468" customFormat="1" ht="45" customHeight="1" hidden="1">
      <c r="A740" s="613"/>
      <c r="B740" s="613"/>
      <c r="C740" s="630">
        <v>4440</v>
      </c>
      <c r="D740" s="477" t="s">
        <v>432</v>
      </c>
      <c r="E740" s="529">
        <f t="shared" si="115"/>
        <v>0</v>
      </c>
      <c r="F740" s="472">
        <f t="shared" si="116"/>
        <v>0</v>
      </c>
      <c r="G740" s="472">
        <f t="shared" si="117"/>
        <v>0</v>
      </c>
      <c r="H740" s="478"/>
      <c r="I740" s="472">
        <f t="shared" si="118"/>
        <v>0</v>
      </c>
      <c r="J740" s="478"/>
      <c r="K740" s="478"/>
      <c r="L740" s="478"/>
      <c r="M740" s="478"/>
      <c r="N740" s="478"/>
      <c r="O740" s="478"/>
      <c r="P740" s="478"/>
      <c r="Q740" s="478"/>
      <c r="R740" s="478"/>
      <c r="S740" s="472">
        <f t="shared" si="119"/>
        <v>0</v>
      </c>
      <c r="T740" s="478"/>
      <c r="U740" s="478"/>
      <c r="V740" s="478"/>
    </row>
    <row r="741" spans="1:22" s="468" customFormat="1" ht="30">
      <c r="A741" s="613"/>
      <c r="B741" s="613"/>
      <c r="C741" s="630">
        <v>4410</v>
      </c>
      <c r="D741" s="477" t="s">
        <v>430</v>
      </c>
      <c r="E741" s="529">
        <f t="shared" si="115"/>
        <v>300</v>
      </c>
      <c r="F741" s="472">
        <f t="shared" si="116"/>
        <v>300</v>
      </c>
      <c r="G741" s="472">
        <f t="shared" si="117"/>
        <v>300</v>
      </c>
      <c r="H741" s="478">
        <v>300</v>
      </c>
      <c r="I741" s="472">
        <f t="shared" si="118"/>
        <v>0</v>
      </c>
      <c r="J741" s="478"/>
      <c r="K741" s="478"/>
      <c r="L741" s="478"/>
      <c r="M741" s="478"/>
      <c r="N741" s="478"/>
      <c r="O741" s="478"/>
      <c r="P741" s="478"/>
      <c r="Q741" s="478"/>
      <c r="R741" s="478"/>
      <c r="S741" s="472">
        <f t="shared" si="119"/>
        <v>0</v>
      </c>
      <c r="T741" s="478"/>
      <c r="U741" s="478"/>
      <c r="V741" s="478"/>
    </row>
    <row r="742" spans="1:22" s="498" customFormat="1" ht="15.75">
      <c r="A742" s="755" t="s">
        <v>235</v>
      </c>
      <c r="B742" s="756"/>
      <c r="C742" s="756"/>
      <c r="D742" s="757"/>
      <c r="E742" s="529">
        <f t="shared" si="115"/>
        <v>75160917</v>
      </c>
      <c r="F742" s="472">
        <f t="shared" si="116"/>
        <v>56094469</v>
      </c>
      <c r="G742" s="472">
        <f t="shared" si="117"/>
        <v>47978135</v>
      </c>
      <c r="H742" s="497">
        <f>H9+H13+H98+H65+H47+H18+H186+H196+H202+H206+H381+H390+H525+H632+H711+H730+H180+H699</f>
        <v>14674450</v>
      </c>
      <c r="I742" s="472">
        <f t="shared" si="118"/>
        <v>33303685</v>
      </c>
      <c r="J742" s="497">
        <f aca="true" t="shared" si="137" ref="J742:R742">J9+J13+J98+J65+J47+J18+J186+J196+J202+J206+J381+J390+J525+J632+J711+J730+J180+J699</f>
        <v>23758777</v>
      </c>
      <c r="K742" s="497">
        <f t="shared" si="137"/>
        <v>1809733</v>
      </c>
      <c r="L742" s="497">
        <f t="shared" si="137"/>
        <v>4570349</v>
      </c>
      <c r="M742" s="497">
        <f t="shared" si="137"/>
        <v>3164826</v>
      </c>
      <c r="N742" s="497">
        <f t="shared" si="137"/>
        <v>3089427</v>
      </c>
      <c r="O742" s="497">
        <f t="shared" si="137"/>
        <v>1062122</v>
      </c>
      <c r="P742" s="497">
        <f t="shared" si="137"/>
        <v>566300</v>
      </c>
      <c r="Q742" s="497">
        <f t="shared" si="137"/>
        <v>372065</v>
      </c>
      <c r="R742" s="497">
        <f t="shared" si="137"/>
        <v>3026420</v>
      </c>
      <c r="S742" s="472">
        <f t="shared" si="119"/>
        <v>19066448</v>
      </c>
      <c r="T742" s="497">
        <f>T9+T13+T98+T65+T47+T18+T186+T196+T202+T206+T381+T390+T525+T632+T711+T730+T180+T699</f>
        <v>16076448</v>
      </c>
      <c r="U742" s="497">
        <f>U9+U13+U98+U65+U47+U18+U186+U196+U202+U206+U381+U390+U525+U632+U711+U730+U180+U699</f>
        <v>6682419</v>
      </c>
      <c r="V742" s="497">
        <f>V9+V13+V98+V65+V47+V18+V186+V196+V202+V206+V381+V390+V525+V632+V711+V730+V180+V699</f>
        <v>2990000</v>
      </c>
    </row>
    <row r="743" spans="5:19" ht="15.75">
      <c r="E743" s="530"/>
      <c r="F743" s="472">
        <f t="shared" si="116"/>
        <v>0</v>
      </c>
      <c r="G743" s="472">
        <f t="shared" si="117"/>
        <v>0</v>
      </c>
      <c r="S743" s="472">
        <f t="shared" si="119"/>
        <v>0</v>
      </c>
    </row>
    <row r="744" spans="3:22" ht="15.75">
      <c r="C744" s="640"/>
      <c r="D744" s="500" t="s">
        <v>391</v>
      </c>
      <c r="E744" s="517">
        <f>F744+U744</f>
        <v>9708839</v>
      </c>
      <c r="F744" s="472">
        <f t="shared" si="116"/>
        <v>3026420</v>
      </c>
      <c r="G744" s="472">
        <f t="shared" si="117"/>
        <v>0</v>
      </c>
      <c r="H744" s="304"/>
      <c r="I744" s="321"/>
      <c r="J744" s="324">
        <f>J547+J586+J587</f>
        <v>0</v>
      </c>
      <c r="K744" s="324">
        <f>K549</f>
        <v>0</v>
      </c>
      <c r="L744" s="324">
        <f>L357+L358+L551+L553+L591+L592+L594+L595+L359+L360</f>
        <v>0</v>
      </c>
      <c r="M744" s="324"/>
      <c r="N744" s="324"/>
      <c r="O744" s="324">
        <f>O580+O581+O582+O583</f>
        <v>0</v>
      </c>
      <c r="P744" s="304"/>
      <c r="Q744" s="304"/>
      <c r="R744" s="324">
        <f>R742</f>
        <v>3026420</v>
      </c>
      <c r="S744" s="472">
        <f t="shared" si="119"/>
        <v>0</v>
      </c>
      <c r="T744" s="324"/>
      <c r="U744" s="324">
        <f>U742</f>
        <v>6682419</v>
      </c>
      <c r="V744" s="324">
        <f>V45+V44+V579</f>
        <v>0</v>
      </c>
    </row>
    <row r="747" ht="15.75">
      <c r="D747" s="499" t="s">
        <v>307</v>
      </c>
    </row>
    <row r="749" spans="4:18" ht="15.75">
      <c r="D749" s="642" t="s">
        <v>310</v>
      </c>
      <c r="E749" s="304"/>
      <c r="F749" s="333"/>
      <c r="G749" s="333"/>
      <c r="J749" s="304"/>
      <c r="K749" s="304"/>
      <c r="L749" s="304"/>
      <c r="M749" s="304"/>
      <c r="N749" s="304"/>
      <c r="O749" s="304"/>
      <c r="P749" s="304"/>
      <c r="Q749" s="304"/>
      <c r="R749" s="304">
        <f>R586+R587+R547+R585</f>
        <v>245966</v>
      </c>
    </row>
    <row r="750" spans="4:18" ht="15.75">
      <c r="D750" s="726" t="s">
        <v>311</v>
      </c>
      <c r="E750" s="728"/>
      <c r="F750" s="333"/>
      <c r="G750" s="333"/>
      <c r="J750" s="304"/>
      <c r="K750" s="304"/>
      <c r="L750" s="304"/>
      <c r="M750" s="304"/>
      <c r="N750" s="304"/>
      <c r="O750" s="304"/>
      <c r="P750" s="304"/>
      <c r="Q750" s="304"/>
      <c r="R750" s="304">
        <f>R549</f>
        <v>8270</v>
      </c>
    </row>
    <row r="751" spans="4:18" ht="15.75">
      <c r="D751" s="726" t="s">
        <v>308</v>
      </c>
      <c r="E751" s="728"/>
      <c r="F751" s="304"/>
      <c r="G751" s="304"/>
      <c r="J751" s="304"/>
      <c r="K751" s="304"/>
      <c r="L751" s="304"/>
      <c r="M751" s="304"/>
      <c r="N751" s="304"/>
      <c r="O751" s="304"/>
      <c r="P751" s="304"/>
      <c r="Q751" s="304"/>
      <c r="R751" s="304">
        <f>R591+R592+R594+R595+R551+R553+R590+R593</f>
        <v>93812</v>
      </c>
    </row>
    <row r="752" spans="4:18" ht="15.75">
      <c r="D752" s="676" t="s">
        <v>845</v>
      </c>
      <c r="E752" s="677"/>
      <c r="F752" s="304"/>
      <c r="G752" s="304"/>
      <c r="J752" s="304"/>
      <c r="K752" s="304"/>
      <c r="L752" s="304"/>
      <c r="M752" s="304"/>
      <c r="N752" s="304"/>
      <c r="O752" s="304"/>
      <c r="P752" s="304"/>
      <c r="Q752" s="304"/>
      <c r="R752" s="304">
        <f>R588+R589</f>
        <v>1160</v>
      </c>
    </row>
    <row r="753" spans="4:18" ht="15.75">
      <c r="D753" s="642" t="s">
        <v>309</v>
      </c>
      <c r="E753" s="304"/>
      <c r="F753" s="304"/>
      <c r="G753" s="304"/>
      <c r="J753" s="304"/>
      <c r="K753" s="304"/>
      <c r="L753" s="304"/>
      <c r="M753" s="304"/>
      <c r="N753" s="304"/>
      <c r="O753" s="304"/>
      <c r="P753" s="304"/>
      <c r="Q753" s="304"/>
      <c r="R753" s="304">
        <f>R597+R598+R596</f>
        <v>1734966</v>
      </c>
    </row>
    <row r="754" spans="1:22" s="316" customFormat="1" ht="34.5" customHeight="1">
      <c r="A754" s="648"/>
      <c r="B754" s="648"/>
      <c r="C754" s="649"/>
      <c r="D754" s="500" t="s">
        <v>312</v>
      </c>
      <c r="E754" s="324"/>
      <c r="F754" s="324"/>
      <c r="G754" s="324"/>
      <c r="H754" s="650"/>
      <c r="I754" s="645"/>
      <c r="J754" s="324"/>
      <c r="K754" s="324"/>
      <c r="L754" s="324"/>
      <c r="M754" s="324"/>
      <c r="N754" s="324"/>
      <c r="O754" s="324"/>
      <c r="P754" s="324"/>
      <c r="Q754" s="324"/>
      <c r="R754" s="324">
        <f>SUM(R749:R753)</f>
        <v>2084174</v>
      </c>
      <c r="S754" s="650"/>
      <c r="T754" s="650"/>
      <c r="U754" s="650"/>
      <c r="V754" s="650"/>
    </row>
    <row r="755" spans="4:18" ht="15.75">
      <c r="D755" s="499" t="s">
        <v>846</v>
      </c>
      <c r="R755" s="466">
        <f>R584</f>
        <v>18455</v>
      </c>
    </row>
    <row r="757" spans="4:18" ht="15.75">
      <c r="D757" s="642" t="s">
        <v>334</v>
      </c>
      <c r="R757" s="304">
        <f>U742</f>
        <v>6682419</v>
      </c>
    </row>
    <row r="758" spans="4:18" ht="15.75">
      <c r="D758" s="642" t="s">
        <v>336</v>
      </c>
      <c r="R758" s="304">
        <f>R742</f>
        <v>3026420</v>
      </c>
    </row>
    <row r="759" spans="1:22" s="316" customFormat="1" ht="15.75">
      <c r="A759" s="648"/>
      <c r="B759" s="648"/>
      <c r="C759" s="649"/>
      <c r="D759" s="500" t="s">
        <v>335</v>
      </c>
      <c r="E759" s="650"/>
      <c r="F759" s="650"/>
      <c r="G759" s="650"/>
      <c r="H759" s="650"/>
      <c r="I759" s="645"/>
      <c r="J759" s="650"/>
      <c r="K759" s="650"/>
      <c r="L759" s="650"/>
      <c r="M759" s="650"/>
      <c r="N759" s="650"/>
      <c r="O759" s="650"/>
      <c r="P759" s="650"/>
      <c r="Q759" s="650"/>
      <c r="R759" s="324">
        <f>SUM(R757:R758)</f>
        <v>9708839</v>
      </c>
      <c r="S759" s="650"/>
      <c r="T759" s="650"/>
      <c r="U759" s="650"/>
      <c r="V759" s="650"/>
    </row>
  </sheetData>
  <sheetProtection/>
  <mergeCells count="27">
    <mergeCell ref="J6:M6"/>
    <mergeCell ref="T3:V3"/>
    <mergeCell ref="T4:T7"/>
    <mergeCell ref="U6:U7"/>
    <mergeCell ref="V4:V7"/>
    <mergeCell ref="R4:R7"/>
    <mergeCell ref="N4:N7"/>
    <mergeCell ref="D750:E750"/>
    <mergeCell ref="D751:E751"/>
    <mergeCell ref="G4:G7"/>
    <mergeCell ref="G3:R3"/>
    <mergeCell ref="O4:O7"/>
    <mergeCell ref="P4:P7"/>
    <mergeCell ref="Q4:Q7"/>
    <mergeCell ref="A742:D742"/>
    <mergeCell ref="I6:I7"/>
    <mergeCell ref="H6:H7"/>
    <mergeCell ref="A1:S1"/>
    <mergeCell ref="E2:E7"/>
    <mergeCell ref="A2:A7"/>
    <mergeCell ref="D2:D7"/>
    <mergeCell ref="B2:B7"/>
    <mergeCell ref="F3:F7"/>
    <mergeCell ref="S3:S7"/>
    <mergeCell ref="H4:M5"/>
    <mergeCell ref="C2:C7"/>
    <mergeCell ref="F2:V2"/>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4.xml><?xml version="1.0" encoding="utf-8"?>
<worksheet xmlns="http://schemas.openxmlformats.org/spreadsheetml/2006/main" xmlns:r="http://schemas.openxmlformats.org/officeDocument/2006/relationships">
  <dimension ref="A2:E20"/>
  <sheetViews>
    <sheetView zoomScalePageLayoutView="0" workbookViewId="0" topLeftCell="A8">
      <selection activeCell="C20" sqref="C20"/>
    </sheetView>
  </sheetViews>
  <sheetFormatPr defaultColWidth="9.00390625" defaultRowHeight="12.75"/>
  <cols>
    <col min="1" max="1" width="5.00390625" style="0" customWidth="1"/>
    <col min="2" max="2" width="36.375" style="241" customWidth="1"/>
    <col min="3" max="3" width="15.125" style="242" customWidth="1"/>
    <col min="4" max="4" width="13.625" style="242" customWidth="1"/>
    <col min="5" max="5" width="13.00390625" style="242" customWidth="1"/>
  </cols>
  <sheetData>
    <row r="1" ht="13.5" thickBot="1"/>
    <row r="2" spans="1:5" ht="51.75" thickBot="1">
      <c r="A2" s="406" t="s">
        <v>55</v>
      </c>
      <c r="B2" s="407" t="s">
        <v>69</v>
      </c>
      <c r="C2" s="408" t="s">
        <v>735</v>
      </c>
      <c r="D2" s="408" t="s">
        <v>777</v>
      </c>
      <c r="E2" s="409" t="s">
        <v>72</v>
      </c>
    </row>
    <row r="3" spans="1:5" ht="31.5" customHeight="1" thickBot="1">
      <c r="A3" s="410">
        <v>1</v>
      </c>
      <c r="B3" s="411" t="s">
        <v>70</v>
      </c>
      <c r="C3" s="412">
        <f>C4+C8+C9+C10+C14+C15</f>
        <v>56094469</v>
      </c>
      <c r="D3" s="412">
        <f>D4+D8+D9+D10+D14+D15</f>
        <v>3026420</v>
      </c>
      <c r="E3" s="413">
        <v>2.4</v>
      </c>
    </row>
    <row r="4" spans="1:5" ht="13.5" thickBot="1">
      <c r="A4" s="414" t="s">
        <v>222</v>
      </c>
      <c r="B4" s="415" t="s">
        <v>325</v>
      </c>
      <c r="C4" s="647">
        <f>C6+C7</f>
        <v>47978135</v>
      </c>
      <c r="D4" s="647">
        <f>D6+D7</f>
        <v>0</v>
      </c>
      <c r="E4" s="413">
        <v>2</v>
      </c>
    </row>
    <row r="5" spans="1:5" ht="13.5" thickBot="1">
      <c r="A5" s="414"/>
      <c r="B5" s="415" t="s">
        <v>71</v>
      </c>
      <c r="C5" s="413"/>
      <c r="D5" s="413"/>
      <c r="E5" s="413"/>
    </row>
    <row r="6" spans="1:5" ht="23.25" thickBot="1">
      <c r="A6" s="414" t="s">
        <v>374</v>
      </c>
      <c r="B6" s="415" t="s">
        <v>323</v>
      </c>
      <c r="C6" s="416">
        <f>2!I742</f>
        <v>33303685</v>
      </c>
      <c r="D6" s="416">
        <f>2!J744</f>
        <v>0</v>
      </c>
      <c r="E6" s="417">
        <v>2</v>
      </c>
    </row>
    <row r="7" spans="1:5" ht="23.25" thickBot="1">
      <c r="A7" s="414" t="s">
        <v>375</v>
      </c>
      <c r="B7" s="415" t="s">
        <v>324</v>
      </c>
      <c r="C7" s="416">
        <f>2!H742</f>
        <v>14674450</v>
      </c>
      <c r="D7" s="416">
        <f>2!K744</f>
        <v>0</v>
      </c>
      <c r="E7" s="417">
        <v>2</v>
      </c>
    </row>
    <row r="8" spans="1:5" ht="13.5" thickBot="1">
      <c r="A8" s="414" t="s">
        <v>228</v>
      </c>
      <c r="B8" s="415" t="s">
        <v>326</v>
      </c>
      <c r="C8" s="416">
        <f>2!O742</f>
        <v>1062122</v>
      </c>
      <c r="D8" s="416">
        <f>2!L744</f>
        <v>0</v>
      </c>
      <c r="E8" s="417" t="s">
        <v>350</v>
      </c>
    </row>
    <row r="9" spans="1:5" ht="23.25" thickBot="1">
      <c r="A9" s="414" t="s">
        <v>229</v>
      </c>
      <c r="B9" s="415" t="s">
        <v>327</v>
      </c>
      <c r="C9" s="416">
        <f>2!N742</f>
        <v>3089427</v>
      </c>
      <c r="D9" s="416">
        <f>2!O744</f>
        <v>0</v>
      </c>
      <c r="E9" s="417">
        <v>2</v>
      </c>
    </row>
    <row r="10" spans="1:5" ht="45.75" thickBot="1">
      <c r="A10" s="414" t="s">
        <v>269</v>
      </c>
      <c r="B10" s="415" t="s">
        <v>351</v>
      </c>
      <c r="C10" s="416">
        <f>2!R742</f>
        <v>3026420</v>
      </c>
      <c r="D10" s="416">
        <f>2!R742</f>
        <v>3026420</v>
      </c>
      <c r="E10" s="417" t="s">
        <v>95</v>
      </c>
    </row>
    <row r="11" spans="1:5" ht="13.5" thickBot="1">
      <c r="A11" s="414"/>
      <c r="B11" s="415" t="s">
        <v>71</v>
      </c>
      <c r="C11" s="416"/>
      <c r="D11" s="416"/>
      <c r="E11" s="417"/>
    </row>
    <row r="12" spans="1:5" ht="23.25" thickBot="1">
      <c r="A12" s="414" t="s">
        <v>333</v>
      </c>
      <c r="B12" s="415" t="s">
        <v>323</v>
      </c>
      <c r="C12" s="416">
        <f>2!R754</f>
        <v>2084174</v>
      </c>
      <c r="D12" s="416">
        <f>2!R754</f>
        <v>2084174</v>
      </c>
      <c r="E12" s="417">
        <v>2.4</v>
      </c>
    </row>
    <row r="13" spans="1:5" ht="23.25" thickBot="1">
      <c r="A13" s="414" t="s">
        <v>847</v>
      </c>
      <c r="B13" s="415" t="s">
        <v>327</v>
      </c>
      <c r="C13" s="416">
        <f>2!R755</f>
        <v>18455</v>
      </c>
      <c r="D13" s="416">
        <f>2!R755</f>
        <v>18455</v>
      </c>
      <c r="E13" s="417">
        <v>2.4</v>
      </c>
    </row>
    <row r="14" spans="1:5" ht="23.25" thickBot="1">
      <c r="A14" s="414" t="s">
        <v>270</v>
      </c>
      <c r="B14" s="415" t="s">
        <v>329</v>
      </c>
      <c r="C14" s="416">
        <f>2!P742</f>
        <v>566300</v>
      </c>
      <c r="D14" s="416"/>
      <c r="E14" s="417">
        <v>2.16</v>
      </c>
    </row>
    <row r="15" spans="1:5" ht="13.5" thickBot="1">
      <c r="A15" s="414" t="s">
        <v>328</v>
      </c>
      <c r="B15" s="415" t="s">
        <v>337</v>
      </c>
      <c r="C15" s="416">
        <f>2!Q742</f>
        <v>372065</v>
      </c>
      <c r="D15" s="416"/>
      <c r="E15" s="417">
        <v>2.16</v>
      </c>
    </row>
    <row r="16" spans="1:5" ht="28.5" customHeight="1" thickBot="1">
      <c r="A16" s="410">
        <v>2</v>
      </c>
      <c r="B16" s="411" t="s">
        <v>93</v>
      </c>
      <c r="C16" s="412">
        <f>C17+C19</f>
        <v>19066448</v>
      </c>
      <c r="D16" s="412">
        <f>D17+D19</f>
        <v>6682419</v>
      </c>
      <c r="E16" s="417" t="s">
        <v>778</v>
      </c>
    </row>
    <row r="17" spans="1:5" ht="28.5" customHeight="1" thickBot="1">
      <c r="A17" s="410" t="s">
        <v>231</v>
      </c>
      <c r="B17" s="646" t="s">
        <v>330</v>
      </c>
      <c r="C17" s="416">
        <f>2!T742</f>
        <v>16076448</v>
      </c>
      <c r="D17" s="416">
        <f>D18</f>
        <v>6682419</v>
      </c>
      <c r="E17" s="417" t="s">
        <v>778</v>
      </c>
    </row>
    <row r="18" spans="1:5" ht="45.75" thickBot="1">
      <c r="A18" s="410" t="s">
        <v>371</v>
      </c>
      <c r="B18" s="415" t="s">
        <v>331</v>
      </c>
      <c r="C18" s="416">
        <f>2!U742</f>
        <v>6682419</v>
      </c>
      <c r="D18" s="416">
        <f>2!U742</f>
        <v>6682419</v>
      </c>
      <c r="E18" s="417" t="s">
        <v>778</v>
      </c>
    </row>
    <row r="19" spans="1:5" ht="39" thickBot="1">
      <c r="A19" s="410" t="s">
        <v>232</v>
      </c>
      <c r="B19" s="646" t="s">
        <v>332</v>
      </c>
      <c r="C19" s="416">
        <f>2!V742</f>
        <v>2990000</v>
      </c>
      <c r="D19" s="416"/>
      <c r="E19" s="417" t="s">
        <v>778</v>
      </c>
    </row>
    <row r="20" spans="1:5" ht="31.5" customHeight="1" thickBot="1">
      <c r="A20" s="414"/>
      <c r="B20" s="418" t="s">
        <v>94</v>
      </c>
      <c r="C20" s="412">
        <f>C16+C3</f>
        <v>75160917</v>
      </c>
      <c r="D20" s="412">
        <f>D16+D3</f>
        <v>9708839</v>
      </c>
      <c r="E20" s="413"/>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55"/>
  <sheetViews>
    <sheetView zoomScalePageLayoutView="0" workbookViewId="0" topLeftCell="A4">
      <pane ySplit="5" topLeftCell="A39" activePane="bottomLeft" state="frozen"/>
      <selection pane="topLeft" activeCell="A4" sqref="A4"/>
      <selection pane="bottomLeft" activeCell="N39" sqref="N39"/>
    </sheetView>
  </sheetViews>
  <sheetFormatPr defaultColWidth="9.00390625" defaultRowHeight="12.75"/>
  <cols>
    <col min="1" max="1" width="3.625" style="197" customWidth="1"/>
    <col min="2" max="2" width="5.625" style="264" customWidth="1"/>
    <col min="3" max="3" width="7.75390625" style="264" customWidth="1"/>
    <col min="4" max="4" width="4.875" style="264" customWidth="1"/>
    <col min="5" max="5" width="18.25390625" style="264" customWidth="1"/>
    <col min="6" max="6" width="12.00390625" style="264" customWidth="1"/>
    <col min="7" max="7" width="12.375" style="264" customWidth="1"/>
    <col min="8" max="9" width="10.125" style="264" customWidth="1"/>
    <col min="10" max="10" width="11.25390625" style="463" bestFit="1" customWidth="1"/>
    <col min="11" max="12" width="9.125" style="264" customWidth="1"/>
    <col min="13" max="13" width="11.625" style="264" customWidth="1"/>
    <col min="14" max="14" width="11.25390625" style="221" bestFit="1" customWidth="1"/>
    <col min="15" max="15" width="10.125" style="264" bestFit="1" customWidth="1"/>
    <col min="16" max="16" width="13.875" style="221" customWidth="1"/>
    <col min="17" max="16384" width="9.125" style="264" customWidth="1"/>
  </cols>
  <sheetData>
    <row r="1" spans="2:16" ht="15.75">
      <c r="B1" s="772" t="s">
        <v>465</v>
      </c>
      <c r="C1" s="772"/>
      <c r="D1" s="772"/>
      <c r="E1" s="772"/>
      <c r="F1" s="772"/>
      <c r="G1" s="772"/>
      <c r="H1" s="772"/>
      <c r="I1" s="772"/>
      <c r="J1" s="772"/>
      <c r="K1" s="772"/>
      <c r="L1" s="772"/>
      <c r="M1" s="772"/>
      <c r="N1" s="772"/>
      <c r="O1" s="772"/>
      <c r="P1" s="772"/>
    </row>
    <row r="2" spans="2:16" ht="10.5" customHeight="1">
      <c r="B2" s="12"/>
      <c r="C2" s="12"/>
      <c r="D2" s="12"/>
      <c r="E2" s="12"/>
      <c r="F2" s="12"/>
      <c r="G2" s="12"/>
      <c r="H2" s="12"/>
      <c r="I2" s="12"/>
      <c r="J2" s="460"/>
      <c r="K2" s="12"/>
      <c r="L2" s="12"/>
      <c r="M2" s="12"/>
      <c r="N2" s="218"/>
      <c r="O2" s="12"/>
      <c r="P2" s="8" t="s">
        <v>178</v>
      </c>
    </row>
    <row r="3" spans="1:16" s="35" customFormat="1" ht="19.5" customHeight="1">
      <c r="A3" s="761" t="s">
        <v>53</v>
      </c>
      <c r="B3" s="773" t="s">
        <v>139</v>
      </c>
      <c r="C3" s="774" t="s">
        <v>177</v>
      </c>
      <c r="D3" s="769" t="s">
        <v>264</v>
      </c>
      <c r="E3" s="768" t="s">
        <v>249</v>
      </c>
      <c r="F3" s="768" t="s">
        <v>466</v>
      </c>
      <c r="G3" s="768" t="s">
        <v>207</v>
      </c>
      <c r="H3" s="768"/>
      <c r="I3" s="768"/>
      <c r="J3" s="768"/>
      <c r="K3" s="768"/>
      <c r="L3" s="768"/>
      <c r="M3" s="768"/>
      <c r="N3" s="768"/>
      <c r="O3" s="768"/>
      <c r="P3" s="765" t="s">
        <v>265</v>
      </c>
    </row>
    <row r="4" spans="1:16" s="35" customFormat="1" ht="19.5" customHeight="1">
      <c r="A4" s="762"/>
      <c r="B4" s="773"/>
      <c r="C4" s="774"/>
      <c r="D4" s="769"/>
      <c r="E4" s="768"/>
      <c r="F4" s="768"/>
      <c r="G4" s="768" t="s">
        <v>464</v>
      </c>
      <c r="H4" s="768" t="s">
        <v>398</v>
      </c>
      <c r="I4" s="768"/>
      <c r="J4" s="768"/>
      <c r="K4" s="768"/>
      <c r="L4" s="768"/>
      <c r="M4" s="768"/>
      <c r="N4" s="765">
        <v>2011</v>
      </c>
      <c r="O4" s="768">
        <v>2012</v>
      </c>
      <c r="P4" s="765"/>
    </row>
    <row r="5" spans="1:16" s="35" customFormat="1" ht="48" customHeight="1">
      <c r="A5" s="762"/>
      <c r="B5" s="773"/>
      <c r="C5" s="774"/>
      <c r="D5" s="769"/>
      <c r="E5" s="768"/>
      <c r="F5" s="768"/>
      <c r="G5" s="768"/>
      <c r="H5" s="765" t="s">
        <v>813</v>
      </c>
      <c r="I5" s="765" t="s">
        <v>706</v>
      </c>
      <c r="J5" s="764" t="s">
        <v>299</v>
      </c>
      <c r="K5" s="765" t="s">
        <v>471</v>
      </c>
      <c r="L5" s="765" t="s">
        <v>472</v>
      </c>
      <c r="M5" s="765" t="s">
        <v>271</v>
      </c>
      <c r="N5" s="765"/>
      <c r="O5" s="768"/>
      <c r="P5" s="765"/>
    </row>
    <row r="6" spans="1:16" s="35" customFormat="1" ht="19.5" customHeight="1">
      <c r="A6" s="762"/>
      <c r="B6" s="773"/>
      <c r="C6" s="774"/>
      <c r="D6" s="769"/>
      <c r="E6" s="768"/>
      <c r="F6" s="768"/>
      <c r="G6" s="768"/>
      <c r="H6" s="765"/>
      <c r="I6" s="765"/>
      <c r="J6" s="764"/>
      <c r="K6" s="765"/>
      <c r="L6" s="765"/>
      <c r="M6" s="765"/>
      <c r="N6" s="765"/>
      <c r="O6" s="768"/>
      <c r="P6" s="765"/>
    </row>
    <row r="7" spans="1:16" s="35" customFormat="1" ht="36" customHeight="1">
      <c r="A7" s="763"/>
      <c r="B7" s="773"/>
      <c r="C7" s="774"/>
      <c r="D7" s="769"/>
      <c r="E7" s="768"/>
      <c r="F7" s="768"/>
      <c r="G7" s="768"/>
      <c r="H7" s="765"/>
      <c r="I7" s="765"/>
      <c r="J7" s="764"/>
      <c r="K7" s="765"/>
      <c r="L7" s="765"/>
      <c r="M7" s="765"/>
      <c r="N7" s="765"/>
      <c r="O7" s="768"/>
      <c r="P7" s="765"/>
    </row>
    <row r="8" spans="1:16" ht="7.5" customHeight="1">
      <c r="A8" s="274">
        <v>1</v>
      </c>
      <c r="B8" s="229">
        <v>2</v>
      </c>
      <c r="C8" s="16">
        <v>3</v>
      </c>
      <c r="D8" s="16">
        <v>4</v>
      </c>
      <c r="E8" s="16">
        <v>5</v>
      </c>
      <c r="F8" s="16">
        <v>6</v>
      </c>
      <c r="G8" s="216">
        <v>7</v>
      </c>
      <c r="H8" s="16">
        <v>8</v>
      </c>
      <c r="I8" s="16">
        <v>9</v>
      </c>
      <c r="J8" s="214">
        <v>10</v>
      </c>
      <c r="K8" s="16">
        <v>11</v>
      </c>
      <c r="L8" s="16">
        <v>12</v>
      </c>
      <c r="M8" s="16">
        <v>13</v>
      </c>
      <c r="N8" s="219">
        <v>14</v>
      </c>
      <c r="O8" s="16">
        <v>15</v>
      </c>
      <c r="P8" s="219">
        <v>16</v>
      </c>
    </row>
    <row r="9" spans="1:16" s="227" customFormat="1" ht="123.75">
      <c r="A9" s="274">
        <v>1</v>
      </c>
      <c r="B9" s="231">
        <v>600</v>
      </c>
      <c r="C9" s="225">
        <v>60014</v>
      </c>
      <c r="D9" s="225">
        <v>605</v>
      </c>
      <c r="E9" s="377" t="s">
        <v>46</v>
      </c>
      <c r="F9" s="228">
        <f>SUM(F11:F20)</f>
        <v>11689343</v>
      </c>
      <c r="G9" s="228">
        <f aca="true" t="shared" si="0" ref="G9:O9">SUM(G11:G20)</f>
        <v>7912816</v>
      </c>
      <c r="H9" s="228">
        <f t="shared" si="0"/>
        <v>5182816</v>
      </c>
      <c r="I9" s="228">
        <f t="shared" si="0"/>
        <v>0</v>
      </c>
      <c r="J9" s="228">
        <f t="shared" si="0"/>
        <v>2730000</v>
      </c>
      <c r="K9" s="228">
        <f t="shared" si="0"/>
        <v>0</v>
      </c>
      <c r="L9" s="228">
        <f t="shared" si="0"/>
        <v>0</v>
      </c>
      <c r="M9" s="228">
        <f t="shared" si="0"/>
        <v>0</v>
      </c>
      <c r="N9" s="228">
        <f t="shared" si="0"/>
        <v>3776527</v>
      </c>
      <c r="O9" s="228">
        <f t="shared" si="0"/>
        <v>0</v>
      </c>
      <c r="P9" s="376" t="s">
        <v>41</v>
      </c>
    </row>
    <row r="10" spans="1:16" s="227" customFormat="1" ht="14.25">
      <c r="A10" s="274"/>
      <c r="B10" s="231"/>
      <c r="C10" s="225"/>
      <c r="D10" s="225"/>
      <c r="E10" s="225" t="s">
        <v>786</v>
      </c>
      <c r="F10" s="225"/>
      <c r="G10" s="226"/>
      <c r="H10" s="225"/>
      <c r="I10" s="225"/>
      <c r="J10" s="214"/>
      <c r="K10" s="225"/>
      <c r="L10" s="225"/>
      <c r="M10" s="225"/>
      <c r="N10" s="219"/>
      <c r="O10" s="225"/>
      <c r="P10" s="219"/>
    </row>
    <row r="11" spans="1:17" ht="111" customHeight="1">
      <c r="A11" s="274"/>
      <c r="B11" s="380"/>
      <c r="C11" s="263"/>
      <c r="D11" s="215"/>
      <c r="E11" s="89" t="s">
        <v>481</v>
      </c>
      <c r="F11" s="144">
        <f aca="true" t="shared" si="1" ref="F11:F20">G11+N11+O11</f>
        <v>3666897</v>
      </c>
      <c r="G11" s="265">
        <f aca="true" t="shared" si="2" ref="G11:G16">SUM(H11:M11)</f>
        <v>3666897</v>
      </c>
      <c r="H11" s="367">
        <f>497200+2260000-200580</f>
        <v>2556620</v>
      </c>
      <c r="I11" s="367"/>
      <c r="J11" s="461">
        <f>1762800-445000-60000-60000-87523</f>
        <v>1110277</v>
      </c>
      <c r="K11" s="367">
        <v>0</v>
      </c>
      <c r="L11" s="367">
        <v>0</v>
      </c>
      <c r="M11" s="367">
        <v>0</v>
      </c>
      <c r="N11" s="391"/>
      <c r="O11" s="367"/>
      <c r="P11" s="219" t="s">
        <v>40</v>
      </c>
      <c r="Q11" s="1"/>
    </row>
    <row r="12" spans="1:16" ht="60">
      <c r="A12" s="274"/>
      <c r="B12" s="379"/>
      <c r="C12" s="263"/>
      <c r="D12" s="215"/>
      <c r="E12" s="89" t="s">
        <v>123</v>
      </c>
      <c r="F12" s="144">
        <f t="shared" si="1"/>
        <v>258587</v>
      </c>
      <c r="G12" s="265">
        <f t="shared" si="2"/>
        <v>258587</v>
      </c>
      <c r="H12" s="16">
        <f>34842+28445</f>
        <v>63287</v>
      </c>
      <c r="I12" s="16"/>
      <c r="J12" s="214">
        <f>320400-125100</f>
        <v>195300</v>
      </c>
      <c r="K12" s="16"/>
      <c r="L12" s="16"/>
      <c r="M12" s="16"/>
      <c r="N12" s="220"/>
      <c r="O12" s="144"/>
      <c r="P12" s="219" t="s">
        <v>40</v>
      </c>
    </row>
    <row r="13" spans="1:16" ht="48" customHeight="1">
      <c r="A13" s="274"/>
      <c r="B13" s="379" t="s">
        <v>40</v>
      </c>
      <c r="C13" s="263" t="s">
        <v>40</v>
      </c>
      <c r="D13" s="215">
        <v>605</v>
      </c>
      <c r="E13" s="89" t="s">
        <v>570</v>
      </c>
      <c r="F13" s="144">
        <f t="shared" si="1"/>
        <v>500000</v>
      </c>
      <c r="G13" s="265">
        <f t="shared" si="2"/>
        <v>500000</v>
      </c>
      <c r="H13" s="16">
        <v>55000</v>
      </c>
      <c r="I13" s="16"/>
      <c r="J13" s="214">
        <v>445000</v>
      </c>
      <c r="K13" s="16"/>
      <c r="L13" s="16"/>
      <c r="M13" s="16"/>
      <c r="N13" s="220"/>
      <c r="O13" s="144"/>
      <c r="P13" s="219" t="s">
        <v>40</v>
      </c>
    </row>
    <row r="14" spans="1:16" ht="156">
      <c r="A14" s="274"/>
      <c r="B14" s="379"/>
      <c r="C14" s="263"/>
      <c r="D14" s="215"/>
      <c r="E14" s="89" t="s">
        <v>485</v>
      </c>
      <c r="F14" s="144">
        <f t="shared" si="1"/>
        <v>3360670</v>
      </c>
      <c r="G14" s="265">
        <f t="shared" si="2"/>
        <v>3360670</v>
      </c>
      <c r="H14" s="16">
        <f>463100+2105000-186853</f>
        <v>2381247</v>
      </c>
      <c r="I14" s="16"/>
      <c r="J14" s="214">
        <f>1641900-662477</f>
        <v>979423</v>
      </c>
      <c r="K14" s="16"/>
      <c r="L14" s="16"/>
      <c r="M14" s="16"/>
      <c r="N14" s="220"/>
      <c r="O14" s="144"/>
      <c r="P14" s="219" t="s">
        <v>40</v>
      </c>
    </row>
    <row r="15" spans="1:16" ht="62.25" customHeight="1" hidden="1">
      <c r="A15" s="274"/>
      <c r="B15" s="380" t="s">
        <v>40</v>
      </c>
      <c r="C15" s="263" t="s">
        <v>40</v>
      </c>
      <c r="D15" s="215">
        <v>605</v>
      </c>
      <c r="E15" s="144">
        <f>F15+M15+N15</f>
        <v>0</v>
      </c>
      <c r="F15" s="144">
        <f t="shared" si="1"/>
        <v>0</v>
      </c>
      <c r="G15" s="265">
        <f t="shared" si="2"/>
        <v>0</v>
      </c>
      <c r="H15" s="367"/>
      <c r="I15" s="367"/>
      <c r="J15" s="461"/>
      <c r="K15" s="367">
        <v>0</v>
      </c>
      <c r="L15" s="367">
        <v>0</v>
      </c>
      <c r="M15" s="367">
        <v>0</v>
      </c>
      <c r="N15" s="391">
        <v>0</v>
      </c>
      <c r="O15" s="367"/>
      <c r="P15" s="219" t="s">
        <v>40</v>
      </c>
    </row>
    <row r="16" spans="1:16" ht="62.25" customHeight="1" hidden="1">
      <c r="A16" s="274"/>
      <c r="B16" s="393" t="s">
        <v>121</v>
      </c>
      <c r="C16" s="378" t="s">
        <v>122</v>
      </c>
      <c r="D16" s="215">
        <v>605</v>
      </c>
      <c r="E16" s="513" t="s">
        <v>802</v>
      </c>
      <c r="F16" s="144">
        <f t="shared" si="1"/>
        <v>0</v>
      </c>
      <c r="G16" s="265">
        <f t="shared" si="2"/>
        <v>0</v>
      </c>
      <c r="H16" s="367"/>
      <c r="I16" s="367"/>
      <c r="J16" s="461"/>
      <c r="K16" s="367"/>
      <c r="L16" s="367"/>
      <c r="M16" s="367"/>
      <c r="N16" s="391"/>
      <c r="O16" s="367"/>
      <c r="P16" s="219" t="s">
        <v>803</v>
      </c>
    </row>
    <row r="17" spans="1:16" ht="62.25" customHeight="1">
      <c r="A17" s="274"/>
      <c r="B17" s="393"/>
      <c r="C17" s="378"/>
      <c r="D17" s="215"/>
      <c r="E17" s="663"/>
      <c r="F17" s="144">
        <f>G17+N17+O17</f>
        <v>0</v>
      </c>
      <c r="G17" s="265"/>
      <c r="H17" s="16"/>
      <c r="I17" s="16"/>
      <c r="J17" s="214"/>
      <c r="K17" s="16"/>
      <c r="L17" s="16"/>
      <c r="M17" s="16"/>
      <c r="N17" s="220"/>
      <c r="O17" s="144"/>
      <c r="P17" s="219" t="s">
        <v>40</v>
      </c>
    </row>
    <row r="18" spans="1:16" ht="90">
      <c r="A18" s="274"/>
      <c r="B18" s="380"/>
      <c r="C18" s="263"/>
      <c r="D18" s="215"/>
      <c r="E18" s="377" t="s">
        <v>480</v>
      </c>
      <c r="F18" s="144">
        <f t="shared" si="1"/>
        <v>3815689</v>
      </c>
      <c r="G18" s="265">
        <f aca="true" t="shared" si="3" ref="G18:G46">SUM(H18:M18)</f>
        <v>39162</v>
      </c>
      <c r="H18" s="367">
        <v>39162</v>
      </c>
      <c r="I18" s="367"/>
      <c r="J18" s="461"/>
      <c r="K18" s="367">
        <v>0</v>
      </c>
      <c r="L18" s="367">
        <v>0</v>
      </c>
      <c r="M18" s="367">
        <v>0</v>
      </c>
      <c r="N18" s="391">
        <f>3815689-39162</f>
        <v>3776527</v>
      </c>
      <c r="O18" s="367"/>
      <c r="P18" s="219" t="s">
        <v>40</v>
      </c>
    </row>
    <row r="19" spans="1:16" ht="135">
      <c r="A19" s="274"/>
      <c r="B19" s="380"/>
      <c r="C19" s="263"/>
      <c r="D19" s="215">
        <v>661</v>
      </c>
      <c r="E19" s="377" t="s">
        <v>300</v>
      </c>
      <c r="F19" s="144">
        <f t="shared" si="1"/>
        <v>10000</v>
      </c>
      <c r="G19" s="265">
        <f t="shared" si="3"/>
        <v>10000</v>
      </c>
      <c r="H19" s="367">
        <v>10000</v>
      </c>
      <c r="I19" s="367"/>
      <c r="J19" s="461"/>
      <c r="K19" s="367"/>
      <c r="L19" s="367"/>
      <c r="M19" s="367"/>
      <c r="N19" s="391"/>
      <c r="O19" s="367"/>
      <c r="P19" s="219"/>
    </row>
    <row r="20" spans="1:16" ht="142.5" customHeight="1">
      <c r="A20" s="274"/>
      <c r="B20" s="380"/>
      <c r="C20" s="263"/>
      <c r="D20" s="215">
        <v>661</v>
      </c>
      <c r="E20" s="608" t="s">
        <v>301</v>
      </c>
      <c r="F20" s="144">
        <f t="shared" si="1"/>
        <v>77500</v>
      </c>
      <c r="G20" s="265">
        <f t="shared" si="3"/>
        <v>77500</v>
      </c>
      <c r="H20" s="367">
        <v>77500</v>
      </c>
      <c r="I20" s="367"/>
      <c r="J20" s="461"/>
      <c r="K20" s="367"/>
      <c r="L20" s="367"/>
      <c r="M20" s="367"/>
      <c r="N20" s="391"/>
      <c r="O20" s="367"/>
      <c r="P20" s="219"/>
    </row>
    <row r="21" spans="1:16" ht="78" customHeight="1">
      <c r="A21" s="274">
        <v>2</v>
      </c>
      <c r="B21" s="386" t="s">
        <v>288</v>
      </c>
      <c r="C21" s="606" t="s">
        <v>297</v>
      </c>
      <c r="D21" s="215">
        <v>605</v>
      </c>
      <c r="E21" s="89" t="s">
        <v>444</v>
      </c>
      <c r="F21" s="144">
        <f>F22+F23+F24</f>
        <v>29514955</v>
      </c>
      <c r="G21" s="265">
        <f t="shared" si="3"/>
        <v>3650167</v>
      </c>
      <c r="H21" s="367">
        <f>H22+H23+H24</f>
        <v>1423591</v>
      </c>
      <c r="I21" s="367">
        <f aca="true" t="shared" si="4" ref="I21:O21">I22+I23+I24</f>
        <v>155733</v>
      </c>
      <c r="J21" s="367">
        <f t="shared" si="4"/>
        <v>0</v>
      </c>
      <c r="K21" s="367">
        <f t="shared" si="4"/>
        <v>0</v>
      </c>
      <c r="L21" s="367">
        <f t="shared" si="4"/>
        <v>0</v>
      </c>
      <c r="M21" s="367">
        <f t="shared" si="4"/>
        <v>2070843</v>
      </c>
      <c r="N21" s="367">
        <f t="shared" si="4"/>
        <v>19175782</v>
      </c>
      <c r="O21" s="367">
        <f t="shared" si="4"/>
        <v>6689006</v>
      </c>
      <c r="P21" s="376" t="s">
        <v>689</v>
      </c>
    </row>
    <row r="22" spans="1:18" ht="78" customHeight="1">
      <c r="A22" s="274"/>
      <c r="B22" s="386" t="s">
        <v>295</v>
      </c>
      <c r="C22" s="606" t="s">
        <v>296</v>
      </c>
      <c r="D22" s="215"/>
      <c r="E22" s="550" t="s">
        <v>467</v>
      </c>
      <c r="F22" s="144">
        <f aca="true" t="shared" si="5" ref="F22:F34">G22+N22+O22</f>
        <v>7974282</v>
      </c>
      <c r="G22" s="265">
        <f t="shared" si="3"/>
        <v>2453354</v>
      </c>
      <c r="H22" s="367">
        <f>68527+339282+302129+67008-550168</f>
        <v>226778</v>
      </c>
      <c r="I22" s="367">
        <f>82875+72858</f>
        <v>155733</v>
      </c>
      <c r="J22" s="461"/>
      <c r="K22" s="367"/>
      <c r="L22" s="367"/>
      <c r="M22" s="674">
        <f>1473480+597363</f>
        <v>2070843</v>
      </c>
      <c r="N22" s="367">
        <v>5520928</v>
      </c>
      <c r="O22" s="391">
        <v>0</v>
      </c>
      <c r="P22" s="376"/>
      <c r="R22" s="264">
        <f>4478638+15565321+5975352</f>
        <v>26019311</v>
      </c>
    </row>
    <row r="23" spans="1:16" ht="78" customHeight="1">
      <c r="A23" s="274"/>
      <c r="B23" s="380"/>
      <c r="C23" s="606" t="s">
        <v>346</v>
      </c>
      <c r="D23" s="215"/>
      <c r="E23" s="551" t="s">
        <v>468</v>
      </c>
      <c r="F23" s="144">
        <f t="shared" si="5"/>
        <v>15565321</v>
      </c>
      <c r="G23" s="265">
        <f t="shared" si="3"/>
        <v>851813</v>
      </c>
      <c r="H23" s="367">
        <f>402510+139001+243484+66818</f>
        <v>851813</v>
      </c>
      <c r="I23" s="367"/>
      <c r="J23" s="461"/>
      <c r="K23" s="367"/>
      <c r="L23" s="367"/>
      <c r="M23" s="367"/>
      <c r="N23" s="367">
        <f>1277721+6747828</f>
        <v>8025549</v>
      </c>
      <c r="O23" s="391">
        <f>6687957+2</f>
        <v>6687959</v>
      </c>
      <c r="P23" s="376"/>
    </row>
    <row r="24" spans="1:16" ht="78" customHeight="1">
      <c r="A24" s="274"/>
      <c r="B24" s="380"/>
      <c r="C24" s="606" t="s">
        <v>346</v>
      </c>
      <c r="D24" s="215"/>
      <c r="E24" s="551" t="s">
        <v>469</v>
      </c>
      <c r="F24" s="144">
        <f t="shared" si="5"/>
        <v>5975352</v>
      </c>
      <c r="G24" s="265">
        <f t="shared" si="3"/>
        <v>345000</v>
      </c>
      <c r="H24" s="367">
        <f>80157+54351+154338+56154</f>
        <v>345000</v>
      </c>
      <c r="I24" s="367"/>
      <c r="J24" s="461"/>
      <c r="K24" s="367"/>
      <c r="L24" s="367"/>
      <c r="M24" s="367"/>
      <c r="N24" s="367">
        <f>517500+5111803+2</f>
        <v>5629305</v>
      </c>
      <c r="O24" s="391">
        <f>1047</f>
        <v>1047</v>
      </c>
      <c r="P24" s="376"/>
    </row>
    <row r="25" spans="1:16" ht="78" customHeight="1" hidden="1">
      <c r="A25" s="274">
        <v>3</v>
      </c>
      <c r="B25" s="380" t="s">
        <v>14</v>
      </c>
      <c r="C25" s="263" t="s">
        <v>14</v>
      </c>
      <c r="D25" s="215">
        <v>605</v>
      </c>
      <c r="E25" s="89" t="s">
        <v>801</v>
      </c>
      <c r="F25" s="144">
        <f t="shared" si="5"/>
        <v>0</v>
      </c>
      <c r="G25" s="265">
        <f t="shared" si="3"/>
        <v>0</v>
      </c>
      <c r="H25" s="367"/>
      <c r="I25" s="367"/>
      <c r="J25" s="461"/>
      <c r="K25" s="367"/>
      <c r="L25" s="367"/>
      <c r="M25" s="367"/>
      <c r="N25" s="367"/>
      <c r="O25" s="391"/>
      <c r="P25" s="376" t="s">
        <v>689</v>
      </c>
    </row>
    <row r="26" spans="1:16" ht="135" customHeight="1">
      <c r="A26" s="274">
        <v>3</v>
      </c>
      <c r="B26" s="388">
        <v>700</v>
      </c>
      <c r="C26" s="389">
        <v>70005</v>
      </c>
      <c r="D26" s="392">
        <v>6050</v>
      </c>
      <c r="E26" s="241" t="s">
        <v>505</v>
      </c>
      <c r="F26" s="144">
        <f t="shared" si="5"/>
        <v>124600</v>
      </c>
      <c r="G26" s="265">
        <f t="shared" si="3"/>
        <v>124600</v>
      </c>
      <c r="H26" s="367">
        <f>2!S62-18235-4000</f>
        <v>102365</v>
      </c>
      <c r="I26" s="367"/>
      <c r="J26" s="461"/>
      <c r="K26" s="366"/>
      <c r="L26" s="366"/>
      <c r="M26" s="367">
        <f>18235+4000</f>
        <v>22235</v>
      </c>
      <c r="N26" s="391"/>
      <c r="O26" s="367"/>
      <c r="P26" s="552" t="s">
        <v>690</v>
      </c>
    </row>
    <row r="27" spans="1:16" ht="25.5" customHeight="1" hidden="1">
      <c r="A27" s="274">
        <v>6</v>
      </c>
      <c r="B27" s="388">
        <v>700</v>
      </c>
      <c r="C27" s="389">
        <v>70005</v>
      </c>
      <c r="D27" s="392">
        <v>6060</v>
      </c>
      <c r="E27" s="419" t="s">
        <v>278</v>
      </c>
      <c r="F27" s="144">
        <f t="shared" si="5"/>
        <v>0</v>
      </c>
      <c r="G27" s="265">
        <f t="shared" si="3"/>
        <v>0</v>
      </c>
      <c r="H27" s="367">
        <f>2!S63</f>
        <v>0</v>
      </c>
      <c r="I27" s="367"/>
      <c r="J27" s="461"/>
      <c r="K27" s="366"/>
      <c r="L27" s="366"/>
      <c r="M27" s="367"/>
      <c r="N27" s="391"/>
      <c r="O27" s="367"/>
      <c r="P27" s="552" t="s">
        <v>690</v>
      </c>
    </row>
    <row r="28" spans="1:16" ht="70.5" customHeight="1">
      <c r="A28" s="274">
        <v>4</v>
      </c>
      <c r="B28" s="393">
        <v>750</v>
      </c>
      <c r="C28" s="378">
        <v>75020</v>
      </c>
      <c r="D28" s="263">
        <v>606</v>
      </c>
      <c r="E28" s="87" t="s">
        <v>785</v>
      </c>
      <c r="F28" s="144">
        <f t="shared" si="5"/>
        <v>151000</v>
      </c>
      <c r="G28" s="265">
        <f t="shared" si="3"/>
        <v>51000</v>
      </c>
      <c r="H28" s="367">
        <v>51000</v>
      </c>
      <c r="I28" s="367"/>
      <c r="J28" s="461"/>
      <c r="K28" s="366"/>
      <c r="L28" s="366"/>
      <c r="M28" s="367"/>
      <c r="N28" s="391">
        <v>50000</v>
      </c>
      <c r="O28" s="367">
        <v>50000</v>
      </c>
      <c r="P28" s="552" t="s">
        <v>690</v>
      </c>
    </row>
    <row r="29" spans="1:16" ht="108">
      <c r="A29" s="557">
        <v>5</v>
      </c>
      <c r="B29" s="388"/>
      <c r="C29" s="389"/>
      <c r="D29" s="266">
        <v>605</v>
      </c>
      <c r="E29" s="384" t="s">
        <v>266</v>
      </c>
      <c r="F29" s="144">
        <f t="shared" si="5"/>
        <v>152000</v>
      </c>
      <c r="G29" s="265">
        <f t="shared" si="3"/>
        <v>152000</v>
      </c>
      <c r="H29" s="367">
        <f>2!S160+2!T576</f>
        <v>152000</v>
      </c>
      <c r="I29" s="367"/>
      <c r="J29" s="461"/>
      <c r="K29" s="366"/>
      <c r="L29" s="366"/>
      <c r="M29" s="367"/>
      <c r="N29" s="391"/>
      <c r="O29" s="367"/>
      <c r="P29" s="552" t="s">
        <v>65</v>
      </c>
    </row>
    <row r="30" spans="1:16" ht="72">
      <c r="A30" s="557">
        <v>6</v>
      </c>
      <c r="B30" s="388">
        <v>852</v>
      </c>
      <c r="C30" s="389">
        <v>85214</v>
      </c>
      <c r="D30" s="266">
        <v>605</v>
      </c>
      <c r="E30" s="384" t="s">
        <v>790</v>
      </c>
      <c r="F30" s="144">
        <f t="shared" si="5"/>
        <v>24000</v>
      </c>
      <c r="G30" s="265">
        <f t="shared" si="3"/>
        <v>24000</v>
      </c>
      <c r="H30" s="367">
        <v>24000</v>
      </c>
      <c r="I30" s="367"/>
      <c r="J30" s="461"/>
      <c r="K30" s="366"/>
      <c r="L30" s="366"/>
      <c r="M30" s="367"/>
      <c r="N30" s="391"/>
      <c r="O30" s="367"/>
      <c r="P30" s="552" t="s">
        <v>473</v>
      </c>
    </row>
    <row r="31" spans="1:16" ht="70.5" customHeight="1" hidden="1">
      <c r="A31" s="557">
        <v>10</v>
      </c>
      <c r="B31" s="380">
        <v>758</v>
      </c>
      <c r="C31" s="145">
        <v>75818</v>
      </c>
      <c r="D31" s="263">
        <v>680</v>
      </c>
      <c r="E31" s="383" t="s">
        <v>42</v>
      </c>
      <c r="F31" s="394">
        <f t="shared" si="5"/>
        <v>0</v>
      </c>
      <c r="G31" s="265">
        <f t="shared" si="3"/>
        <v>0</v>
      </c>
      <c r="H31" s="367">
        <f>2!S205</f>
        <v>0</v>
      </c>
      <c r="I31" s="367"/>
      <c r="J31" s="461"/>
      <c r="K31" s="366"/>
      <c r="L31" s="366"/>
      <c r="M31" s="367"/>
      <c r="N31" s="395"/>
      <c r="O31" s="367"/>
      <c r="P31" s="552" t="s">
        <v>690</v>
      </c>
    </row>
    <row r="32" spans="1:16" ht="168.75">
      <c r="A32" s="557">
        <v>7</v>
      </c>
      <c r="B32" s="386" t="s">
        <v>293</v>
      </c>
      <c r="C32" s="606" t="s">
        <v>294</v>
      </c>
      <c r="D32" s="263">
        <v>605</v>
      </c>
      <c r="E32" s="385" t="s">
        <v>788</v>
      </c>
      <c r="F32" s="144">
        <f t="shared" si="5"/>
        <v>5500000</v>
      </c>
      <c r="G32" s="265">
        <f t="shared" si="3"/>
        <v>550000</v>
      </c>
      <c r="H32" s="367">
        <f>110000</f>
        <v>110000</v>
      </c>
      <c r="I32" s="367">
        <v>110000</v>
      </c>
      <c r="J32" s="461"/>
      <c r="K32" s="366"/>
      <c r="L32" s="366"/>
      <c r="M32" s="367">
        <v>330000</v>
      </c>
      <c r="N32" s="391">
        <v>4950000</v>
      </c>
      <c r="O32" s="367"/>
      <c r="P32" s="552" t="s">
        <v>690</v>
      </c>
    </row>
    <row r="33" spans="1:16" ht="45">
      <c r="A33" s="557">
        <v>8</v>
      </c>
      <c r="B33" s="386">
        <v>900</v>
      </c>
      <c r="C33" s="263">
        <v>90019</v>
      </c>
      <c r="D33" s="263">
        <v>605</v>
      </c>
      <c r="E33" s="464" t="s">
        <v>284</v>
      </c>
      <c r="F33" s="394">
        <f t="shared" si="5"/>
        <v>90000</v>
      </c>
      <c r="G33" s="265">
        <f t="shared" si="3"/>
        <v>90000</v>
      </c>
      <c r="H33" s="367"/>
      <c r="I33" s="367">
        <v>90000</v>
      </c>
      <c r="J33" s="461"/>
      <c r="K33" s="366"/>
      <c r="L33" s="366"/>
      <c r="M33" s="367"/>
      <c r="N33" s="395"/>
      <c r="O33" s="367"/>
      <c r="P33" s="552" t="s">
        <v>348</v>
      </c>
    </row>
    <row r="34" spans="1:16" ht="78.75">
      <c r="A34" s="558">
        <v>9</v>
      </c>
      <c r="B34" s="380">
        <v>801</v>
      </c>
      <c r="C34" s="263">
        <v>80130</v>
      </c>
      <c r="D34" s="263">
        <v>605</v>
      </c>
      <c r="E34" s="385" t="s">
        <v>800</v>
      </c>
      <c r="F34" s="144">
        <f t="shared" si="5"/>
        <v>6100000</v>
      </c>
      <c r="G34" s="265">
        <f t="shared" si="3"/>
        <v>0</v>
      </c>
      <c r="H34" s="367"/>
      <c r="I34" s="367"/>
      <c r="J34" s="461"/>
      <c r="K34" s="366"/>
      <c r="L34" s="366"/>
      <c r="M34" s="367"/>
      <c r="N34" s="391">
        <v>122000</v>
      </c>
      <c r="O34" s="367">
        <v>5978000</v>
      </c>
      <c r="P34" s="552" t="s">
        <v>690</v>
      </c>
    </row>
    <row r="35" spans="1:16" ht="112.5">
      <c r="A35" s="558">
        <v>10</v>
      </c>
      <c r="B35" s="380"/>
      <c r="C35" s="263">
        <v>80102</v>
      </c>
      <c r="D35" s="263"/>
      <c r="E35" s="383" t="s">
        <v>279</v>
      </c>
      <c r="F35" s="144">
        <f>11965+G35</f>
        <v>187865</v>
      </c>
      <c r="G35" s="265">
        <f t="shared" si="3"/>
        <v>175900</v>
      </c>
      <c r="H35" s="367"/>
      <c r="I35" s="367"/>
      <c r="J35" s="461"/>
      <c r="K35" s="366">
        <v>175900</v>
      </c>
      <c r="L35" s="366"/>
      <c r="M35" s="367"/>
      <c r="N35" s="391"/>
      <c r="O35" s="367"/>
      <c r="P35" s="552" t="s">
        <v>690</v>
      </c>
    </row>
    <row r="36" spans="1:16" ht="22.5">
      <c r="A36" s="558">
        <v>11</v>
      </c>
      <c r="B36" s="380">
        <v>853</v>
      </c>
      <c r="C36" s="263">
        <v>85395</v>
      </c>
      <c r="D36" s="263"/>
      <c r="E36" s="385" t="s">
        <v>470</v>
      </c>
      <c r="F36" s="144">
        <f aca="true" t="shared" si="6" ref="F36:F42">G36+N36+O36</f>
        <v>4033</v>
      </c>
      <c r="G36" s="265">
        <f t="shared" si="3"/>
        <v>4033</v>
      </c>
      <c r="H36" s="367"/>
      <c r="I36" s="367"/>
      <c r="J36" s="461"/>
      <c r="K36" s="366"/>
      <c r="L36" s="366"/>
      <c r="M36" s="674">
        <v>4033</v>
      </c>
      <c r="N36" s="391"/>
      <c r="O36" s="367"/>
      <c r="P36" s="552" t="s">
        <v>690</v>
      </c>
    </row>
    <row r="37" spans="1:16" ht="22.5">
      <c r="A37" s="558"/>
      <c r="B37" s="380"/>
      <c r="C37" s="263"/>
      <c r="D37" s="263"/>
      <c r="E37" s="64"/>
      <c r="F37" s="144">
        <f>G37+N37+O37</f>
        <v>0</v>
      </c>
      <c r="G37" s="265">
        <f>SUM(H37:M37)</f>
        <v>0</v>
      </c>
      <c r="H37" s="367"/>
      <c r="I37" s="367"/>
      <c r="J37" s="461"/>
      <c r="K37" s="366"/>
      <c r="L37" s="366"/>
      <c r="M37" s="367"/>
      <c r="N37" s="391"/>
      <c r="O37" s="367"/>
      <c r="P37" s="552" t="s">
        <v>690</v>
      </c>
    </row>
    <row r="38" spans="1:16" ht="45">
      <c r="A38" s="558">
        <v>12</v>
      </c>
      <c r="B38" s="380">
        <v>851</v>
      </c>
      <c r="C38" s="263">
        <v>85111</v>
      </c>
      <c r="D38" s="263"/>
      <c r="E38" s="385" t="s">
        <v>827</v>
      </c>
      <c r="F38" s="144">
        <f t="shared" si="6"/>
        <v>2990000</v>
      </c>
      <c r="G38" s="265">
        <f t="shared" si="3"/>
        <v>2990000</v>
      </c>
      <c r="H38" s="367">
        <v>70000</v>
      </c>
      <c r="I38" s="367"/>
      <c r="J38" s="461">
        <f>120000+662477+87523</f>
        <v>870000</v>
      </c>
      <c r="K38" s="366">
        <f>1500000+1300000-662477-87523</f>
        <v>2050000</v>
      </c>
      <c r="L38" s="366"/>
      <c r="M38" s="367"/>
      <c r="N38" s="391"/>
      <c r="O38" s="367"/>
      <c r="P38" s="552" t="s">
        <v>690</v>
      </c>
    </row>
    <row r="39" spans="1:16" ht="112.5">
      <c r="A39" s="557">
        <v>13</v>
      </c>
      <c r="B39" s="386">
        <v>900</v>
      </c>
      <c r="C39" s="145">
        <v>90019</v>
      </c>
      <c r="D39" s="263">
        <v>605</v>
      </c>
      <c r="E39" s="664" t="s">
        <v>835</v>
      </c>
      <c r="F39" s="144">
        <f t="shared" si="6"/>
        <v>653822</v>
      </c>
      <c r="G39" s="265">
        <f t="shared" si="3"/>
        <v>45018</v>
      </c>
      <c r="H39" s="74"/>
      <c r="I39" s="74">
        <v>45018</v>
      </c>
      <c r="J39" s="461"/>
      <c r="K39" s="366"/>
      <c r="L39" s="366"/>
      <c r="M39" s="367"/>
      <c r="N39" s="391">
        <f>608724+80</f>
        <v>608804</v>
      </c>
      <c r="O39" s="367"/>
      <c r="P39" s="552" t="s">
        <v>690</v>
      </c>
    </row>
    <row r="40" spans="1:16" ht="165.75" customHeight="1" hidden="1">
      <c r="A40" s="557">
        <v>21</v>
      </c>
      <c r="B40" s="386" t="s">
        <v>783</v>
      </c>
      <c r="C40" s="145">
        <v>85201</v>
      </c>
      <c r="D40" s="263">
        <v>605</v>
      </c>
      <c r="E40" s="387" t="s">
        <v>787</v>
      </c>
      <c r="F40" s="144">
        <f t="shared" si="6"/>
        <v>0</v>
      </c>
      <c r="G40" s="265">
        <f t="shared" si="3"/>
        <v>0</v>
      </c>
      <c r="H40" s="367"/>
      <c r="I40" s="367"/>
      <c r="J40" s="461"/>
      <c r="K40" s="366"/>
      <c r="L40" s="366"/>
      <c r="M40" s="367"/>
      <c r="N40" s="391"/>
      <c r="O40" s="367"/>
      <c r="P40" s="552" t="s">
        <v>690</v>
      </c>
    </row>
    <row r="41" spans="1:16" ht="114.75">
      <c r="A41" s="557">
        <v>14</v>
      </c>
      <c r="B41" s="386" t="s">
        <v>286</v>
      </c>
      <c r="C41" s="145" t="s">
        <v>292</v>
      </c>
      <c r="D41" s="263">
        <v>605</v>
      </c>
      <c r="E41" s="64" t="s">
        <v>120</v>
      </c>
      <c r="F41" s="394">
        <f t="shared" si="6"/>
        <v>3026914</v>
      </c>
      <c r="G41" s="265">
        <f t="shared" si="3"/>
        <v>3026914</v>
      </c>
      <c r="H41" s="367">
        <f>589400-44800</f>
        <v>544600</v>
      </c>
      <c r="I41" s="367">
        <v>485700</v>
      </c>
      <c r="J41" s="461"/>
      <c r="K41" s="366"/>
      <c r="L41" s="366"/>
      <c r="M41" s="674">
        <v>1996614</v>
      </c>
      <c r="N41" s="395"/>
      <c r="O41" s="367"/>
      <c r="P41" s="552" t="s">
        <v>826</v>
      </c>
    </row>
    <row r="42" spans="1:16" ht="25.5">
      <c r="A42" s="274">
        <v>16</v>
      </c>
      <c r="B42" s="554">
        <v>852</v>
      </c>
      <c r="C42" s="459">
        <v>85202</v>
      </c>
      <c r="D42" s="263">
        <v>605</v>
      </c>
      <c r="E42" s="390" t="s">
        <v>836</v>
      </c>
      <c r="F42" s="144">
        <f t="shared" si="6"/>
        <v>20000</v>
      </c>
      <c r="G42" s="265">
        <f t="shared" si="3"/>
        <v>20000</v>
      </c>
      <c r="H42" s="367"/>
      <c r="I42" s="367">
        <v>20000</v>
      </c>
      <c r="J42" s="461"/>
      <c r="K42" s="366"/>
      <c r="L42" s="366"/>
      <c r="M42" s="367"/>
      <c r="N42" s="391"/>
      <c r="O42" s="367"/>
      <c r="P42" s="552" t="s">
        <v>690</v>
      </c>
    </row>
    <row r="43" spans="1:16" ht="25.5">
      <c r="A43" s="274">
        <v>17</v>
      </c>
      <c r="B43" s="554">
        <v>900</v>
      </c>
      <c r="C43" s="459">
        <v>90019</v>
      </c>
      <c r="D43" s="263">
        <v>617</v>
      </c>
      <c r="E43" s="390" t="s">
        <v>347</v>
      </c>
      <c r="F43" s="144">
        <f>G43+N43+O43</f>
        <v>50000</v>
      </c>
      <c r="G43" s="265">
        <f>SUM(H43:M43)</f>
        <v>50000</v>
      </c>
      <c r="H43" s="367"/>
      <c r="I43" s="367">
        <v>50000</v>
      </c>
      <c r="J43" s="461"/>
      <c r="K43" s="366"/>
      <c r="L43" s="366"/>
      <c r="M43" s="367"/>
      <c r="N43" s="391"/>
      <c r="O43" s="367"/>
      <c r="P43" s="552" t="s">
        <v>690</v>
      </c>
    </row>
    <row r="44" spans="1:16" ht="132">
      <c r="A44" s="274">
        <v>18</v>
      </c>
      <c r="B44" s="554">
        <v>900</v>
      </c>
      <c r="C44" s="459">
        <v>90019</v>
      </c>
      <c r="D44" s="263">
        <v>605</v>
      </c>
      <c r="E44" s="662" t="s">
        <v>707</v>
      </c>
      <c r="F44" s="144">
        <f>G44+N44+O44</f>
        <v>50000</v>
      </c>
      <c r="G44" s="265">
        <f>SUM(H44:M44)</f>
        <v>50000</v>
      </c>
      <c r="H44" s="367"/>
      <c r="I44" s="367">
        <v>50000</v>
      </c>
      <c r="J44" s="461"/>
      <c r="K44" s="366"/>
      <c r="L44" s="366"/>
      <c r="M44" s="367"/>
      <c r="N44" s="391"/>
      <c r="O44" s="367"/>
      <c r="P44" s="552" t="s">
        <v>690</v>
      </c>
    </row>
    <row r="45" spans="1:16" ht="63.75">
      <c r="A45" s="274">
        <v>19</v>
      </c>
      <c r="B45" s="554">
        <v>900</v>
      </c>
      <c r="C45" s="459">
        <v>90019</v>
      </c>
      <c r="D45" s="263">
        <v>605</v>
      </c>
      <c r="E45" s="390" t="s">
        <v>452</v>
      </c>
      <c r="F45" s="144">
        <f>G45+N45+O45</f>
        <v>150000</v>
      </c>
      <c r="G45" s="265">
        <f t="shared" si="3"/>
        <v>150000</v>
      </c>
      <c r="H45" s="367"/>
      <c r="I45" s="367">
        <v>150000</v>
      </c>
      <c r="J45" s="461"/>
      <c r="K45" s="366"/>
      <c r="L45" s="366"/>
      <c r="M45" s="367"/>
      <c r="N45" s="391"/>
      <c r="O45" s="367"/>
      <c r="P45" s="552" t="s">
        <v>690</v>
      </c>
    </row>
    <row r="46" spans="1:16" ht="89.25" customHeight="1" hidden="1">
      <c r="A46" s="274"/>
      <c r="B46" s="555" t="s">
        <v>715</v>
      </c>
      <c r="C46" s="770"/>
      <c r="D46" s="771"/>
      <c r="E46" s="383" t="s">
        <v>13</v>
      </c>
      <c r="F46" s="394">
        <f>G46+N46+O46</f>
        <v>0</v>
      </c>
      <c r="G46" s="265">
        <f t="shared" si="3"/>
        <v>0</v>
      </c>
      <c r="H46" s="367"/>
      <c r="I46" s="367"/>
      <c r="J46" s="461"/>
      <c r="K46" s="366"/>
      <c r="L46" s="366"/>
      <c r="M46" s="367"/>
      <c r="N46" s="395"/>
      <c r="O46" s="367"/>
      <c r="P46" s="552" t="s">
        <v>690</v>
      </c>
    </row>
    <row r="47" spans="1:16" ht="22.5" customHeight="1">
      <c r="A47" s="274"/>
      <c r="B47" s="766" t="s">
        <v>52</v>
      </c>
      <c r="C47" s="767"/>
      <c r="D47" s="767"/>
      <c r="E47" s="767"/>
      <c r="F47" s="367">
        <f aca="true" t="shared" si="7" ref="F47:O47">SUM(F11:F46)-F21</f>
        <v>60478532</v>
      </c>
      <c r="G47" s="108">
        <f t="shared" si="7"/>
        <v>19066448</v>
      </c>
      <c r="H47" s="367">
        <f t="shared" si="7"/>
        <v>7660372</v>
      </c>
      <c r="I47" s="367">
        <f t="shared" si="7"/>
        <v>1156451</v>
      </c>
      <c r="J47" s="367">
        <f t="shared" si="7"/>
        <v>3600000</v>
      </c>
      <c r="K47" s="367">
        <f t="shared" si="7"/>
        <v>2225900</v>
      </c>
      <c r="L47" s="367">
        <f t="shared" si="7"/>
        <v>0</v>
      </c>
      <c r="M47" s="367">
        <f t="shared" si="7"/>
        <v>4423725</v>
      </c>
      <c r="N47" s="367">
        <f t="shared" si="7"/>
        <v>28683113</v>
      </c>
      <c r="O47" s="367">
        <f t="shared" si="7"/>
        <v>12717006</v>
      </c>
      <c r="P47" s="553" t="s">
        <v>184</v>
      </c>
    </row>
    <row r="48" spans="1:16" ht="42.75" customHeight="1">
      <c r="A48" s="758" t="s">
        <v>477</v>
      </c>
      <c r="B48" s="759"/>
      <c r="C48" s="759"/>
      <c r="D48" s="759"/>
      <c r="E48" s="760"/>
      <c r="F48" s="263"/>
      <c r="G48" s="108">
        <f>G47-L47</f>
        <v>19066448</v>
      </c>
      <c r="H48" s="263"/>
      <c r="I48" s="263"/>
      <c r="J48" s="462"/>
      <c r="K48" s="263"/>
      <c r="L48" s="263"/>
      <c r="M48" s="263"/>
      <c r="N48" s="376"/>
      <c r="O48" s="263"/>
      <c r="P48" s="376"/>
    </row>
    <row r="51" spans="13:15" ht="12.75">
      <c r="M51" s="675"/>
      <c r="O51" s="1" t="s">
        <v>843</v>
      </c>
    </row>
    <row r="52" spans="8:9" ht="12.75">
      <c r="H52" s="365"/>
      <c r="I52" s="365"/>
    </row>
    <row r="53" spans="8:9" ht="12.75">
      <c r="H53" s="365"/>
      <c r="I53" s="365"/>
    </row>
    <row r="54" spans="8:9" ht="12.75">
      <c r="H54" s="365"/>
      <c r="I54" s="365"/>
    </row>
    <row r="55" ht="12.75">
      <c r="M55" s="365"/>
    </row>
  </sheetData>
  <sheetProtection/>
  <mergeCells count="22">
    <mergeCell ref="P3:P7"/>
    <mergeCell ref="K5:K7"/>
    <mergeCell ref="B1:P1"/>
    <mergeCell ref="B3:B7"/>
    <mergeCell ref="C3:C7"/>
    <mergeCell ref="E3:E7"/>
    <mergeCell ref="G3:O3"/>
    <mergeCell ref="O4:O7"/>
    <mergeCell ref="M5:M7"/>
    <mergeCell ref="N4:N7"/>
    <mergeCell ref="I5:I7"/>
    <mergeCell ref="H5:H7"/>
    <mergeCell ref="A48:E48"/>
    <mergeCell ref="A3:A7"/>
    <mergeCell ref="J5:J7"/>
    <mergeCell ref="L5:L7"/>
    <mergeCell ref="B47:E47"/>
    <mergeCell ref="G4:G7"/>
    <mergeCell ref="H4:M4"/>
    <mergeCell ref="D3:D7"/>
    <mergeCell ref="C46:D46"/>
    <mergeCell ref="F3:F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&amp;A
do uchwały Rady Powiatu nr............... 
z dnia ..............................</oddHeader>
  </headerFooter>
</worksheet>
</file>

<file path=xl/worksheets/sheet6.xml><?xml version="1.0" encoding="utf-8"?>
<worksheet xmlns="http://schemas.openxmlformats.org/spreadsheetml/2006/main" xmlns:r="http://schemas.openxmlformats.org/officeDocument/2006/relationships">
  <dimension ref="A1:O44"/>
  <sheetViews>
    <sheetView zoomScalePageLayoutView="0" workbookViewId="0" topLeftCell="A33">
      <selection activeCell="F34" sqref="F34"/>
    </sheetView>
  </sheetViews>
  <sheetFormatPr defaultColWidth="9.00390625" defaultRowHeight="12.75"/>
  <cols>
    <col min="1" max="1" width="7.625" style="264" bestFit="1" customWidth="1"/>
    <col min="2" max="2" width="6.875" style="264" customWidth="1"/>
    <col min="3" max="3" width="7.75390625" style="264" customWidth="1"/>
    <col min="4" max="4" width="6.25390625" style="224" customWidth="1"/>
    <col min="5" max="5" width="17.875" style="264" customWidth="1"/>
    <col min="6" max="6" width="12.00390625" style="365" customWidth="1"/>
    <col min="7" max="7" width="12.75390625" style="365" customWidth="1"/>
    <col min="8" max="9" width="10.125" style="365" customWidth="1"/>
    <col min="10" max="10" width="11.25390625" style="365" bestFit="1" customWidth="1"/>
    <col min="11" max="11" width="13.125" style="365" customWidth="1"/>
    <col min="12" max="12" width="11.125" style="365" customWidth="1"/>
    <col min="13" max="13" width="22.625" style="264" customWidth="1"/>
    <col min="14" max="14" width="9.125" style="264" customWidth="1"/>
    <col min="15" max="15" width="10.125" style="264" bestFit="1" customWidth="1"/>
    <col min="16" max="16384" width="9.125" style="264" customWidth="1"/>
  </cols>
  <sheetData>
    <row r="1" spans="3:13" ht="18">
      <c r="C1" s="12"/>
      <c r="D1" s="222"/>
      <c r="E1" s="12"/>
      <c r="F1" s="217" t="s">
        <v>476</v>
      </c>
      <c r="G1" s="12"/>
      <c r="H1" s="12"/>
      <c r="I1" s="12"/>
      <c r="J1" s="12"/>
      <c r="K1" s="12"/>
      <c r="L1" s="12"/>
      <c r="M1" s="12"/>
    </row>
    <row r="2" spans="2:13" ht="10.5" customHeight="1">
      <c r="B2" s="12"/>
      <c r="C2" s="12"/>
      <c r="D2" s="222"/>
      <c r="E2" s="12"/>
      <c r="F2" s="88"/>
      <c r="G2" s="88"/>
      <c r="H2" s="88"/>
      <c r="I2" s="88"/>
      <c r="J2" s="88"/>
      <c r="K2" s="88"/>
      <c r="L2" s="88"/>
      <c r="M2" s="8" t="s">
        <v>178</v>
      </c>
    </row>
    <row r="3" spans="1:13" s="35" customFormat="1" ht="12.75">
      <c r="A3" s="775" t="s">
        <v>53</v>
      </c>
      <c r="B3" s="778" t="s">
        <v>139</v>
      </c>
      <c r="C3" s="769" t="s">
        <v>177</v>
      </c>
      <c r="D3" s="782" t="s">
        <v>264</v>
      </c>
      <c r="E3" s="768" t="s">
        <v>352</v>
      </c>
      <c r="F3" s="781" t="s">
        <v>38</v>
      </c>
      <c r="G3" s="781" t="s">
        <v>475</v>
      </c>
      <c r="H3" s="781"/>
      <c r="I3" s="781"/>
      <c r="J3" s="781"/>
      <c r="K3" s="781"/>
      <c r="L3" s="781"/>
      <c r="M3" s="768" t="s">
        <v>265</v>
      </c>
    </row>
    <row r="4" spans="1:13" s="35" customFormat="1" ht="12.75">
      <c r="A4" s="776"/>
      <c r="B4" s="778"/>
      <c r="C4" s="769"/>
      <c r="D4" s="782"/>
      <c r="E4" s="768"/>
      <c r="F4" s="781"/>
      <c r="G4" s="781" t="s">
        <v>474</v>
      </c>
      <c r="H4" s="781" t="s">
        <v>398</v>
      </c>
      <c r="I4" s="781"/>
      <c r="J4" s="781"/>
      <c r="K4" s="781"/>
      <c r="L4" s="781"/>
      <c r="M4" s="768"/>
    </row>
    <row r="5" spans="1:13" s="35" customFormat="1" ht="12.75" customHeight="1">
      <c r="A5" s="776"/>
      <c r="B5" s="778"/>
      <c r="C5" s="769"/>
      <c r="D5" s="782"/>
      <c r="E5" s="768"/>
      <c r="F5" s="781"/>
      <c r="G5" s="781"/>
      <c r="H5" s="781" t="s">
        <v>267</v>
      </c>
      <c r="I5" s="781" t="str">
        <f>3!I5:I7</f>
        <v>dochody  jst  z  tyt.opłat  i  kar  za  zanieczyszczanie  środowiska</v>
      </c>
      <c r="J5" s="768" t="str">
        <f>3!J5:J7</f>
        <v>obligacje
i pożyczki</v>
      </c>
      <c r="K5" s="781" t="s">
        <v>298</v>
      </c>
      <c r="L5" s="783" t="str">
        <f>3!M5:M7</f>
        <v>środki  UE  lub  kredyty planowane   pod  współfinansowanie  z UE ,  kredyty</v>
      </c>
      <c r="M5" s="768"/>
    </row>
    <row r="6" spans="1:13" s="35" customFormat="1" ht="12.75">
      <c r="A6" s="776"/>
      <c r="B6" s="778"/>
      <c r="C6" s="769"/>
      <c r="D6" s="782"/>
      <c r="E6" s="768"/>
      <c r="F6" s="781"/>
      <c r="G6" s="781"/>
      <c r="H6" s="781"/>
      <c r="I6" s="781"/>
      <c r="J6" s="768"/>
      <c r="K6" s="781"/>
      <c r="L6" s="783"/>
      <c r="M6" s="768"/>
    </row>
    <row r="7" spans="1:13" s="35" customFormat="1" ht="91.5" customHeight="1">
      <c r="A7" s="777"/>
      <c r="B7" s="778"/>
      <c r="C7" s="769"/>
      <c r="D7" s="782"/>
      <c r="E7" s="768"/>
      <c r="F7" s="781"/>
      <c r="G7" s="781"/>
      <c r="H7" s="781"/>
      <c r="I7" s="781"/>
      <c r="J7" s="768"/>
      <c r="K7" s="781"/>
      <c r="L7" s="783"/>
      <c r="M7" s="768"/>
    </row>
    <row r="8" spans="1:13" ht="12.75">
      <c r="A8" s="232">
        <v>1</v>
      </c>
      <c r="B8" s="229">
        <v>2</v>
      </c>
      <c r="C8" s="16">
        <v>3</v>
      </c>
      <c r="D8" s="16">
        <v>4</v>
      </c>
      <c r="E8" s="16">
        <v>5</v>
      </c>
      <c r="F8" s="86">
        <v>6</v>
      </c>
      <c r="G8" s="213">
        <v>7</v>
      </c>
      <c r="H8" s="86">
        <v>8</v>
      </c>
      <c r="I8" s="86"/>
      <c r="J8" s="86">
        <v>9</v>
      </c>
      <c r="K8" s="86">
        <v>10</v>
      </c>
      <c r="L8" s="86">
        <v>11</v>
      </c>
      <c r="M8" s="16">
        <v>12</v>
      </c>
    </row>
    <row r="9" spans="1:13" ht="157.5">
      <c r="A9" s="263">
        <v>1</v>
      </c>
      <c r="B9" s="230">
        <v>600</v>
      </c>
      <c r="C9" s="263">
        <v>60014</v>
      </c>
      <c r="D9" s="215">
        <v>605</v>
      </c>
      <c r="E9" s="377" t="s">
        <v>48</v>
      </c>
      <c r="F9" s="228">
        <f aca="true" t="shared" si="0" ref="F9:L9">SUM(F11:F17)</f>
        <v>11689343</v>
      </c>
      <c r="G9" s="228">
        <f t="shared" si="0"/>
        <v>7912816</v>
      </c>
      <c r="H9" s="228">
        <f t="shared" si="0"/>
        <v>5182816</v>
      </c>
      <c r="I9" s="228">
        <f t="shared" si="0"/>
        <v>0</v>
      </c>
      <c r="J9" s="228">
        <f t="shared" si="0"/>
        <v>2730000</v>
      </c>
      <c r="K9" s="228">
        <f t="shared" si="0"/>
        <v>0</v>
      </c>
      <c r="L9" s="228">
        <f t="shared" si="0"/>
        <v>0</v>
      </c>
      <c r="M9" s="378" t="s">
        <v>41</v>
      </c>
    </row>
    <row r="10" spans="1:13" ht="12.75">
      <c r="A10" s="263"/>
      <c r="B10" s="229"/>
      <c r="C10" s="16"/>
      <c r="D10" s="16"/>
      <c r="E10" s="64" t="s">
        <v>47</v>
      </c>
      <c r="F10" s="86"/>
      <c r="G10" s="213"/>
      <c r="H10" s="86"/>
      <c r="I10" s="86"/>
      <c r="J10" s="86"/>
      <c r="K10" s="86"/>
      <c r="L10" s="86"/>
      <c r="M10" s="16"/>
    </row>
    <row r="11" spans="1:13" ht="108">
      <c r="A11" s="274"/>
      <c r="B11" s="230"/>
      <c r="C11" s="263"/>
      <c r="D11" s="215"/>
      <c r="E11" s="89" t="str">
        <f>3!E11</f>
        <v>Przebudowa   drogi  powiatowej  nr  2037C  Dobrzejewice-Świętosław-Mazowsze  w km 0+000 : 7+432 oraz   10+982 :11+551 na łączną  dł.8,001 km</v>
      </c>
      <c r="F11" s="144">
        <f aca="true" t="shared" si="1" ref="F11:F17">G11</f>
        <v>3666897</v>
      </c>
      <c r="G11" s="213">
        <f aca="true" t="shared" si="2" ref="G11:G28">SUM(H11:L11)</f>
        <v>3666897</v>
      </c>
      <c r="H11" s="86">
        <f>3!H11</f>
        <v>2556620</v>
      </c>
      <c r="I11" s="86"/>
      <c r="J11" s="86">
        <f>3!J11</f>
        <v>1110277</v>
      </c>
      <c r="K11" s="86"/>
      <c r="L11" s="86"/>
      <c r="M11" s="266" t="s">
        <v>40</v>
      </c>
    </row>
    <row r="12" spans="1:13" ht="61.5" customHeight="1">
      <c r="A12" s="274"/>
      <c r="B12" s="230"/>
      <c r="C12" s="263"/>
      <c r="D12" s="215"/>
      <c r="E12" s="89" t="str">
        <f>3!E13</f>
        <v>Droga 2031 Zelgno- Bezdół -Zelgno od km 2+360 do km 2+860 na dł.0,500 km</v>
      </c>
      <c r="F12" s="144">
        <f t="shared" si="1"/>
        <v>500000</v>
      </c>
      <c r="G12" s="213">
        <f t="shared" si="2"/>
        <v>500000</v>
      </c>
      <c r="H12" s="86">
        <f>3!H13</f>
        <v>55000</v>
      </c>
      <c r="I12" s="86"/>
      <c r="J12" s="86">
        <f>3!J13</f>
        <v>445000</v>
      </c>
      <c r="K12" s="86"/>
      <c r="L12" s="86"/>
      <c r="M12" s="266"/>
    </row>
    <row r="13" spans="1:13" ht="60">
      <c r="A13" s="274"/>
      <c r="B13" s="379"/>
      <c r="C13" s="263"/>
      <c r="D13" s="215"/>
      <c r="E13" s="89" t="str">
        <f>3!E12</f>
        <v>Droga 2004 Łążyn-Zarośla  Cienkie -Smolno od km 0+550 do km 1+135 na dł. 0,585 km</v>
      </c>
      <c r="F13" s="144">
        <f t="shared" si="1"/>
        <v>258587</v>
      </c>
      <c r="G13" s="213">
        <f t="shared" si="2"/>
        <v>258587</v>
      </c>
      <c r="H13" s="16">
        <f>3!H12</f>
        <v>63287</v>
      </c>
      <c r="I13" s="16"/>
      <c r="J13" s="16">
        <f>3!J12</f>
        <v>195300</v>
      </c>
      <c r="K13" s="86"/>
      <c r="L13" s="86"/>
      <c r="M13" s="214" t="s">
        <v>40</v>
      </c>
    </row>
    <row r="14" spans="1:13" ht="156">
      <c r="A14" s="274"/>
      <c r="B14" s="379"/>
      <c r="C14" s="263"/>
      <c r="D14" s="215"/>
      <c r="E14" s="89" t="str">
        <f>3!E14</f>
        <v>Przebudowa ciągu  komunikacyjnego Drogi powiatowej  nr  2009C Brzeźno-Młyniec-Lubicz Górny w km 3+450 : 9+590 oraz  drogi  powiatowej  nr  2035C  Młyniec I-Jedwabno-  Toruń  w km 0+000 : 0+703 na  łączną długość  6,843 km.</v>
      </c>
      <c r="F14" s="144">
        <f t="shared" si="1"/>
        <v>3360670</v>
      </c>
      <c r="G14" s="233">
        <f t="shared" si="2"/>
        <v>3360670</v>
      </c>
      <c r="H14" s="16">
        <f>3!H14</f>
        <v>2381247</v>
      </c>
      <c r="I14" s="16"/>
      <c r="J14" s="16">
        <f>3!J14</f>
        <v>979423</v>
      </c>
      <c r="K14" s="86"/>
      <c r="L14" s="86"/>
      <c r="M14" s="214"/>
    </row>
    <row r="15" spans="1:13" ht="135">
      <c r="A15" s="274"/>
      <c r="B15" s="379"/>
      <c r="C15" s="263"/>
      <c r="D15" s="215"/>
      <c r="E15" s="663" t="str">
        <f>3!E18</f>
        <v>Przebudowa  drogi 1619 Lisewo-Dubielno-Chełmża w km  8+972  do  12+552  na  dł. 3,580 km oraz  chodnik  ul.  Trakt  12+546 do  14+955  na  dł.  2,409 km</v>
      </c>
      <c r="F15" s="144">
        <f>3!F18</f>
        <v>3815689</v>
      </c>
      <c r="G15" s="233">
        <f t="shared" si="2"/>
        <v>39162</v>
      </c>
      <c r="H15" s="86">
        <f>3!H18</f>
        <v>39162</v>
      </c>
      <c r="I15" s="16"/>
      <c r="J15" s="16"/>
      <c r="K15" s="86"/>
      <c r="L15" s="86"/>
      <c r="M15" s="214"/>
    </row>
    <row r="16" spans="1:13" ht="135">
      <c r="A16" s="274"/>
      <c r="B16" s="379"/>
      <c r="C16" s="263"/>
      <c r="D16" s="215">
        <f>3!D20</f>
        <v>661</v>
      </c>
      <c r="E16" s="377" t="str">
        <f>3!E19</f>
        <v>„  Budowa  dróg  gminnych Nr 101117C,101121 i 101116C  w  miejscowości  Czernikowo ,  Jackowo ,  Steklinek wraz  z  przebudową skrzyżowania  z  drogą  powiatową  nr  2043C   w  miejscowości  Steklinek  „.</v>
      </c>
      <c r="F16" s="144">
        <f t="shared" si="1"/>
        <v>10000</v>
      </c>
      <c r="G16" s="233">
        <f t="shared" si="2"/>
        <v>10000</v>
      </c>
      <c r="H16" s="86">
        <f>3!H19</f>
        <v>10000</v>
      </c>
      <c r="I16" s="86"/>
      <c r="J16" s="86">
        <f>3!J19</f>
        <v>0</v>
      </c>
      <c r="K16" s="86"/>
      <c r="L16" s="86"/>
      <c r="M16" s="214"/>
    </row>
    <row r="17" spans="1:13" ht="132">
      <c r="A17" s="274"/>
      <c r="B17" s="379"/>
      <c r="C17" s="263"/>
      <c r="D17" s="215">
        <f>3!D20</f>
        <v>661</v>
      </c>
      <c r="E17" s="609" t="str">
        <f>3!E20</f>
        <v>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v>
      </c>
      <c r="F17" s="144">
        <f t="shared" si="1"/>
        <v>77500</v>
      </c>
      <c r="G17" s="233">
        <f t="shared" si="2"/>
        <v>77500</v>
      </c>
      <c r="H17" s="86">
        <f>3!H20</f>
        <v>77500</v>
      </c>
      <c r="I17" s="86"/>
      <c r="J17" s="86">
        <f>3!J20</f>
        <v>0</v>
      </c>
      <c r="K17" s="86"/>
      <c r="L17" s="86"/>
      <c r="M17" s="214"/>
    </row>
    <row r="18" spans="1:13" ht="72">
      <c r="A18" s="274">
        <v>2</v>
      </c>
      <c r="B18" s="556" t="s">
        <v>288</v>
      </c>
      <c r="C18" s="606" t="s">
        <v>289</v>
      </c>
      <c r="D18" s="215">
        <v>605</v>
      </c>
      <c r="E18" s="89" t="str">
        <f>3!E21</f>
        <v>Poprawa  bezpieczeństwa  na   drogach   publicznych  poprzez wybudowanie   dróg  rowerowych .</v>
      </c>
      <c r="F18" s="144">
        <f>F19+F20+F21</f>
        <v>29996655</v>
      </c>
      <c r="G18" s="233">
        <f t="shared" si="2"/>
        <v>3650167</v>
      </c>
      <c r="H18" s="86">
        <f>SUM(H19:H21)</f>
        <v>1423591</v>
      </c>
      <c r="I18" s="86">
        <f>SUM(I19:I21)</f>
        <v>155733</v>
      </c>
      <c r="J18" s="86">
        <f>SUM(J19:J21)</f>
        <v>0</v>
      </c>
      <c r="K18" s="86">
        <f>SUM(K19:K21)</f>
        <v>0</v>
      </c>
      <c r="L18" s="86">
        <f>SUM(L19:L21)</f>
        <v>2070843</v>
      </c>
      <c r="M18" s="22" t="s">
        <v>40</v>
      </c>
    </row>
    <row r="19" spans="1:13" ht="36">
      <c r="A19" s="274"/>
      <c r="B19" s="379"/>
      <c r="C19" s="263"/>
      <c r="D19" s="215"/>
      <c r="E19" s="89" t="str">
        <f>3!E22</f>
        <v>droga rowerowa: Toruń - Złotoria - Osiek</v>
      </c>
      <c r="F19" s="144">
        <f>373766+G19+3!N22+3!O22</f>
        <v>8348048</v>
      </c>
      <c r="G19" s="233">
        <f>SUM(H19:L19)</f>
        <v>2453354</v>
      </c>
      <c r="H19" s="86">
        <f>3!H22</f>
        <v>226778</v>
      </c>
      <c r="I19" s="86">
        <f>3!I22</f>
        <v>155733</v>
      </c>
      <c r="J19" s="16"/>
      <c r="K19" s="86">
        <f>3!L22</f>
        <v>0</v>
      </c>
      <c r="L19" s="86">
        <f>3!M22</f>
        <v>2070843</v>
      </c>
      <c r="M19" s="22" t="s">
        <v>40</v>
      </c>
    </row>
    <row r="20" spans="1:13" ht="48">
      <c r="A20" s="274"/>
      <c r="B20" s="379"/>
      <c r="C20" s="263"/>
      <c r="D20" s="215"/>
      <c r="E20" s="89" t="str">
        <f>3!E23</f>
        <v>droga rowerowa: Toruń - Chełmża z odgałęzieniem do  m. Kamionki Małe</v>
      </c>
      <c r="F20" s="144">
        <f>74042+G20+3!N23+3!O23</f>
        <v>15639363</v>
      </c>
      <c r="G20" s="233">
        <f>SUM(H20:L20)</f>
        <v>851813</v>
      </c>
      <c r="H20" s="86">
        <f>3!H23</f>
        <v>851813</v>
      </c>
      <c r="I20" s="86"/>
      <c r="J20" s="16"/>
      <c r="K20" s="86"/>
      <c r="L20" s="86"/>
      <c r="M20" s="22" t="s">
        <v>40</v>
      </c>
    </row>
    <row r="21" spans="1:13" ht="33.75">
      <c r="A21" s="274"/>
      <c r="B21" s="379"/>
      <c r="C21" s="263"/>
      <c r="D21" s="215"/>
      <c r="E21" s="377" t="str">
        <f>3!E24</f>
        <v>droga rowerowa: Toruń - Barbarka - Wybcz - Unisław</v>
      </c>
      <c r="F21" s="144">
        <f>33892+G21+3!N24+3!O24</f>
        <v>6009244</v>
      </c>
      <c r="G21" s="233">
        <f>SUM(H21:L21)</f>
        <v>345000</v>
      </c>
      <c r="H21" s="86">
        <f>3!H24</f>
        <v>345000</v>
      </c>
      <c r="I21" s="86"/>
      <c r="J21" s="86"/>
      <c r="K21" s="86"/>
      <c r="L21" s="86"/>
      <c r="M21" s="22" t="s">
        <v>40</v>
      </c>
    </row>
    <row r="22" spans="1:15" ht="12.75" hidden="1">
      <c r="A22" s="263">
        <v>2</v>
      </c>
      <c r="B22" s="380"/>
      <c r="C22" s="263"/>
      <c r="D22" s="381">
        <v>605</v>
      </c>
      <c r="E22" s="89" t="str">
        <f>3!E25</f>
        <v>Budowa  chodników </v>
      </c>
      <c r="F22" s="510"/>
      <c r="G22" s="265">
        <f>SUM(H22:L22)</f>
        <v>0</v>
      </c>
      <c r="H22" s="367">
        <f>3!H25</f>
        <v>0</v>
      </c>
      <c r="I22" s="367"/>
      <c r="J22" s="367"/>
      <c r="K22" s="367"/>
      <c r="L22" s="367"/>
      <c r="M22" s="22" t="s">
        <v>40</v>
      </c>
      <c r="O22" s="1" t="s">
        <v>10</v>
      </c>
    </row>
    <row r="23" spans="1:13" ht="25.5">
      <c r="A23" s="263">
        <v>3</v>
      </c>
      <c r="B23" s="380">
        <v>700</v>
      </c>
      <c r="C23" s="263">
        <v>70005</v>
      </c>
      <c r="D23" s="223">
        <v>6060</v>
      </c>
      <c r="E23" s="241" t="str">
        <f>3!E26</f>
        <v>Inwestycje   w  zasobach   powiatu </v>
      </c>
      <c r="F23" s="367">
        <f>G23</f>
        <v>124600</v>
      </c>
      <c r="G23" s="265">
        <f t="shared" si="2"/>
        <v>124600</v>
      </c>
      <c r="H23" s="367">
        <f>3!H26</f>
        <v>102365</v>
      </c>
      <c r="I23" s="367"/>
      <c r="J23" s="367"/>
      <c r="K23" s="367"/>
      <c r="L23" s="367">
        <v>22235</v>
      </c>
      <c r="M23" s="378" t="s">
        <v>690</v>
      </c>
    </row>
    <row r="24" spans="1:13" ht="33.75">
      <c r="A24" s="263">
        <v>4</v>
      </c>
      <c r="B24" s="380">
        <v>750</v>
      </c>
      <c r="C24" s="263">
        <v>75020</v>
      </c>
      <c r="D24" s="232">
        <v>6050</v>
      </c>
      <c r="E24" s="383" t="s">
        <v>54</v>
      </c>
      <c r="F24" s="367">
        <f>SUM(G24)</f>
        <v>51000</v>
      </c>
      <c r="G24" s="265">
        <f t="shared" si="2"/>
        <v>51000</v>
      </c>
      <c r="H24" s="367">
        <f>3!G28</f>
        <v>51000</v>
      </c>
      <c r="I24" s="367"/>
      <c r="J24" s="367"/>
      <c r="K24" s="366"/>
      <c r="L24" s="367"/>
      <c r="M24" s="378" t="s">
        <v>690</v>
      </c>
    </row>
    <row r="25" spans="1:13" ht="108">
      <c r="A25" s="263">
        <v>5</v>
      </c>
      <c r="B25" s="380">
        <v>750</v>
      </c>
      <c r="C25" s="263">
        <v>75020</v>
      </c>
      <c r="D25" s="223">
        <v>6050</v>
      </c>
      <c r="E25" s="384" t="str">
        <f>3!E29</f>
        <v>Wykończenie  budynku  zajmowanego   na  potrzeby  Starostwa  Powiatowego na  ul. Towarowej  i  inwestycje   w  zasobach  powiatu (  w  tym  6.500   PUP  ) </v>
      </c>
      <c r="F25" s="367">
        <f>SUM(G25)</f>
        <v>152000</v>
      </c>
      <c r="G25" s="265">
        <f t="shared" si="2"/>
        <v>152000</v>
      </c>
      <c r="H25" s="367">
        <f>3!G29</f>
        <v>152000</v>
      </c>
      <c r="I25" s="367"/>
      <c r="J25" s="367"/>
      <c r="K25" s="366"/>
      <c r="L25" s="367"/>
      <c r="M25" s="378" t="str">
        <f>3!P29</f>
        <v>STAROSTWO POWIATOWE   i  PUP  DLA  PT   W  TORUNIU  </v>
      </c>
    </row>
    <row r="26" spans="1:13" ht="97.5" customHeight="1">
      <c r="A26" s="263">
        <v>6</v>
      </c>
      <c r="B26" s="380">
        <v>852</v>
      </c>
      <c r="C26" s="263">
        <v>85218</v>
      </c>
      <c r="D26" s="223">
        <v>6050</v>
      </c>
      <c r="E26" s="384" t="s">
        <v>789</v>
      </c>
      <c r="F26" s="367">
        <f>SUM(G26)</f>
        <v>24000</v>
      </c>
      <c r="G26" s="265">
        <f t="shared" si="2"/>
        <v>24000</v>
      </c>
      <c r="H26" s="367">
        <f>3!H30</f>
        <v>24000</v>
      </c>
      <c r="I26" s="367"/>
      <c r="J26" s="367"/>
      <c r="K26" s="366"/>
      <c r="L26" s="367"/>
      <c r="M26" s="378" t="s">
        <v>690</v>
      </c>
    </row>
    <row r="27" spans="1:13" ht="33.75" hidden="1">
      <c r="A27" s="263">
        <v>9</v>
      </c>
      <c r="B27" s="380">
        <v>758</v>
      </c>
      <c r="C27" s="263">
        <v>75818</v>
      </c>
      <c r="D27" s="232">
        <v>6800</v>
      </c>
      <c r="E27" s="383" t="s">
        <v>26</v>
      </c>
      <c r="F27" s="367">
        <f>SUM(G27)</f>
        <v>0</v>
      </c>
      <c r="G27" s="265">
        <f t="shared" si="2"/>
        <v>0</v>
      </c>
      <c r="H27" s="367">
        <f>3!H31</f>
        <v>0</v>
      </c>
      <c r="I27" s="367"/>
      <c r="J27" s="367"/>
      <c r="K27" s="366"/>
      <c r="L27" s="367"/>
      <c r="M27" s="378" t="s">
        <v>690</v>
      </c>
    </row>
    <row r="28" spans="1:13" ht="126.75">
      <c r="A28" s="557">
        <v>7</v>
      </c>
      <c r="B28" s="607" t="s">
        <v>291</v>
      </c>
      <c r="C28" s="606" t="s">
        <v>290</v>
      </c>
      <c r="D28" s="263">
        <v>6050</v>
      </c>
      <c r="E28" s="465" t="str">
        <f>3!E32</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8" s="367">
        <f>G28+3!N32</f>
        <v>5500000</v>
      </c>
      <c r="G28" s="265">
        <f t="shared" si="2"/>
        <v>550000</v>
      </c>
      <c r="H28" s="367">
        <f>3!H32</f>
        <v>110000</v>
      </c>
      <c r="I28" s="367">
        <f>3!I32</f>
        <v>110000</v>
      </c>
      <c r="J28" s="367"/>
      <c r="K28" s="366"/>
      <c r="L28" s="367">
        <v>330000</v>
      </c>
      <c r="M28" s="378" t="s">
        <v>784</v>
      </c>
    </row>
    <row r="29" spans="1:13" ht="112.5">
      <c r="A29" s="263">
        <v>8</v>
      </c>
      <c r="B29" s="380"/>
      <c r="C29" s="263">
        <v>80102</v>
      </c>
      <c r="D29" s="263"/>
      <c r="E29" s="383" t="str">
        <f>3!E35</f>
        <v>Zagospodarowanie terenów sportowych Szkół  Podstawowych oraz  Gimnazjum   w  Chełmży w tym  zagospodarowanie terenu  sportowego Zespołu  Szkół Specjalnych   w  Chełmży </v>
      </c>
      <c r="F29" s="367">
        <f>G29</f>
        <v>175900</v>
      </c>
      <c r="G29" s="265">
        <f aca="true" t="shared" si="3" ref="G29:G40">SUM(H29:L29)</f>
        <v>175900</v>
      </c>
      <c r="H29" s="367">
        <f>3!H35</f>
        <v>0</v>
      </c>
      <c r="I29" s="367"/>
      <c r="J29" s="367"/>
      <c r="K29" s="366">
        <f>3!K35</f>
        <v>175900</v>
      </c>
      <c r="L29" s="367"/>
      <c r="M29" s="378" t="s">
        <v>690</v>
      </c>
    </row>
    <row r="30" spans="1:13" ht="34.5" customHeight="1">
      <c r="A30" s="263">
        <v>9</v>
      </c>
      <c r="B30" s="380"/>
      <c r="C30" s="263">
        <v>80130</v>
      </c>
      <c r="D30" s="263">
        <v>605</v>
      </c>
      <c r="E30" s="383" t="str">
        <f>3!E33</f>
        <v>Internat  w  Gronowie -  termomodernizacja</v>
      </c>
      <c r="F30" s="367">
        <f>G30</f>
        <v>90000</v>
      </c>
      <c r="G30" s="265">
        <f>SUM(H30:L30)</f>
        <v>90000</v>
      </c>
      <c r="H30" s="367">
        <f>3!H33</f>
        <v>0</v>
      </c>
      <c r="I30" s="367">
        <f>3!I33</f>
        <v>90000</v>
      </c>
      <c r="J30" s="367">
        <f>3!J33</f>
        <v>0</v>
      </c>
      <c r="K30" s="366"/>
      <c r="L30" s="367"/>
      <c r="M30" s="378" t="str">
        <f>3!P33</f>
        <v>Starostwo  Powiatowe   lubZ.SZ. CKU Gronowo</v>
      </c>
    </row>
    <row r="31" spans="1:13" ht="25.5">
      <c r="A31" s="17">
        <v>10</v>
      </c>
      <c r="B31" s="380">
        <v>853</v>
      </c>
      <c r="C31" s="263">
        <v>85395</v>
      </c>
      <c r="D31" s="430" t="s">
        <v>811</v>
      </c>
      <c r="E31" s="385" t="s">
        <v>810</v>
      </c>
      <c r="F31" s="367">
        <f>SUM(G31)</f>
        <v>4033</v>
      </c>
      <c r="G31" s="265">
        <f t="shared" si="3"/>
        <v>4033</v>
      </c>
      <c r="H31" s="367">
        <f>3!H36</f>
        <v>0</v>
      </c>
      <c r="I31" s="367"/>
      <c r="J31" s="367"/>
      <c r="K31" s="366"/>
      <c r="L31" s="367">
        <f>3!M36</f>
        <v>4033</v>
      </c>
      <c r="M31" s="378" t="s">
        <v>690</v>
      </c>
    </row>
    <row r="32" spans="1:13" ht="25.5">
      <c r="A32" s="17"/>
      <c r="B32" s="380">
        <v>801</v>
      </c>
      <c r="C32" s="263">
        <v>80102</v>
      </c>
      <c r="D32" s="17">
        <v>424</v>
      </c>
      <c r="E32" s="64">
        <f>3!E37</f>
        <v>0</v>
      </c>
      <c r="F32" s="367">
        <f>SUM(G32)</f>
        <v>0</v>
      </c>
      <c r="G32" s="265">
        <f>SUM(H32:L32)</f>
        <v>0</v>
      </c>
      <c r="H32" s="367">
        <f>3!H37</f>
        <v>0</v>
      </c>
      <c r="I32" s="367"/>
      <c r="J32" s="367"/>
      <c r="K32" s="366"/>
      <c r="L32" s="367"/>
      <c r="M32" s="378" t="s">
        <v>690</v>
      </c>
    </row>
    <row r="33" spans="1:13" ht="45">
      <c r="A33" s="263">
        <v>11</v>
      </c>
      <c r="B33" s="380">
        <v>851</v>
      </c>
      <c r="C33" s="263">
        <v>85111</v>
      </c>
      <c r="D33" s="430"/>
      <c r="E33" s="385" t="str">
        <f>3!E38</f>
        <v>Zakup  udziałów w  spółce  Szpital  Powiatowy   w  Chełmży </v>
      </c>
      <c r="F33" s="367">
        <f>SUM(G33)</f>
        <v>2990000</v>
      </c>
      <c r="G33" s="265">
        <f>SUM(H33:L33)</f>
        <v>2990000</v>
      </c>
      <c r="H33" s="367">
        <f>3!H38</f>
        <v>70000</v>
      </c>
      <c r="I33" s="367"/>
      <c r="J33" s="367">
        <f>3!J38</f>
        <v>870000</v>
      </c>
      <c r="K33" s="366">
        <f>3!K38</f>
        <v>2050000</v>
      </c>
      <c r="L33" s="367"/>
      <c r="M33" s="378" t="s">
        <v>690</v>
      </c>
    </row>
    <row r="34" spans="1:13" ht="90">
      <c r="A34" s="274">
        <v>12</v>
      </c>
      <c r="B34" s="386" t="s">
        <v>286</v>
      </c>
      <c r="C34" s="145" t="s">
        <v>287</v>
      </c>
      <c r="D34" s="263">
        <v>605</v>
      </c>
      <c r="E34" s="383" t="str">
        <f>3!E41</f>
        <v>„ Przebudowa  i  dostosowanie   do  obowiązujących   standardów dla  Domu  Pomocy  Społecznej   budynku  Zespołu   nr   2   DPS   w  Browinie „  .</v>
      </c>
      <c r="F34" s="367">
        <f>G34+44800</f>
        <v>3071714</v>
      </c>
      <c r="G34" s="265">
        <f t="shared" si="3"/>
        <v>3026914</v>
      </c>
      <c r="H34" s="367">
        <f>3!H41</f>
        <v>544600</v>
      </c>
      <c r="I34" s="367">
        <f>3!I41</f>
        <v>485700</v>
      </c>
      <c r="J34" s="367"/>
      <c r="K34" s="366">
        <f>3!L41</f>
        <v>0</v>
      </c>
      <c r="L34" s="367">
        <f>3!M41</f>
        <v>1996614</v>
      </c>
      <c r="M34" s="378" t="str">
        <f>3!P41</f>
        <v>STAROSTWO POWIATOWE  lub   DPS Browina </v>
      </c>
    </row>
    <row r="35" spans="1:13" ht="25.5">
      <c r="A35" s="274">
        <v>13</v>
      </c>
      <c r="B35" s="263"/>
      <c r="C35" s="665">
        <v>852</v>
      </c>
      <c r="D35" s="666">
        <v>605</v>
      </c>
      <c r="E35" s="385" t="str">
        <f>3!E42</f>
        <v>inne   wydatki   w  dz.  852</v>
      </c>
      <c r="F35" s="367">
        <f>SUM(G35)</f>
        <v>20000</v>
      </c>
      <c r="G35" s="265">
        <f>SUM(H35:L35)</f>
        <v>20000</v>
      </c>
      <c r="H35" s="367">
        <f>3!H42</f>
        <v>0</v>
      </c>
      <c r="I35" s="367">
        <f>3!I42</f>
        <v>20000</v>
      </c>
      <c r="J35" s="367"/>
      <c r="K35" s="366"/>
      <c r="L35" s="367"/>
      <c r="M35" s="378" t="s">
        <v>690</v>
      </c>
    </row>
    <row r="36" spans="1:13" ht="76.5">
      <c r="A36" s="274">
        <v>14</v>
      </c>
      <c r="B36" s="388"/>
      <c r="C36" s="779" t="s">
        <v>285</v>
      </c>
      <c r="D36" s="780"/>
      <c r="E36" s="390" t="str">
        <f>3!E45</f>
        <v>Termomodernizacja budynku warsztatów-kontynuacja  w  Z.SZ. CKU  Gronowo</v>
      </c>
      <c r="F36" s="367">
        <f>G36+150000</f>
        <v>300000</v>
      </c>
      <c r="G36" s="265">
        <f t="shared" si="3"/>
        <v>150000</v>
      </c>
      <c r="H36" s="367">
        <f>3!H45</f>
        <v>0</v>
      </c>
      <c r="I36" s="367">
        <f>3!I45</f>
        <v>150000</v>
      </c>
      <c r="J36" s="367"/>
      <c r="K36" s="366"/>
      <c r="L36" s="367"/>
      <c r="M36" s="378" t="s">
        <v>690</v>
      </c>
    </row>
    <row r="37" spans="1:13" ht="38.25">
      <c r="A37" s="274">
        <v>15</v>
      </c>
      <c r="B37" s="263"/>
      <c r="C37" s="779" t="s">
        <v>285</v>
      </c>
      <c r="D37" s="780"/>
      <c r="E37" s="390" t="str">
        <f>3!E43</f>
        <v>Wpłaty  na  fundusz   celowy (f.wsparcia  )</v>
      </c>
      <c r="F37" s="367">
        <f>SUM(G37)+3!N38</f>
        <v>50000</v>
      </c>
      <c r="G37" s="265">
        <f>SUM(H37:L37)</f>
        <v>50000</v>
      </c>
      <c r="H37" s="367">
        <f>3!H43</f>
        <v>0</v>
      </c>
      <c r="I37" s="367">
        <f>3!I43</f>
        <v>50000</v>
      </c>
      <c r="J37" s="367"/>
      <c r="K37" s="366"/>
      <c r="L37" s="367"/>
      <c r="M37" s="378" t="s">
        <v>690</v>
      </c>
    </row>
    <row r="38" spans="1:13" ht="140.25">
      <c r="A38" s="274">
        <v>16</v>
      </c>
      <c r="B38" s="263"/>
      <c r="C38" s="779" t="s">
        <v>285</v>
      </c>
      <c r="D38" s="780"/>
      <c r="E38" s="390" t="str">
        <f>3!E44</f>
        <v>Dotacje celowe przekazane dla powiatu na inwestycje i zakupy inwestycyjne realizowane na podstawie porozumień (umów) między jednostkami samorządu terytorialnego </v>
      </c>
      <c r="F38" s="367">
        <f>SUM(G38)+3!N38</f>
        <v>50000</v>
      </c>
      <c r="G38" s="265">
        <f>SUM(H38:L38)</f>
        <v>50000</v>
      </c>
      <c r="H38" s="367"/>
      <c r="I38" s="367">
        <f>3!I44</f>
        <v>50000</v>
      </c>
      <c r="J38" s="367"/>
      <c r="K38" s="366"/>
      <c r="L38" s="367"/>
      <c r="M38" s="378" t="s">
        <v>690</v>
      </c>
    </row>
    <row r="39" spans="1:13" ht="204">
      <c r="A39" s="274">
        <v>17</v>
      </c>
      <c r="B39" s="263"/>
      <c r="C39" s="779" t="s">
        <v>837</v>
      </c>
      <c r="D39" s="780"/>
      <c r="E39" s="390" t="str">
        <f>3!E39</f>
        <v>„  Przebudowa systemu  ogrzewania  budynku  i  przygotowania ciepłej wody  użytkowej poprzez zastosowanie zespołu pomp ciepła wykorzystujących energię geotermiczną  ziemi  dla  Domu  Pomocy Społecznej   w  Pigży „</v>
      </c>
      <c r="F39" s="367">
        <f>SUM(G39)+3!N39</f>
        <v>653822</v>
      </c>
      <c r="G39" s="265">
        <f t="shared" si="3"/>
        <v>45018</v>
      </c>
      <c r="H39" s="367">
        <f>3!H39</f>
        <v>0</v>
      </c>
      <c r="I39" s="367">
        <f>3!I39</f>
        <v>45018</v>
      </c>
      <c r="J39" s="367"/>
      <c r="K39" s="366"/>
      <c r="L39" s="367"/>
      <c r="M39" s="378" t="s">
        <v>690</v>
      </c>
    </row>
    <row r="40" spans="1:13" ht="54" customHeight="1" hidden="1">
      <c r="A40" s="263">
        <v>28</v>
      </c>
      <c r="B40" s="263"/>
      <c r="C40" s="770" t="s">
        <v>112</v>
      </c>
      <c r="D40" s="771"/>
      <c r="E40" s="383" t="str">
        <f>3!E46</f>
        <v>Regały  przesuwne   dla  potrzeb   zasobu   geodezyjnego,skaner,ksero, klimatyzatory  inne</v>
      </c>
      <c r="F40" s="367">
        <f>SUM(G40)</f>
        <v>0</v>
      </c>
      <c r="G40" s="265">
        <f t="shared" si="3"/>
        <v>0</v>
      </c>
      <c r="H40" s="367"/>
      <c r="I40" s="367"/>
      <c r="J40" s="367"/>
      <c r="K40" s="366">
        <f>3!L46</f>
        <v>0</v>
      </c>
      <c r="L40" s="367"/>
      <c r="M40" s="378" t="s">
        <v>690</v>
      </c>
    </row>
    <row r="41" spans="1:13" ht="16.5" customHeight="1">
      <c r="A41" s="17"/>
      <c r="B41" s="766" t="s">
        <v>52</v>
      </c>
      <c r="C41" s="767"/>
      <c r="D41" s="767"/>
      <c r="E41" s="767"/>
      <c r="F41" s="367">
        <f>SUM(F11:F40)-F18</f>
        <v>54943067</v>
      </c>
      <c r="G41" s="108">
        <f>SUM(G11:G40)-G18</f>
        <v>19066448</v>
      </c>
      <c r="H41" s="367">
        <f>SUM(H11:H40)-H18</f>
        <v>7660372</v>
      </c>
      <c r="I41" s="367">
        <f>SUM(I11:I40)-I18</f>
        <v>1156451</v>
      </c>
      <c r="J41" s="367">
        <f>SUM(J11:J40)-J19</f>
        <v>3600000</v>
      </c>
      <c r="K41" s="367">
        <f>SUM(K11:K40)-K19</f>
        <v>2225900</v>
      </c>
      <c r="L41" s="367">
        <f>SUM(L11:L40)-L19</f>
        <v>4423725</v>
      </c>
      <c r="M41" s="54" t="s">
        <v>184</v>
      </c>
    </row>
    <row r="42" spans="6:12" ht="12.75">
      <c r="F42" s="264"/>
      <c r="G42" s="264"/>
      <c r="H42" s="264"/>
      <c r="I42" s="264"/>
      <c r="J42" s="264"/>
      <c r="K42" s="264"/>
      <c r="L42" s="264"/>
    </row>
    <row r="43" spans="6:12" ht="12.75">
      <c r="F43" s="264"/>
      <c r="G43" s="264"/>
      <c r="H43" s="264"/>
      <c r="I43" s="264"/>
      <c r="J43" s="264"/>
      <c r="K43" s="264"/>
      <c r="L43" s="264"/>
    </row>
    <row r="44" spans="6:12" ht="12.75">
      <c r="F44" s="264"/>
      <c r="G44" s="264"/>
      <c r="H44" s="264"/>
      <c r="I44" s="264"/>
      <c r="J44" s="264"/>
      <c r="K44" s="264"/>
      <c r="L44" s="264"/>
    </row>
  </sheetData>
  <sheetProtection/>
  <mergeCells count="21">
    <mergeCell ref="M3:M7"/>
    <mergeCell ref="G4:G7"/>
    <mergeCell ref="D3:D7"/>
    <mergeCell ref="F3:F7"/>
    <mergeCell ref="H4:L4"/>
    <mergeCell ref="L5:L7"/>
    <mergeCell ref="B41:E41"/>
    <mergeCell ref="E3:E7"/>
    <mergeCell ref="I5:I7"/>
    <mergeCell ref="H5:H7"/>
    <mergeCell ref="C37:D37"/>
    <mergeCell ref="J5:J7"/>
    <mergeCell ref="C36:D36"/>
    <mergeCell ref="C38:D38"/>
    <mergeCell ref="A3:A7"/>
    <mergeCell ref="C40:D40"/>
    <mergeCell ref="B3:B7"/>
    <mergeCell ref="C3:C7"/>
    <mergeCell ref="C39:D39"/>
    <mergeCell ref="G3:L3"/>
    <mergeCell ref="K5:K7"/>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&amp;A
do uchwały Rady Powiatu nr............... 
z dnia ..............................</oddHeader>
  </headerFooter>
</worksheet>
</file>

<file path=xl/worksheets/sheet7.xml><?xml version="1.0" encoding="utf-8"?>
<worksheet xmlns="http://schemas.openxmlformats.org/spreadsheetml/2006/main" xmlns:r="http://schemas.openxmlformats.org/officeDocument/2006/relationships">
  <dimension ref="A1:S462"/>
  <sheetViews>
    <sheetView zoomScalePageLayoutView="0" workbookViewId="0" topLeftCell="B1">
      <pane ySplit="9" topLeftCell="A446" activePane="bottomLeft" state="frozen"/>
      <selection pane="topLeft" activeCell="A1" sqref="A1"/>
      <selection pane="bottomLeft" activeCell="S462" sqref="S462"/>
    </sheetView>
  </sheetViews>
  <sheetFormatPr defaultColWidth="10.25390625" defaultRowHeight="12.75"/>
  <cols>
    <col min="1" max="1" width="3.625" style="10" bestFit="1" customWidth="1"/>
    <col min="2" max="2" width="19.75390625" style="288" customWidth="1"/>
    <col min="3" max="3" width="7.125" style="10" customWidth="1"/>
    <col min="4" max="4" width="10.625" style="10" customWidth="1"/>
    <col min="5" max="5" width="9.875" style="10" customWidth="1"/>
    <col min="6" max="7" width="10.125" style="10" bestFit="1" customWidth="1"/>
    <col min="8" max="8" width="9.00390625" style="10" customWidth="1"/>
    <col min="9" max="9" width="8.625" style="10" customWidth="1"/>
    <col min="10" max="10" width="7.625" style="10" customWidth="1"/>
    <col min="11" max="11" width="8.375" style="10" customWidth="1"/>
    <col min="12" max="12" width="9.75390625" style="10" customWidth="1"/>
    <col min="13" max="13" width="11.75390625" style="10" customWidth="1"/>
    <col min="14" max="14" width="10.375" style="10" customWidth="1"/>
    <col min="15" max="15" width="6.25390625" style="10" customWidth="1"/>
    <col min="16" max="16" width="5.00390625" style="10" customWidth="1"/>
    <col min="17" max="17" width="9.125" style="10" bestFit="1" customWidth="1"/>
    <col min="18" max="16384" width="10.25390625" style="10" customWidth="1"/>
  </cols>
  <sheetData>
    <row r="1" spans="1:17" ht="12.75">
      <c r="A1" s="814" t="s">
        <v>250</v>
      </c>
      <c r="B1" s="814"/>
      <c r="C1" s="814"/>
      <c r="D1" s="814"/>
      <c r="E1" s="814"/>
      <c r="F1" s="814"/>
      <c r="G1" s="814"/>
      <c r="H1" s="814"/>
      <c r="I1" s="814"/>
      <c r="J1" s="814"/>
      <c r="K1" s="814"/>
      <c r="L1" s="814"/>
      <c r="M1" s="814"/>
      <c r="N1" s="814"/>
      <c r="O1" s="814"/>
      <c r="P1" s="814"/>
      <c r="Q1" s="814"/>
    </row>
    <row r="3" spans="1:17" ht="11.25">
      <c r="A3" s="812" t="s">
        <v>195</v>
      </c>
      <c r="B3" s="813" t="s">
        <v>208</v>
      </c>
      <c r="C3" s="815" t="s">
        <v>209</v>
      </c>
      <c r="D3" s="813" t="s">
        <v>399</v>
      </c>
      <c r="E3" s="813" t="s">
        <v>254</v>
      </c>
      <c r="F3" s="812" t="s">
        <v>143</v>
      </c>
      <c r="G3" s="812"/>
      <c r="H3" s="812" t="s">
        <v>207</v>
      </c>
      <c r="I3" s="812"/>
      <c r="J3" s="812"/>
      <c r="K3" s="812"/>
      <c r="L3" s="812"/>
      <c r="M3" s="812"/>
      <c r="N3" s="812"/>
      <c r="O3" s="812"/>
      <c r="P3" s="812"/>
      <c r="Q3" s="812"/>
    </row>
    <row r="4" spans="1:17" ht="11.25">
      <c r="A4" s="812"/>
      <c r="B4" s="813"/>
      <c r="C4" s="815"/>
      <c r="D4" s="813"/>
      <c r="E4" s="813"/>
      <c r="F4" s="813" t="s">
        <v>251</v>
      </c>
      <c r="G4" s="813" t="s">
        <v>252</v>
      </c>
      <c r="H4" s="812">
        <v>2010</v>
      </c>
      <c r="I4" s="812"/>
      <c r="J4" s="812"/>
      <c r="K4" s="812"/>
      <c r="L4" s="812"/>
      <c r="M4" s="812"/>
      <c r="N4" s="812"/>
      <c r="O4" s="812"/>
      <c r="P4" s="812"/>
      <c r="Q4" s="812"/>
    </row>
    <row r="5" spans="1:17" ht="11.25">
      <c r="A5" s="812"/>
      <c r="B5" s="813"/>
      <c r="C5" s="815"/>
      <c r="D5" s="813"/>
      <c r="E5" s="813"/>
      <c r="F5" s="813"/>
      <c r="G5" s="813"/>
      <c r="H5" s="813" t="s">
        <v>211</v>
      </c>
      <c r="I5" s="812" t="s">
        <v>212</v>
      </c>
      <c r="J5" s="812"/>
      <c r="K5" s="812"/>
      <c r="L5" s="812"/>
      <c r="M5" s="812"/>
      <c r="N5" s="812"/>
      <c r="O5" s="812"/>
      <c r="P5" s="812"/>
      <c r="Q5" s="812"/>
    </row>
    <row r="6" spans="1:17" ht="14.25" customHeight="1">
      <c r="A6" s="812"/>
      <c r="B6" s="813"/>
      <c r="C6" s="815"/>
      <c r="D6" s="813"/>
      <c r="E6" s="813"/>
      <c r="F6" s="813"/>
      <c r="G6" s="813"/>
      <c r="H6" s="813"/>
      <c r="I6" s="812" t="s">
        <v>213</v>
      </c>
      <c r="J6" s="812"/>
      <c r="K6" s="812"/>
      <c r="L6" s="812"/>
      <c r="M6" s="812" t="s">
        <v>210</v>
      </c>
      <c r="N6" s="812"/>
      <c r="O6" s="812"/>
      <c r="P6" s="812"/>
      <c r="Q6" s="812"/>
    </row>
    <row r="7" spans="1:17" ht="12.75" customHeight="1">
      <c r="A7" s="812"/>
      <c r="B7" s="813"/>
      <c r="C7" s="815"/>
      <c r="D7" s="813"/>
      <c r="E7" s="813"/>
      <c r="F7" s="813"/>
      <c r="G7" s="813"/>
      <c r="H7" s="813"/>
      <c r="I7" s="813" t="s">
        <v>214</v>
      </c>
      <c r="J7" s="812" t="s">
        <v>215</v>
      </c>
      <c r="K7" s="812"/>
      <c r="L7" s="812"/>
      <c r="M7" s="813" t="s">
        <v>216</v>
      </c>
      <c r="N7" s="813" t="s">
        <v>215</v>
      </c>
      <c r="O7" s="813"/>
      <c r="P7" s="813"/>
      <c r="Q7" s="813"/>
    </row>
    <row r="8" spans="1:17" ht="48" customHeight="1">
      <c r="A8" s="812"/>
      <c r="B8" s="813"/>
      <c r="C8" s="815"/>
      <c r="D8" s="813"/>
      <c r="E8" s="813"/>
      <c r="F8" s="813"/>
      <c r="G8" s="813"/>
      <c r="H8" s="813"/>
      <c r="I8" s="813"/>
      <c r="J8" s="33" t="s">
        <v>253</v>
      </c>
      <c r="K8" s="33" t="s">
        <v>217</v>
      </c>
      <c r="L8" s="33" t="s">
        <v>218</v>
      </c>
      <c r="M8" s="813"/>
      <c r="N8" s="261" t="s">
        <v>219</v>
      </c>
      <c r="O8" s="261" t="s">
        <v>253</v>
      </c>
      <c r="P8" s="261" t="s">
        <v>217</v>
      </c>
      <c r="Q8" s="33" t="s">
        <v>220</v>
      </c>
    </row>
    <row r="9" spans="1:17" ht="35.25" customHeight="1">
      <c r="A9" s="11">
        <v>1</v>
      </c>
      <c r="B9" s="282">
        <v>2</v>
      </c>
      <c r="C9" s="11">
        <v>3</v>
      </c>
      <c r="D9" s="11">
        <v>4</v>
      </c>
      <c r="E9" s="11">
        <v>5</v>
      </c>
      <c r="F9" s="11">
        <v>6</v>
      </c>
      <c r="G9" s="11">
        <v>7</v>
      </c>
      <c r="H9" s="11">
        <v>8</v>
      </c>
      <c r="I9" s="11">
        <v>9</v>
      </c>
      <c r="J9" s="11">
        <v>10</v>
      </c>
      <c r="K9" s="11">
        <v>11</v>
      </c>
      <c r="L9" s="11">
        <v>12</v>
      </c>
      <c r="M9" s="11">
        <v>13</v>
      </c>
      <c r="N9" s="11">
        <v>14</v>
      </c>
      <c r="O9" s="11">
        <v>15</v>
      </c>
      <c r="P9" s="11">
        <v>16</v>
      </c>
      <c r="Q9" s="11">
        <v>17</v>
      </c>
    </row>
    <row r="10" spans="1:17" s="55" customFormat="1" ht="27.75" customHeight="1">
      <c r="A10" s="41">
        <v>1</v>
      </c>
      <c r="B10" s="283" t="s">
        <v>221</v>
      </c>
      <c r="C10" s="809" t="s">
        <v>184</v>
      </c>
      <c r="D10" s="810"/>
      <c r="E10" s="198">
        <f>E15+E23+E75+E32+E40+E48+E56+E64+E85</f>
        <v>41404153</v>
      </c>
      <c r="F10" s="198">
        <f aca="true" t="shared" si="0" ref="F10:Q10">F15+F23+F75+F32+F40+F48+F56+F64+F85</f>
        <v>19389569</v>
      </c>
      <c r="G10" s="198">
        <f t="shared" si="0"/>
        <v>22014584</v>
      </c>
      <c r="H10" s="198">
        <f t="shared" si="0"/>
        <v>41404153</v>
      </c>
      <c r="I10" s="198">
        <f t="shared" si="0"/>
        <v>16156710</v>
      </c>
      <c r="J10" s="198">
        <f t="shared" si="0"/>
        <v>0</v>
      </c>
      <c r="K10" s="198">
        <f t="shared" si="0"/>
        <v>0</v>
      </c>
      <c r="L10" s="198">
        <f t="shared" si="0"/>
        <v>16156710</v>
      </c>
      <c r="M10" s="198">
        <f t="shared" si="0"/>
        <v>24217143</v>
      </c>
      <c r="N10" s="198">
        <f t="shared" si="0"/>
        <v>0</v>
      </c>
      <c r="O10" s="198">
        <f t="shared" si="0"/>
        <v>0</v>
      </c>
      <c r="P10" s="198">
        <f t="shared" si="0"/>
        <v>0</v>
      </c>
      <c r="Q10" s="198">
        <f t="shared" si="0"/>
        <v>24217143</v>
      </c>
    </row>
    <row r="11" spans="1:17" ht="15.75" customHeight="1">
      <c r="A11" s="799" t="s">
        <v>222</v>
      </c>
      <c r="B11" s="284" t="s">
        <v>223</v>
      </c>
      <c r="C11" s="811" t="s">
        <v>49</v>
      </c>
      <c r="D11" s="811"/>
      <c r="E11" s="811"/>
      <c r="F11" s="811"/>
      <c r="G11" s="811"/>
      <c r="H11" s="811"/>
      <c r="I11" s="811"/>
      <c r="J11" s="811"/>
      <c r="K11" s="811"/>
      <c r="L11" s="811"/>
      <c r="M11" s="811"/>
      <c r="N11" s="811"/>
      <c r="O11" s="811"/>
      <c r="P11" s="811"/>
      <c r="Q11" s="811"/>
    </row>
    <row r="12" spans="1:17" ht="12.75" customHeight="1">
      <c r="A12" s="799"/>
      <c r="B12" s="284" t="s">
        <v>224</v>
      </c>
      <c r="C12" s="811"/>
      <c r="D12" s="811"/>
      <c r="E12" s="811"/>
      <c r="F12" s="811"/>
      <c r="G12" s="811"/>
      <c r="H12" s="811"/>
      <c r="I12" s="811"/>
      <c r="J12" s="811"/>
      <c r="K12" s="811"/>
      <c r="L12" s="811"/>
      <c r="M12" s="811"/>
      <c r="N12" s="811"/>
      <c r="O12" s="811"/>
      <c r="P12" s="811"/>
      <c r="Q12" s="811"/>
    </row>
    <row r="13" spans="1:17" ht="12.75" customHeight="1">
      <c r="A13" s="799"/>
      <c r="B13" s="284" t="s">
        <v>225</v>
      </c>
      <c r="C13" s="811"/>
      <c r="D13" s="811"/>
      <c r="E13" s="811"/>
      <c r="F13" s="811"/>
      <c r="G13" s="811"/>
      <c r="H13" s="811"/>
      <c r="I13" s="811"/>
      <c r="J13" s="811"/>
      <c r="K13" s="811"/>
      <c r="L13" s="811"/>
      <c r="M13" s="811"/>
      <c r="N13" s="811"/>
      <c r="O13" s="811"/>
      <c r="P13" s="811"/>
      <c r="Q13" s="811"/>
    </row>
    <row r="14" spans="1:17" ht="68.25" customHeight="1">
      <c r="A14" s="799"/>
      <c r="B14" s="285" t="s">
        <v>226</v>
      </c>
      <c r="C14" s="811" t="s">
        <v>867</v>
      </c>
      <c r="D14" s="811"/>
      <c r="E14" s="811"/>
      <c r="F14" s="811"/>
      <c r="G14" s="811"/>
      <c r="H14" s="811"/>
      <c r="I14" s="811"/>
      <c r="J14" s="811"/>
      <c r="K14" s="811"/>
      <c r="L14" s="811"/>
      <c r="M14" s="811"/>
      <c r="N14" s="811"/>
      <c r="O14" s="811"/>
      <c r="P14" s="811"/>
      <c r="Q14" s="811"/>
    </row>
    <row r="15" spans="1:17" ht="12.75">
      <c r="A15" s="799"/>
      <c r="B15" s="134" t="s">
        <v>227</v>
      </c>
      <c r="C15" s="133"/>
      <c r="D15" s="234" t="s">
        <v>50</v>
      </c>
      <c r="E15" s="511">
        <f>SUM(E18:E21)</f>
        <v>3506276</v>
      </c>
      <c r="F15" s="511">
        <f aca="true" t="shared" si="1" ref="F15:Q15">SUM(F18:F21)</f>
        <v>1761104</v>
      </c>
      <c r="G15" s="511">
        <f t="shared" si="1"/>
        <v>1745172</v>
      </c>
      <c r="H15" s="511">
        <f t="shared" si="1"/>
        <v>3506276</v>
      </c>
      <c r="I15" s="511">
        <f t="shared" si="1"/>
        <v>1761104</v>
      </c>
      <c r="J15" s="511">
        <f t="shared" si="1"/>
        <v>0</v>
      </c>
      <c r="K15" s="511">
        <f t="shared" si="1"/>
        <v>0</v>
      </c>
      <c r="L15" s="117">
        <f t="shared" si="1"/>
        <v>1761104</v>
      </c>
      <c r="M15" s="117">
        <f t="shared" si="1"/>
        <v>1745172</v>
      </c>
      <c r="N15" s="117">
        <f t="shared" si="1"/>
        <v>0</v>
      </c>
      <c r="O15" s="117">
        <f t="shared" si="1"/>
        <v>0</v>
      </c>
      <c r="P15" s="117">
        <f t="shared" si="1"/>
        <v>0</v>
      </c>
      <c r="Q15" s="511">
        <f t="shared" si="1"/>
        <v>1745172</v>
      </c>
    </row>
    <row r="16" spans="1:17" ht="12.75">
      <c r="A16" s="799"/>
      <c r="B16" s="134"/>
      <c r="C16" s="133"/>
      <c r="D16" s="134"/>
      <c r="E16" s="140">
        <f aca="true" t="shared" si="2" ref="E16:E21">SUM(F16:G16)</f>
        <v>0</v>
      </c>
      <c r="F16" s="135">
        <f>I16</f>
        <v>0</v>
      </c>
      <c r="G16" s="135"/>
      <c r="H16" s="133">
        <f aca="true" t="shared" si="3" ref="H16:H21">I16+M16</f>
        <v>0</v>
      </c>
      <c r="I16" s="133">
        <f aca="true" t="shared" si="4" ref="I16:I21">SUM(J16:L16)</f>
        <v>0</v>
      </c>
      <c r="J16" s="133"/>
      <c r="K16" s="133"/>
      <c r="L16" s="135"/>
      <c r="M16" s="133">
        <f>SUM(N16:Q16)</f>
        <v>0</v>
      </c>
      <c r="N16" s="133"/>
      <c r="O16" s="133"/>
      <c r="P16" s="133"/>
      <c r="Q16" s="135"/>
    </row>
    <row r="17" spans="1:17" ht="12.75">
      <c r="A17" s="799"/>
      <c r="B17" s="134"/>
      <c r="C17" s="133"/>
      <c r="D17" s="134"/>
      <c r="E17" s="140">
        <f t="shared" si="2"/>
        <v>0</v>
      </c>
      <c r="F17" s="135">
        <f>I17</f>
        <v>0</v>
      </c>
      <c r="G17" s="135"/>
      <c r="H17" s="133">
        <f t="shared" si="3"/>
        <v>0</v>
      </c>
      <c r="I17" s="133">
        <f t="shared" si="4"/>
        <v>0</v>
      </c>
      <c r="J17" s="133"/>
      <c r="K17" s="133"/>
      <c r="L17" s="135"/>
      <c r="M17" s="133">
        <f>SUM(N17:Q17)</f>
        <v>0</v>
      </c>
      <c r="N17" s="133"/>
      <c r="O17" s="133"/>
      <c r="P17" s="133"/>
      <c r="Q17" s="135"/>
    </row>
    <row r="18" spans="1:17" s="672" customFormat="1" ht="12.75">
      <c r="A18" s="799"/>
      <c r="B18" s="667" t="s">
        <v>816</v>
      </c>
      <c r="C18" s="668"/>
      <c r="D18" s="668"/>
      <c r="E18" s="669">
        <f t="shared" si="2"/>
        <v>3506276</v>
      </c>
      <c r="F18" s="135">
        <f>I18</f>
        <v>1761104</v>
      </c>
      <c r="G18" s="670">
        <f>M18</f>
        <v>1745172</v>
      </c>
      <c r="H18" s="671">
        <f t="shared" si="3"/>
        <v>3506276</v>
      </c>
      <c r="I18" s="671">
        <f t="shared" si="4"/>
        <v>1761104</v>
      </c>
      <c r="J18" s="668">
        <f>SUM(J16:J17)</f>
        <v>0</v>
      </c>
      <c r="K18" s="668">
        <f>SUM(K16:K17)</f>
        <v>0</v>
      </c>
      <c r="L18" s="719">
        <v>1761104</v>
      </c>
      <c r="M18" s="671">
        <f>SUM(N18:Q18)</f>
        <v>1745172</v>
      </c>
      <c r="N18" s="668">
        <f>SUM(N16:N17)</f>
        <v>0</v>
      </c>
      <c r="O18" s="668">
        <f>SUM(O16:O17)</f>
        <v>0</v>
      </c>
      <c r="P18" s="668">
        <f>SUM(P16:P17)</f>
        <v>0</v>
      </c>
      <c r="Q18" s="719">
        <v>1745172</v>
      </c>
    </row>
    <row r="19" spans="1:17" ht="11.25">
      <c r="A19" s="799"/>
      <c r="B19" s="134" t="s">
        <v>817</v>
      </c>
      <c r="C19" s="136"/>
      <c r="D19" s="136">
        <v>6059</v>
      </c>
      <c r="E19" s="511">
        <f>SUM(F19:G19)</f>
        <v>0</v>
      </c>
      <c r="F19" s="135">
        <f>I19</f>
        <v>0</v>
      </c>
      <c r="G19" s="135">
        <f>M19</f>
        <v>0</v>
      </c>
      <c r="H19" s="133">
        <f t="shared" si="3"/>
        <v>0</v>
      </c>
      <c r="I19" s="133">
        <f t="shared" si="4"/>
        <v>0</v>
      </c>
      <c r="J19" s="136"/>
      <c r="K19" s="136"/>
      <c r="L19" s="136"/>
      <c r="M19" s="136"/>
      <c r="N19" s="136"/>
      <c r="O19" s="136"/>
      <c r="P19" s="136"/>
      <c r="Q19" s="136"/>
    </row>
    <row r="20" spans="1:17" ht="11.25">
      <c r="A20" s="799"/>
      <c r="B20" s="134" t="s">
        <v>818</v>
      </c>
      <c r="C20" s="136"/>
      <c r="D20" s="136"/>
      <c r="E20" s="511">
        <f t="shared" si="2"/>
        <v>0</v>
      </c>
      <c r="F20" s="135">
        <f>I20</f>
        <v>0</v>
      </c>
      <c r="G20" s="135">
        <f>M20</f>
        <v>0</v>
      </c>
      <c r="H20" s="133">
        <f t="shared" si="3"/>
        <v>0</v>
      </c>
      <c r="I20" s="133">
        <f t="shared" si="4"/>
        <v>0</v>
      </c>
      <c r="J20" s="136"/>
      <c r="K20" s="133"/>
      <c r="L20" s="135"/>
      <c r="M20" s="250">
        <f>Q20</f>
        <v>0</v>
      </c>
      <c r="N20" s="133"/>
      <c r="O20" s="136"/>
      <c r="P20" s="136"/>
      <c r="Q20" s="135"/>
    </row>
    <row r="21" spans="1:17" ht="11.25">
      <c r="A21" s="799"/>
      <c r="B21" s="134"/>
      <c r="C21" s="136"/>
      <c r="D21" s="136"/>
      <c r="E21" s="511">
        <f t="shared" si="2"/>
        <v>0</v>
      </c>
      <c r="F21" s="135"/>
      <c r="G21" s="135"/>
      <c r="H21" s="133">
        <f t="shared" si="3"/>
        <v>0</v>
      </c>
      <c r="I21" s="133">
        <f t="shared" si="4"/>
        <v>0</v>
      </c>
      <c r="J21" s="136"/>
      <c r="K21" s="133"/>
      <c r="L21" s="136"/>
      <c r="M21" s="136"/>
      <c r="N21" s="133"/>
      <c r="O21" s="136"/>
      <c r="P21" s="136"/>
      <c r="Q21" s="136"/>
    </row>
    <row r="22" spans="1:17" ht="40.5" customHeight="1">
      <c r="A22" s="268" t="s">
        <v>228</v>
      </c>
      <c r="B22" s="285" t="s">
        <v>226</v>
      </c>
      <c r="C22" s="811" t="s">
        <v>838</v>
      </c>
      <c r="D22" s="811"/>
      <c r="E22" s="811"/>
      <c r="F22" s="811"/>
      <c r="G22" s="811"/>
      <c r="H22" s="811"/>
      <c r="I22" s="811"/>
      <c r="J22" s="811"/>
      <c r="K22" s="811"/>
      <c r="L22" s="811"/>
      <c r="M22" s="811"/>
      <c r="N22" s="811"/>
      <c r="O22" s="811"/>
      <c r="P22" s="811"/>
      <c r="Q22" s="811"/>
    </row>
    <row r="23" spans="1:17" ht="11.25">
      <c r="A23" s="268"/>
      <c r="B23" s="134" t="s">
        <v>227</v>
      </c>
      <c r="C23" s="133"/>
      <c r="D23" s="234" t="s">
        <v>50</v>
      </c>
      <c r="E23" s="511">
        <f>SUM(E24:E30)-E25</f>
        <v>15639362</v>
      </c>
      <c r="F23" s="511">
        <f aca="true" t="shared" si="5" ref="F23:Q23">SUM(F24:F30)-F25</f>
        <v>6681652</v>
      </c>
      <c r="G23" s="511">
        <f t="shared" si="5"/>
        <v>8957710</v>
      </c>
      <c r="H23" s="511">
        <f t="shared" si="5"/>
        <v>15639362</v>
      </c>
      <c r="I23" s="511">
        <f t="shared" si="5"/>
        <v>6255745</v>
      </c>
      <c r="J23" s="511">
        <f t="shared" si="5"/>
        <v>0</v>
      </c>
      <c r="K23" s="511">
        <f t="shared" si="5"/>
        <v>0</v>
      </c>
      <c r="L23" s="511">
        <f t="shared" si="5"/>
        <v>6255745</v>
      </c>
      <c r="M23" s="511">
        <f t="shared" si="5"/>
        <v>9383617</v>
      </c>
      <c r="N23" s="511">
        <f t="shared" si="5"/>
        <v>0</v>
      </c>
      <c r="O23" s="511">
        <f t="shared" si="5"/>
        <v>0</v>
      </c>
      <c r="P23" s="511">
        <f t="shared" si="5"/>
        <v>0</v>
      </c>
      <c r="Q23" s="511">
        <f t="shared" si="5"/>
        <v>9383617</v>
      </c>
    </row>
    <row r="24" spans="1:17" ht="12.75">
      <c r="A24" s="268"/>
      <c r="B24" s="134" t="s">
        <v>513</v>
      </c>
      <c r="C24" s="133"/>
      <c r="D24" s="134"/>
      <c r="E24" s="140">
        <f aca="true" t="shared" si="6" ref="E24:E30">SUM(F24:G24)</f>
        <v>74041</v>
      </c>
      <c r="F24" s="135">
        <f>L24</f>
        <v>29616</v>
      </c>
      <c r="G24" s="135">
        <f>Q24</f>
        <v>44425</v>
      </c>
      <c r="H24" s="133">
        <f aca="true" t="shared" si="7" ref="H24:H30">I24+M24</f>
        <v>74041</v>
      </c>
      <c r="I24" s="133">
        <f aca="true" t="shared" si="8" ref="I24:I30">SUM(J24:L24)</f>
        <v>29616</v>
      </c>
      <c r="J24" s="133"/>
      <c r="K24" s="133"/>
      <c r="L24" s="135">
        <v>29616</v>
      </c>
      <c r="M24" s="133">
        <f aca="true" t="shared" si="9" ref="M24:M29">SUM(N24:Q24)</f>
        <v>44425</v>
      </c>
      <c r="N24" s="133"/>
      <c r="O24" s="133"/>
      <c r="P24" s="133"/>
      <c r="Q24" s="135">
        <v>44425</v>
      </c>
    </row>
    <row r="25" spans="1:17" s="402" customFormat="1" ht="23.25" customHeight="1">
      <c r="A25" s="396"/>
      <c r="B25" s="397">
        <v>2010</v>
      </c>
      <c r="C25" s="398"/>
      <c r="D25" s="398"/>
      <c r="E25" s="399">
        <f t="shared" si="6"/>
        <v>2129535</v>
      </c>
      <c r="F25" s="400">
        <f>F27</f>
        <v>1277721</v>
      </c>
      <c r="G25" s="400">
        <f>SUM(G26:G27)</f>
        <v>851814</v>
      </c>
      <c r="H25" s="401">
        <f t="shared" si="7"/>
        <v>2129535</v>
      </c>
      <c r="I25" s="401">
        <f t="shared" si="8"/>
        <v>851814</v>
      </c>
      <c r="J25" s="400">
        <f>SUM(J26:J27)</f>
        <v>0</v>
      </c>
      <c r="K25" s="400">
        <f>SUM(K26:K27)</f>
        <v>0</v>
      </c>
      <c r="L25" s="400">
        <f>SUM(L26:L27)</f>
        <v>851814</v>
      </c>
      <c r="M25" s="401">
        <f t="shared" si="9"/>
        <v>1277721</v>
      </c>
      <c r="N25" s="400">
        <f>SUM(N26:N27)</f>
        <v>0</v>
      </c>
      <c r="O25" s="400">
        <f>SUM(O26:O27)</f>
        <v>0</v>
      </c>
      <c r="P25" s="400">
        <f>SUM(P26:P27)</f>
        <v>0</v>
      </c>
      <c r="Q25" s="400">
        <f>SUM(Q26:Q27)</f>
        <v>1277721</v>
      </c>
    </row>
    <row r="26" spans="1:17" s="402" customFormat="1" ht="12.75">
      <c r="A26" s="396"/>
      <c r="B26" s="673"/>
      <c r="C26" s="398"/>
      <c r="D26" s="398"/>
      <c r="E26" s="399">
        <f t="shared" si="6"/>
        <v>851814</v>
      </c>
      <c r="F26" s="400"/>
      <c r="G26" s="400">
        <f>H26</f>
        <v>851814</v>
      </c>
      <c r="H26" s="401">
        <f t="shared" si="7"/>
        <v>851814</v>
      </c>
      <c r="I26" s="401">
        <f t="shared" si="8"/>
        <v>851814</v>
      </c>
      <c r="J26" s="400">
        <f>SUM(J27:J29)</f>
        <v>0</v>
      </c>
      <c r="K26" s="400">
        <f>SUM(K27:K29)</f>
        <v>0</v>
      </c>
      <c r="L26" s="403">
        <v>851814</v>
      </c>
      <c r="M26" s="401">
        <f t="shared" si="9"/>
        <v>0</v>
      </c>
      <c r="N26" s="400">
        <f>SUM(N27:N29)</f>
        <v>0</v>
      </c>
      <c r="O26" s="400">
        <f>SUM(O27:O29)</f>
        <v>0</v>
      </c>
      <c r="P26" s="400">
        <f>SUM(P27:P29)</f>
        <v>0</v>
      </c>
      <c r="Q26" s="403"/>
    </row>
    <row r="27" spans="1:17" s="402" customFormat="1" ht="12.75">
      <c r="A27" s="396"/>
      <c r="B27" s="397"/>
      <c r="C27" s="398"/>
      <c r="D27" s="398"/>
      <c r="E27" s="399">
        <f t="shared" si="6"/>
        <v>1277721</v>
      </c>
      <c r="F27" s="400">
        <f>H27</f>
        <v>1277721</v>
      </c>
      <c r="G27" s="400"/>
      <c r="H27" s="401">
        <f t="shared" si="7"/>
        <v>1277721</v>
      </c>
      <c r="I27" s="401">
        <f t="shared" si="8"/>
        <v>0</v>
      </c>
      <c r="J27" s="398"/>
      <c r="K27" s="398"/>
      <c r="L27" s="403"/>
      <c r="M27" s="401">
        <f t="shared" si="9"/>
        <v>1277721</v>
      </c>
      <c r="N27" s="398"/>
      <c r="O27" s="398"/>
      <c r="P27" s="398"/>
      <c r="Q27" s="403">
        <v>1277721</v>
      </c>
    </row>
    <row r="28" spans="1:17" s="402" customFormat="1" ht="12" customHeight="1">
      <c r="A28" s="396"/>
      <c r="B28" s="397">
        <v>2011</v>
      </c>
      <c r="C28" s="398"/>
      <c r="D28" s="398"/>
      <c r="E28" s="591">
        <f>SUM(F28:G28)</f>
        <v>6747829</v>
      </c>
      <c r="F28" s="400">
        <f>L28</f>
        <v>2699132</v>
      </c>
      <c r="G28" s="400">
        <f>M28</f>
        <v>4048697</v>
      </c>
      <c r="H28" s="401">
        <f>I28+M28</f>
        <v>6747829</v>
      </c>
      <c r="I28" s="401">
        <f>SUM(J28:L28)</f>
        <v>2699132</v>
      </c>
      <c r="J28" s="398"/>
      <c r="K28" s="398"/>
      <c r="L28" s="398">
        <v>2699132</v>
      </c>
      <c r="M28" s="401">
        <f t="shared" si="9"/>
        <v>4048697</v>
      </c>
      <c r="N28" s="398"/>
      <c r="O28" s="398"/>
      <c r="P28" s="398"/>
      <c r="Q28" s="398">
        <v>4048697</v>
      </c>
    </row>
    <row r="29" spans="1:17" s="402" customFormat="1" ht="12" customHeight="1">
      <c r="A29" s="396"/>
      <c r="B29" s="397">
        <v>2012</v>
      </c>
      <c r="C29" s="398"/>
      <c r="D29" s="398"/>
      <c r="E29" s="591">
        <f>SUM(F29:G29)</f>
        <v>6687957</v>
      </c>
      <c r="F29" s="400">
        <f>L29</f>
        <v>2675183</v>
      </c>
      <c r="G29" s="400">
        <f>M29</f>
        <v>4012774</v>
      </c>
      <c r="H29" s="401">
        <f t="shared" si="7"/>
        <v>6687957</v>
      </c>
      <c r="I29" s="401">
        <f t="shared" si="8"/>
        <v>2675183</v>
      </c>
      <c r="J29" s="398"/>
      <c r="K29" s="398"/>
      <c r="L29" s="398">
        <v>2675183</v>
      </c>
      <c r="M29" s="401">
        <f t="shared" si="9"/>
        <v>4012774</v>
      </c>
      <c r="N29" s="398"/>
      <c r="O29" s="398"/>
      <c r="P29" s="398"/>
      <c r="Q29" s="398">
        <v>4012774</v>
      </c>
    </row>
    <row r="30" spans="1:17" s="402" customFormat="1" ht="11.25">
      <c r="A30" s="396"/>
      <c r="B30" s="397"/>
      <c r="C30" s="398"/>
      <c r="D30" s="398"/>
      <c r="E30" s="591">
        <f t="shared" si="6"/>
        <v>0</v>
      </c>
      <c r="F30" s="400"/>
      <c r="G30" s="400"/>
      <c r="H30" s="401">
        <f t="shared" si="7"/>
        <v>0</v>
      </c>
      <c r="I30" s="401">
        <f t="shared" si="8"/>
        <v>0</v>
      </c>
      <c r="J30" s="398"/>
      <c r="K30" s="401"/>
      <c r="L30" s="398"/>
      <c r="M30" s="401"/>
      <c r="N30" s="401"/>
      <c r="O30" s="398"/>
      <c r="P30" s="398"/>
      <c r="Q30" s="398"/>
    </row>
    <row r="31" spans="1:17" ht="40.5" customHeight="1">
      <c r="A31" s="268"/>
      <c r="B31" s="285" t="s">
        <v>226</v>
      </c>
      <c r="C31" s="811" t="s">
        <v>840</v>
      </c>
      <c r="D31" s="811"/>
      <c r="E31" s="811"/>
      <c r="F31" s="811"/>
      <c r="G31" s="811"/>
      <c r="H31" s="811"/>
      <c r="I31" s="811"/>
      <c r="J31" s="811"/>
      <c r="K31" s="811"/>
      <c r="L31" s="811"/>
      <c r="M31" s="811"/>
      <c r="N31" s="811"/>
      <c r="O31" s="811"/>
      <c r="P31" s="811"/>
      <c r="Q31" s="811"/>
    </row>
    <row r="32" spans="1:17" ht="11.25">
      <c r="A32" s="268" t="s">
        <v>229</v>
      </c>
      <c r="B32" s="134" t="s">
        <v>227</v>
      </c>
      <c r="C32" s="133"/>
      <c r="D32" s="234" t="s">
        <v>50</v>
      </c>
      <c r="E32" s="511">
        <f>SUM(E33:E39)-E34</f>
        <v>6009242</v>
      </c>
      <c r="F32" s="511">
        <f aca="true" t="shared" si="10" ref="F32:Q32">SUM(F33:F39)-F34</f>
        <v>2576197</v>
      </c>
      <c r="G32" s="511">
        <f t="shared" si="10"/>
        <v>3433045</v>
      </c>
      <c r="H32" s="511">
        <f t="shared" si="10"/>
        <v>6009242</v>
      </c>
      <c r="I32" s="511">
        <f t="shared" si="10"/>
        <v>2403697</v>
      </c>
      <c r="J32" s="511">
        <f t="shared" si="10"/>
        <v>0</v>
      </c>
      <c r="K32" s="511">
        <f t="shared" si="10"/>
        <v>0</v>
      </c>
      <c r="L32" s="511">
        <f t="shared" si="10"/>
        <v>2403697</v>
      </c>
      <c r="M32" s="511">
        <f t="shared" si="10"/>
        <v>3605545</v>
      </c>
      <c r="N32" s="511">
        <f t="shared" si="10"/>
        <v>0</v>
      </c>
      <c r="O32" s="511">
        <f t="shared" si="10"/>
        <v>0</v>
      </c>
      <c r="P32" s="511">
        <f t="shared" si="10"/>
        <v>0</v>
      </c>
      <c r="Q32" s="511">
        <f t="shared" si="10"/>
        <v>3605545</v>
      </c>
    </row>
    <row r="33" spans="1:17" ht="12.75">
      <c r="A33" s="268"/>
      <c r="B33" s="134" t="s">
        <v>513</v>
      </c>
      <c r="C33" s="133"/>
      <c r="D33" s="134"/>
      <c r="E33" s="140">
        <f aca="true" t="shared" si="11" ref="E33:E38">SUM(F33:G33)</f>
        <v>33892</v>
      </c>
      <c r="F33" s="135">
        <f>L33</f>
        <v>13557</v>
      </c>
      <c r="G33" s="135">
        <f>Q33</f>
        <v>20335</v>
      </c>
      <c r="H33" s="133">
        <f aca="true" t="shared" si="12" ref="H33:H38">I33+M33</f>
        <v>33892</v>
      </c>
      <c r="I33" s="133">
        <f aca="true" t="shared" si="13" ref="I33:I38">SUM(J33:L33)</f>
        <v>13557</v>
      </c>
      <c r="J33" s="133"/>
      <c r="K33" s="133"/>
      <c r="L33" s="135">
        <v>13557</v>
      </c>
      <c r="M33" s="133">
        <f aca="true" t="shared" si="14" ref="M33:M38">SUM(N33:Q33)</f>
        <v>20335</v>
      </c>
      <c r="N33" s="133"/>
      <c r="O33" s="133"/>
      <c r="P33" s="133"/>
      <c r="Q33" s="135">
        <v>20335</v>
      </c>
    </row>
    <row r="34" spans="1:17" s="402" customFormat="1" ht="23.25" customHeight="1">
      <c r="A34" s="396"/>
      <c r="B34" s="397">
        <v>2010</v>
      </c>
      <c r="C34" s="398"/>
      <c r="D34" s="398"/>
      <c r="E34" s="399">
        <f t="shared" si="11"/>
        <v>862500</v>
      </c>
      <c r="F34" s="400">
        <f>F36</f>
        <v>517500</v>
      </c>
      <c r="G34" s="400">
        <f>SUM(G35:G36)</f>
        <v>345000</v>
      </c>
      <c r="H34" s="401">
        <f t="shared" si="12"/>
        <v>862500</v>
      </c>
      <c r="I34" s="401">
        <f t="shared" si="13"/>
        <v>345000</v>
      </c>
      <c r="J34" s="400">
        <f>SUM(J35:J36)</f>
        <v>0</v>
      </c>
      <c r="K34" s="400">
        <f>SUM(K35:K36)</f>
        <v>0</v>
      </c>
      <c r="L34" s="400">
        <f>SUM(L35:L36)</f>
        <v>345000</v>
      </c>
      <c r="M34" s="401">
        <f t="shared" si="14"/>
        <v>517500</v>
      </c>
      <c r="N34" s="400">
        <f>SUM(N35:N36)</f>
        <v>0</v>
      </c>
      <c r="O34" s="400">
        <f>SUM(O35:O36)</f>
        <v>0</v>
      </c>
      <c r="P34" s="400">
        <f>SUM(P35:P36)</f>
        <v>0</v>
      </c>
      <c r="Q34" s="400">
        <f>SUM(Q35:Q36)</f>
        <v>517500</v>
      </c>
    </row>
    <row r="35" spans="1:17" s="402" customFormat="1" ht="12.75">
      <c r="A35" s="396"/>
      <c r="B35" s="673"/>
      <c r="C35" s="398"/>
      <c r="D35" s="398"/>
      <c r="E35" s="399">
        <f t="shared" si="11"/>
        <v>345000</v>
      </c>
      <c r="F35" s="400"/>
      <c r="G35" s="400">
        <f>H35</f>
        <v>345000</v>
      </c>
      <c r="H35" s="401">
        <f t="shared" si="12"/>
        <v>345000</v>
      </c>
      <c r="I35" s="401">
        <f t="shared" si="13"/>
        <v>345000</v>
      </c>
      <c r="J35" s="400">
        <f>SUM(J36:J38)</f>
        <v>0</v>
      </c>
      <c r="K35" s="400">
        <f>SUM(K36:K38)</f>
        <v>0</v>
      </c>
      <c r="L35" s="403">
        <v>345000</v>
      </c>
      <c r="M35" s="401">
        <f t="shared" si="14"/>
        <v>0</v>
      </c>
      <c r="N35" s="400">
        <f>SUM(N36:N38)</f>
        <v>0</v>
      </c>
      <c r="O35" s="400">
        <f>SUM(O36:O38)</f>
        <v>0</v>
      </c>
      <c r="P35" s="400">
        <f>SUM(P36:P38)</f>
        <v>0</v>
      </c>
      <c r="Q35" s="403"/>
    </row>
    <row r="36" spans="1:17" s="402" customFormat="1" ht="12.75">
      <c r="A36" s="396"/>
      <c r="B36" s="397"/>
      <c r="C36" s="398"/>
      <c r="D36" s="398"/>
      <c r="E36" s="399">
        <f t="shared" si="11"/>
        <v>517500</v>
      </c>
      <c r="F36" s="400">
        <f>H36</f>
        <v>517500</v>
      </c>
      <c r="G36" s="400"/>
      <c r="H36" s="401">
        <f t="shared" si="12"/>
        <v>517500</v>
      </c>
      <c r="I36" s="401">
        <f t="shared" si="13"/>
        <v>0</v>
      </c>
      <c r="J36" s="398"/>
      <c r="K36" s="398"/>
      <c r="L36" s="403"/>
      <c r="M36" s="401">
        <f t="shared" si="14"/>
        <v>517500</v>
      </c>
      <c r="N36" s="398"/>
      <c r="O36" s="398"/>
      <c r="P36" s="398"/>
      <c r="Q36" s="403">
        <v>517500</v>
      </c>
    </row>
    <row r="37" spans="1:17" s="402" customFormat="1" ht="12" customHeight="1">
      <c r="A37" s="396"/>
      <c r="B37" s="397">
        <v>2011</v>
      </c>
      <c r="C37" s="398"/>
      <c r="D37" s="398"/>
      <c r="E37" s="591">
        <f t="shared" si="11"/>
        <v>5111803</v>
      </c>
      <c r="F37" s="400">
        <f>L37</f>
        <v>2044721</v>
      </c>
      <c r="G37" s="400">
        <f>M37</f>
        <v>3067082</v>
      </c>
      <c r="H37" s="401">
        <f t="shared" si="12"/>
        <v>5111803</v>
      </c>
      <c r="I37" s="401">
        <f t="shared" si="13"/>
        <v>2044721</v>
      </c>
      <c r="J37" s="398"/>
      <c r="K37" s="398"/>
      <c r="L37" s="398">
        <v>2044721</v>
      </c>
      <c r="M37" s="401">
        <f t="shared" si="14"/>
        <v>3067082</v>
      </c>
      <c r="N37" s="398"/>
      <c r="O37" s="398"/>
      <c r="P37" s="398"/>
      <c r="Q37" s="398">
        <v>3067082</v>
      </c>
    </row>
    <row r="38" spans="1:17" s="402" customFormat="1" ht="12" customHeight="1">
      <c r="A38" s="396"/>
      <c r="B38" s="397">
        <v>2012</v>
      </c>
      <c r="C38" s="398"/>
      <c r="D38" s="398"/>
      <c r="E38" s="591">
        <f t="shared" si="11"/>
        <v>1047</v>
      </c>
      <c r="F38" s="400">
        <f>L38</f>
        <v>419</v>
      </c>
      <c r="G38" s="400">
        <f>M38</f>
        <v>628</v>
      </c>
      <c r="H38" s="401">
        <f t="shared" si="12"/>
        <v>1047</v>
      </c>
      <c r="I38" s="401">
        <f t="shared" si="13"/>
        <v>419</v>
      </c>
      <c r="J38" s="398"/>
      <c r="K38" s="398"/>
      <c r="L38" s="398">
        <v>419</v>
      </c>
      <c r="M38" s="401">
        <f t="shared" si="14"/>
        <v>628</v>
      </c>
      <c r="N38" s="398"/>
      <c r="O38" s="398"/>
      <c r="P38" s="398"/>
      <c r="Q38" s="398">
        <v>628</v>
      </c>
    </row>
    <row r="39" spans="1:17" ht="40.5" customHeight="1">
      <c r="A39" s="268"/>
      <c r="B39" s="285" t="s">
        <v>226</v>
      </c>
      <c r="C39" s="811" t="s">
        <v>841</v>
      </c>
      <c r="D39" s="811"/>
      <c r="E39" s="811"/>
      <c r="F39" s="811"/>
      <c r="G39" s="811"/>
      <c r="H39" s="811"/>
      <c r="I39" s="811"/>
      <c r="J39" s="811"/>
      <c r="K39" s="811"/>
      <c r="L39" s="811"/>
      <c r="M39" s="811"/>
      <c r="N39" s="811"/>
      <c r="O39" s="811"/>
      <c r="P39" s="811"/>
      <c r="Q39" s="811"/>
    </row>
    <row r="40" spans="1:17" ht="11.25">
      <c r="A40" s="268" t="s">
        <v>269</v>
      </c>
      <c r="B40" s="134" t="s">
        <v>227</v>
      </c>
      <c r="C40" s="133"/>
      <c r="D40" s="234" t="s">
        <v>50</v>
      </c>
      <c r="E40" s="511">
        <f aca="true" t="shared" si="15" ref="E40:Q40">SUM(E41:E46)-E42</f>
        <v>8348048</v>
      </c>
      <c r="F40" s="511">
        <f t="shared" si="15"/>
        <v>5027551</v>
      </c>
      <c r="G40" s="511">
        <f t="shared" si="15"/>
        <v>3320497</v>
      </c>
      <c r="H40" s="511">
        <f t="shared" si="15"/>
        <v>8348048</v>
      </c>
      <c r="I40" s="511">
        <f t="shared" si="15"/>
        <v>3339219</v>
      </c>
      <c r="J40" s="511">
        <f t="shared" si="15"/>
        <v>0</v>
      </c>
      <c r="K40" s="511">
        <f t="shared" si="15"/>
        <v>0</v>
      </c>
      <c r="L40" s="511">
        <f t="shared" si="15"/>
        <v>3339219</v>
      </c>
      <c r="M40" s="511">
        <f t="shared" si="15"/>
        <v>5008829</v>
      </c>
      <c r="N40" s="511">
        <f t="shared" si="15"/>
        <v>0</v>
      </c>
      <c r="O40" s="511">
        <f t="shared" si="15"/>
        <v>0</v>
      </c>
      <c r="P40" s="511">
        <f t="shared" si="15"/>
        <v>0</v>
      </c>
      <c r="Q40" s="511">
        <f t="shared" si="15"/>
        <v>5008829</v>
      </c>
    </row>
    <row r="41" spans="1:17" ht="12.75">
      <c r="A41" s="268"/>
      <c r="B41" s="134" t="s">
        <v>513</v>
      </c>
      <c r="C41" s="133"/>
      <c r="D41" s="134"/>
      <c r="E41" s="140">
        <f aca="true" t="shared" si="16" ref="E41:E46">SUM(F41:G41)</f>
        <v>373766</v>
      </c>
      <c r="F41" s="135">
        <f>L41</f>
        <v>149506</v>
      </c>
      <c r="G41" s="135">
        <f>Q41</f>
        <v>224260</v>
      </c>
      <c r="H41" s="133">
        <f aca="true" t="shared" si="17" ref="H41:H46">I41+M41</f>
        <v>373766</v>
      </c>
      <c r="I41" s="133">
        <f aca="true" t="shared" si="18" ref="I41:I46">SUM(J41:L41)</f>
        <v>149506</v>
      </c>
      <c r="J41" s="133"/>
      <c r="K41" s="133"/>
      <c r="L41" s="135">
        <v>149506</v>
      </c>
      <c r="M41" s="133">
        <f aca="true" t="shared" si="19" ref="M41:M46">SUM(N41:Q41)</f>
        <v>224260</v>
      </c>
      <c r="N41" s="133"/>
      <c r="O41" s="133"/>
      <c r="P41" s="133"/>
      <c r="Q41" s="135">
        <v>224260</v>
      </c>
    </row>
    <row r="42" spans="1:17" s="402" customFormat="1" ht="23.25" customHeight="1">
      <c r="A42" s="396"/>
      <c r="B42" s="397">
        <v>2010</v>
      </c>
      <c r="C42" s="398"/>
      <c r="D42" s="398"/>
      <c r="E42" s="399">
        <f t="shared" si="16"/>
        <v>2453354</v>
      </c>
      <c r="F42" s="400">
        <f>F44</f>
        <v>2070843</v>
      </c>
      <c r="G42" s="400">
        <f>SUM(G43:G44)</f>
        <v>382511</v>
      </c>
      <c r="H42" s="401">
        <f t="shared" si="17"/>
        <v>2453354</v>
      </c>
      <c r="I42" s="401">
        <f t="shared" si="18"/>
        <v>382511</v>
      </c>
      <c r="J42" s="400">
        <f>SUM(J43:J44)</f>
        <v>0</v>
      </c>
      <c r="K42" s="400">
        <f>SUM(K43:K44)</f>
        <v>0</v>
      </c>
      <c r="L42" s="400">
        <f>SUM(L43:L44)</f>
        <v>382511</v>
      </c>
      <c r="M42" s="401">
        <f t="shared" si="19"/>
        <v>2070843</v>
      </c>
      <c r="N42" s="400">
        <f>SUM(N43:N44)</f>
        <v>0</v>
      </c>
      <c r="O42" s="400">
        <f>SUM(O43:O44)</f>
        <v>0</v>
      </c>
      <c r="P42" s="400">
        <f>SUM(P43:P44)</f>
        <v>0</v>
      </c>
      <c r="Q42" s="400">
        <f>SUM(Q43:Q44)</f>
        <v>2070843</v>
      </c>
    </row>
    <row r="43" spans="1:17" s="402" customFormat="1" ht="56.25">
      <c r="A43" s="396"/>
      <c r="B43" s="673" t="s">
        <v>839</v>
      </c>
      <c r="C43" s="398"/>
      <c r="D43" s="398">
        <v>6058</v>
      </c>
      <c r="E43" s="399">
        <f t="shared" si="16"/>
        <v>382511</v>
      </c>
      <c r="F43" s="400"/>
      <c r="G43" s="400">
        <f>H43</f>
        <v>382511</v>
      </c>
      <c r="H43" s="401">
        <f t="shared" si="17"/>
        <v>382511</v>
      </c>
      <c r="I43" s="401">
        <f t="shared" si="18"/>
        <v>382511</v>
      </c>
      <c r="J43" s="400">
        <f>SUM(J44:J46)</f>
        <v>0</v>
      </c>
      <c r="K43" s="400">
        <f>SUM(K44:K46)</f>
        <v>0</v>
      </c>
      <c r="L43" s="403">
        <f>224260+6586+151665</f>
        <v>382511</v>
      </c>
      <c r="M43" s="401">
        <f t="shared" si="19"/>
        <v>0</v>
      </c>
      <c r="N43" s="400">
        <f>SUM(N44:N46)</f>
        <v>0</v>
      </c>
      <c r="O43" s="400">
        <f>SUM(O44:O46)</f>
        <v>0</v>
      </c>
      <c r="P43" s="400">
        <f>SUM(P44:P46)</f>
        <v>0</v>
      </c>
      <c r="Q43" s="403"/>
    </row>
    <row r="44" spans="1:17" s="402" customFormat="1" ht="12.75">
      <c r="A44" s="396"/>
      <c r="B44" s="397"/>
      <c r="C44" s="398"/>
      <c r="D44" s="398">
        <v>6059</v>
      </c>
      <c r="E44" s="399">
        <f t="shared" si="16"/>
        <v>2070843</v>
      </c>
      <c r="F44" s="400">
        <f>H44</f>
        <v>2070843</v>
      </c>
      <c r="G44" s="400"/>
      <c r="H44" s="401">
        <f t="shared" si="17"/>
        <v>2070843</v>
      </c>
      <c r="I44" s="401">
        <f t="shared" si="18"/>
        <v>0</v>
      </c>
      <c r="J44" s="398"/>
      <c r="K44" s="398"/>
      <c r="L44" s="403"/>
      <c r="M44" s="401">
        <f t="shared" si="19"/>
        <v>2070843</v>
      </c>
      <c r="N44" s="398"/>
      <c r="O44" s="398"/>
      <c r="P44" s="398"/>
      <c r="Q44" s="403">
        <v>2070843</v>
      </c>
    </row>
    <row r="45" spans="1:17" s="402" customFormat="1" ht="12" customHeight="1">
      <c r="A45" s="396"/>
      <c r="B45" s="397">
        <v>2011</v>
      </c>
      <c r="C45" s="398"/>
      <c r="D45" s="398"/>
      <c r="E45" s="591">
        <f t="shared" si="16"/>
        <v>5520928</v>
      </c>
      <c r="F45" s="400">
        <f>L45</f>
        <v>2807202</v>
      </c>
      <c r="G45" s="400">
        <f>M45</f>
        <v>2713726</v>
      </c>
      <c r="H45" s="401">
        <f t="shared" si="17"/>
        <v>5520928</v>
      </c>
      <c r="I45" s="401">
        <f t="shared" si="18"/>
        <v>2807202</v>
      </c>
      <c r="J45" s="398"/>
      <c r="K45" s="398"/>
      <c r="L45" s="398">
        <f>1659083+175902+538158+434059</f>
        <v>2807202</v>
      </c>
      <c r="M45" s="401">
        <f t="shared" si="19"/>
        <v>2713726</v>
      </c>
      <c r="N45" s="398"/>
      <c r="O45" s="398"/>
      <c r="P45" s="398"/>
      <c r="Q45" s="398">
        <v>2713726</v>
      </c>
    </row>
    <row r="46" spans="1:17" s="402" customFormat="1" ht="12" customHeight="1">
      <c r="A46" s="396"/>
      <c r="B46" s="397">
        <v>2012</v>
      </c>
      <c r="C46" s="398"/>
      <c r="D46" s="398"/>
      <c r="E46" s="591">
        <f t="shared" si="16"/>
        <v>0</v>
      </c>
      <c r="F46" s="400">
        <f>L46</f>
        <v>0</v>
      </c>
      <c r="G46" s="400">
        <f>M46</f>
        <v>0</v>
      </c>
      <c r="H46" s="401">
        <f t="shared" si="17"/>
        <v>0</v>
      </c>
      <c r="I46" s="401">
        <f t="shared" si="18"/>
        <v>0</v>
      </c>
      <c r="J46" s="398"/>
      <c r="K46" s="398"/>
      <c r="L46" s="398"/>
      <c r="M46" s="401">
        <f t="shared" si="19"/>
        <v>0</v>
      </c>
      <c r="N46" s="398"/>
      <c r="O46" s="398"/>
      <c r="P46" s="398"/>
      <c r="Q46" s="398"/>
    </row>
    <row r="47" spans="1:18" ht="40.5" customHeight="1">
      <c r="A47" s="268"/>
      <c r="B47" s="285" t="s">
        <v>226</v>
      </c>
      <c r="C47" s="784" t="s">
        <v>848</v>
      </c>
      <c r="D47" s="785"/>
      <c r="E47" s="785"/>
      <c r="F47" s="785"/>
      <c r="G47" s="785"/>
      <c r="H47" s="785"/>
      <c r="I47" s="785"/>
      <c r="J47" s="785"/>
      <c r="K47" s="785"/>
      <c r="L47" s="785"/>
      <c r="M47" s="785"/>
      <c r="N47" s="785"/>
      <c r="O47" s="785"/>
      <c r="P47" s="785"/>
      <c r="Q47" s="786"/>
      <c r="R47" s="678"/>
    </row>
    <row r="48" spans="1:17" ht="11.25">
      <c r="A48" s="268" t="s">
        <v>270</v>
      </c>
      <c r="B48" s="134" t="s">
        <v>227</v>
      </c>
      <c r="C48" s="133"/>
      <c r="D48" s="234" t="s">
        <v>50</v>
      </c>
      <c r="E48" s="511">
        <f aca="true" t="shared" si="20" ref="E48:Q48">SUM(E49:E54)-E50</f>
        <v>3815689</v>
      </c>
      <c r="F48" s="511">
        <f t="shared" si="20"/>
        <v>2095527</v>
      </c>
      <c r="G48" s="511">
        <f t="shared" si="20"/>
        <v>1720162</v>
      </c>
      <c r="H48" s="511">
        <f t="shared" si="20"/>
        <v>3815689</v>
      </c>
      <c r="I48" s="511">
        <f t="shared" si="20"/>
        <v>2134689</v>
      </c>
      <c r="J48" s="511">
        <f t="shared" si="20"/>
        <v>0</v>
      </c>
      <c r="K48" s="511">
        <f t="shared" si="20"/>
        <v>0</v>
      </c>
      <c r="L48" s="511">
        <f t="shared" si="20"/>
        <v>2134689</v>
      </c>
      <c r="M48" s="511">
        <f t="shared" si="20"/>
        <v>1681000</v>
      </c>
      <c r="N48" s="511">
        <f t="shared" si="20"/>
        <v>0</v>
      </c>
      <c r="O48" s="511">
        <f t="shared" si="20"/>
        <v>0</v>
      </c>
      <c r="P48" s="511">
        <f t="shared" si="20"/>
        <v>0</v>
      </c>
      <c r="Q48" s="511">
        <f t="shared" si="20"/>
        <v>1681000</v>
      </c>
    </row>
    <row r="49" spans="1:17" ht="12.75">
      <c r="A49" s="268"/>
      <c r="B49" s="134" t="s">
        <v>513</v>
      </c>
      <c r="C49" s="133"/>
      <c r="D49" s="134"/>
      <c r="E49" s="140">
        <f aca="true" t="shared" si="21" ref="E49:E54">SUM(F49:G49)</f>
        <v>0</v>
      </c>
      <c r="F49" s="135">
        <f>L49</f>
        <v>0</v>
      </c>
      <c r="G49" s="135">
        <f>Q49</f>
        <v>0</v>
      </c>
      <c r="H49" s="133">
        <f aca="true" t="shared" si="22" ref="H49:H54">I49+M49</f>
        <v>0</v>
      </c>
      <c r="I49" s="133">
        <f aca="true" t="shared" si="23" ref="I49:I54">SUM(J49:L49)</f>
        <v>0</v>
      </c>
      <c r="J49" s="133"/>
      <c r="K49" s="133"/>
      <c r="L49" s="135"/>
      <c r="M49" s="133">
        <f aca="true" t="shared" si="24" ref="M49:M54">SUM(N49:Q49)</f>
        <v>0</v>
      </c>
      <c r="N49" s="133"/>
      <c r="O49" s="133"/>
      <c r="P49" s="133"/>
      <c r="Q49" s="135"/>
    </row>
    <row r="50" spans="1:17" s="402" customFormat="1" ht="23.25" customHeight="1">
      <c r="A50" s="396"/>
      <c r="B50" s="397">
        <v>2010</v>
      </c>
      <c r="C50" s="398"/>
      <c r="D50" s="398"/>
      <c r="E50" s="399">
        <f t="shared" si="21"/>
        <v>39162</v>
      </c>
      <c r="F50" s="400">
        <f>F52</f>
        <v>0</v>
      </c>
      <c r="G50" s="400">
        <f>SUM(G51:G52)</f>
        <v>39162</v>
      </c>
      <c r="H50" s="401">
        <f t="shared" si="22"/>
        <v>39162</v>
      </c>
      <c r="I50" s="401">
        <f t="shared" si="23"/>
        <v>39162</v>
      </c>
      <c r="J50" s="400">
        <f>SUM(J51:J52)</f>
        <v>0</v>
      </c>
      <c r="K50" s="400">
        <f>SUM(K51:K52)</f>
        <v>0</v>
      </c>
      <c r="L50" s="400">
        <f>SUM(L51:L52)</f>
        <v>39162</v>
      </c>
      <c r="M50" s="401">
        <f t="shared" si="24"/>
        <v>0</v>
      </c>
      <c r="N50" s="400">
        <f>SUM(N51:N52)</f>
        <v>0</v>
      </c>
      <c r="O50" s="400">
        <f>SUM(O51:O52)</f>
        <v>0</v>
      </c>
      <c r="P50" s="400">
        <f>SUM(P51:P52)</f>
        <v>0</v>
      </c>
      <c r="Q50" s="400"/>
    </row>
    <row r="51" spans="1:17" s="402" customFormat="1" ht="12.75">
      <c r="A51" s="396"/>
      <c r="B51" s="673"/>
      <c r="C51" s="398"/>
      <c r="D51" s="398"/>
      <c r="E51" s="399">
        <f t="shared" si="21"/>
        <v>39162</v>
      </c>
      <c r="F51" s="400"/>
      <c r="G51" s="400">
        <f>H51</f>
        <v>39162</v>
      </c>
      <c r="H51" s="401">
        <f t="shared" si="22"/>
        <v>39162</v>
      </c>
      <c r="I51" s="401">
        <f t="shared" si="23"/>
        <v>39162</v>
      </c>
      <c r="J51" s="400">
        <f>SUM(J52:J54)</f>
        <v>0</v>
      </c>
      <c r="K51" s="400">
        <f>SUM(K52:K54)</f>
        <v>0</v>
      </c>
      <c r="L51" s="403">
        <v>39162</v>
      </c>
      <c r="M51" s="401">
        <f t="shared" si="24"/>
        <v>0</v>
      </c>
      <c r="N51" s="400">
        <f>SUM(N52:N54)</f>
        <v>0</v>
      </c>
      <c r="O51" s="400">
        <f>SUM(O52:O54)</f>
        <v>0</v>
      </c>
      <c r="P51" s="400">
        <f>SUM(P52:P54)</f>
        <v>0</v>
      </c>
      <c r="Q51" s="403"/>
    </row>
    <row r="52" spans="1:17" s="402" customFormat="1" ht="12.75">
      <c r="A52" s="396"/>
      <c r="B52" s="397"/>
      <c r="C52" s="398"/>
      <c r="D52" s="398"/>
      <c r="E52" s="399">
        <f t="shared" si="21"/>
        <v>0</v>
      </c>
      <c r="F52" s="400">
        <f>H52</f>
        <v>0</v>
      </c>
      <c r="G52" s="400"/>
      <c r="H52" s="401">
        <f t="shared" si="22"/>
        <v>0</v>
      </c>
      <c r="I52" s="401">
        <f t="shared" si="23"/>
        <v>0</v>
      </c>
      <c r="J52" s="398"/>
      <c r="K52" s="398"/>
      <c r="L52" s="403"/>
      <c r="M52" s="401">
        <f t="shared" si="24"/>
        <v>0</v>
      </c>
      <c r="N52" s="398"/>
      <c r="O52" s="398"/>
      <c r="P52" s="398"/>
      <c r="Q52" s="403"/>
    </row>
    <row r="53" spans="1:17" s="402" customFormat="1" ht="12" customHeight="1">
      <c r="A53" s="396"/>
      <c r="B53" s="397">
        <v>2011</v>
      </c>
      <c r="C53" s="398"/>
      <c r="D53" s="398"/>
      <c r="E53" s="591">
        <f t="shared" si="21"/>
        <v>3776527</v>
      </c>
      <c r="F53" s="400">
        <f>L53</f>
        <v>2095527</v>
      </c>
      <c r="G53" s="400">
        <f>M53</f>
        <v>1681000</v>
      </c>
      <c r="H53" s="401">
        <f t="shared" si="22"/>
        <v>3776527</v>
      </c>
      <c r="I53" s="401">
        <f t="shared" si="23"/>
        <v>2095527</v>
      </c>
      <c r="J53" s="398"/>
      <c r="K53" s="398"/>
      <c r="L53" s="398">
        <v>2095527</v>
      </c>
      <c r="M53" s="401">
        <f t="shared" si="24"/>
        <v>1681000</v>
      </c>
      <c r="N53" s="398"/>
      <c r="O53" s="398"/>
      <c r="P53" s="398"/>
      <c r="Q53" s="398">
        <v>1681000</v>
      </c>
    </row>
    <row r="54" spans="1:17" s="402" customFormat="1" ht="12" customHeight="1">
      <c r="A54" s="396"/>
      <c r="B54" s="397">
        <v>2012</v>
      </c>
      <c r="C54" s="398"/>
      <c r="D54" s="398"/>
      <c r="E54" s="591">
        <f t="shared" si="21"/>
        <v>0</v>
      </c>
      <c r="F54" s="400">
        <f>L54</f>
        <v>0</v>
      </c>
      <c r="G54" s="400">
        <f>M54</f>
        <v>0</v>
      </c>
      <c r="H54" s="401">
        <f t="shared" si="22"/>
        <v>0</v>
      </c>
      <c r="I54" s="401">
        <f t="shared" si="23"/>
        <v>0</v>
      </c>
      <c r="J54" s="398"/>
      <c r="K54" s="398"/>
      <c r="L54" s="398"/>
      <c r="M54" s="401">
        <f t="shared" si="24"/>
        <v>0</v>
      </c>
      <c r="N54" s="398"/>
      <c r="O54" s="398"/>
      <c r="P54" s="398"/>
      <c r="Q54" s="398"/>
    </row>
    <row r="55" spans="1:18" ht="40.5" customHeight="1">
      <c r="A55" s="268"/>
      <c r="B55" s="285" t="s">
        <v>226</v>
      </c>
      <c r="C55" s="784" t="s">
        <v>849</v>
      </c>
      <c r="D55" s="785"/>
      <c r="E55" s="785"/>
      <c r="F55" s="785"/>
      <c r="G55" s="785"/>
      <c r="H55" s="785"/>
      <c r="I55" s="785"/>
      <c r="J55" s="785"/>
      <c r="K55" s="785"/>
      <c r="L55" s="785"/>
      <c r="M55" s="785"/>
      <c r="N55" s="785"/>
      <c r="O55" s="785"/>
      <c r="P55" s="785"/>
      <c r="Q55" s="786"/>
      <c r="R55" s="679"/>
    </row>
    <row r="56" spans="1:18" ht="15">
      <c r="A56" s="268" t="s">
        <v>328</v>
      </c>
      <c r="B56" s="134" t="s">
        <v>227</v>
      </c>
      <c r="C56" s="133"/>
      <c r="D56" s="234" t="s">
        <v>50</v>
      </c>
      <c r="E56" s="511">
        <f aca="true" t="shared" si="25" ref="E56:Q56">SUM(E57:E62)-E58</f>
        <v>3071714</v>
      </c>
      <c r="F56" s="511">
        <f t="shared" si="25"/>
        <v>1075100</v>
      </c>
      <c r="G56" s="511">
        <f t="shared" si="25"/>
        <v>1996614</v>
      </c>
      <c r="H56" s="511">
        <f t="shared" si="25"/>
        <v>3071714</v>
      </c>
      <c r="I56" s="511">
        <f t="shared" si="25"/>
        <v>44800</v>
      </c>
      <c r="J56" s="511">
        <f t="shared" si="25"/>
        <v>0</v>
      </c>
      <c r="K56" s="511">
        <f t="shared" si="25"/>
        <v>0</v>
      </c>
      <c r="L56" s="511">
        <f t="shared" si="25"/>
        <v>44800</v>
      </c>
      <c r="M56" s="511">
        <f t="shared" si="25"/>
        <v>1996614</v>
      </c>
      <c r="N56" s="511">
        <f t="shared" si="25"/>
        <v>0</v>
      </c>
      <c r="O56" s="511">
        <f t="shared" si="25"/>
        <v>0</v>
      </c>
      <c r="P56" s="511">
        <f t="shared" si="25"/>
        <v>0</v>
      </c>
      <c r="Q56" s="511">
        <f t="shared" si="25"/>
        <v>1996614</v>
      </c>
      <c r="R56" s="679"/>
    </row>
    <row r="57" spans="1:18" ht="15">
      <c r="A57" s="268"/>
      <c r="B57" s="134" t="s">
        <v>513</v>
      </c>
      <c r="C57" s="133"/>
      <c r="D57" s="134"/>
      <c r="E57" s="140">
        <f aca="true" t="shared" si="26" ref="E57:E62">SUM(F57:G57)</f>
        <v>44800</v>
      </c>
      <c r="F57" s="135">
        <f>L57</f>
        <v>44800</v>
      </c>
      <c r="G57" s="135">
        <f>Q57</f>
        <v>0</v>
      </c>
      <c r="H57" s="133">
        <f aca="true" t="shared" si="27" ref="H57:H62">I57+M57</f>
        <v>44800</v>
      </c>
      <c r="I57" s="133">
        <f aca="true" t="shared" si="28" ref="I57:I62">SUM(J57:L57)</f>
        <v>44800</v>
      </c>
      <c r="J57" s="133"/>
      <c r="K57" s="133"/>
      <c r="L57" s="135">
        <v>44800</v>
      </c>
      <c r="M57" s="133">
        <f aca="true" t="shared" si="29" ref="M57:M62">SUM(N57:Q57)</f>
        <v>0</v>
      </c>
      <c r="N57" s="133"/>
      <c r="O57" s="133"/>
      <c r="P57" s="133"/>
      <c r="Q57" s="135"/>
      <c r="R57" s="679"/>
    </row>
    <row r="58" spans="1:17" s="402" customFormat="1" ht="23.25" customHeight="1">
      <c r="A58" s="396"/>
      <c r="B58" s="397">
        <v>2010</v>
      </c>
      <c r="C58" s="398"/>
      <c r="D58" s="398"/>
      <c r="E58" s="399">
        <f t="shared" si="26"/>
        <v>3026914</v>
      </c>
      <c r="F58" s="400">
        <f>F60</f>
        <v>1030300</v>
      </c>
      <c r="G58" s="400">
        <f>SUM(G59:G60)</f>
        <v>1996614</v>
      </c>
      <c r="H58" s="401">
        <f t="shared" si="27"/>
        <v>0</v>
      </c>
      <c r="I58" s="401">
        <f t="shared" si="28"/>
        <v>0</v>
      </c>
      <c r="J58" s="400">
        <f>SUM(J59:J60)</f>
        <v>0</v>
      </c>
      <c r="K58" s="400">
        <f>SUM(K59:K60)</f>
        <v>0</v>
      </c>
      <c r="L58" s="400">
        <f>SUM(L59:L60)</f>
        <v>0</v>
      </c>
      <c r="M58" s="401">
        <f t="shared" si="29"/>
        <v>0</v>
      </c>
      <c r="N58" s="400">
        <f>SUM(N59:N60)</f>
        <v>0</v>
      </c>
      <c r="O58" s="400">
        <f>SUM(O59:O60)</f>
        <v>0</v>
      </c>
      <c r="P58" s="400">
        <f>SUM(P59:P60)</f>
        <v>0</v>
      </c>
      <c r="Q58" s="400"/>
    </row>
    <row r="59" spans="1:17" s="402" customFormat="1" ht="12.75">
      <c r="A59" s="396"/>
      <c r="B59" s="673"/>
      <c r="C59" s="398"/>
      <c r="D59" s="398"/>
      <c r="E59" s="399">
        <f t="shared" si="26"/>
        <v>1996614</v>
      </c>
      <c r="F59" s="400"/>
      <c r="G59" s="400">
        <f>H59</f>
        <v>1996614</v>
      </c>
      <c r="H59" s="401">
        <f t="shared" si="27"/>
        <v>1996614</v>
      </c>
      <c r="I59" s="401">
        <f t="shared" si="28"/>
        <v>0</v>
      </c>
      <c r="J59" s="400">
        <f>SUM(J60:J62)</f>
        <v>0</v>
      </c>
      <c r="K59" s="400">
        <f>SUM(K60:K62)</f>
        <v>0</v>
      </c>
      <c r="L59" s="403"/>
      <c r="M59" s="401">
        <f t="shared" si="29"/>
        <v>1996614</v>
      </c>
      <c r="N59" s="400">
        <f>SUM(N60:N62)</f>
        <v>0</v>
      </c>
      <c r="O59" s="400">
        <f>SUM(O60:O62)</f>
        <v>0</v>
      </c>
      <c r="P59" s="400">
        <f>SUM(P60:P62)</f>
        <v>0</v>
      </c>
      <c r="Q59" s="400">
        <v>1996614</v>
      </c>
    </row>
    <row r="60" spans="1:17" s="402" customFormat="1" ht="12.75">
      <c r="A60" s="396"/>
      <c r="B60" s="397"/>
      <c r="C60" s="398"/>
      <c r="D60" s="398"/>
      <c r="E60" s="399">
        <f t="shared" si="26"/>
        <v>1030300</v>
      </c>
      <c r="F60" s="400">
        <f>H60</f>
        <v>1030300</v>
      </c>
      <c r="G60" s="400"/>
      <c r="H60" s="401">
        <v>1030300</v>
      </c>
      <c r="I60" s="401">
        <f t="shared" si="28"/>
        <v>0</v>
      </c>
      <c r="J60" s="398"/>
      <c r="K60" s="398"/>
      <c r="L60" s="403"/>
      <c r="M60" s="401">
        <f t="shared" si="29"/>
        <v>0</v>
      </c>
      <c r="N60" s="398"/>
      <c r="O60" s="398"/>
      <c r="P60" s="398"/>
      <c r="Q60" s="403"/>
    </row>
    <row r="61" spans="1:17" s="402" customFormat="1" ht="12" customHeight="1">
      <c r="A61" s="396"/>
      <c r="B61" s="397">
        <v>2011</v>
      </c>
      <c r="C61" s="398"/>
      <c r="D61" s="398"/>
      <c r="E61" s="591">
        <f t="shared" si="26"/>
        <v>0</v>
      </c>
      <c r="F61" s="400">
        <f>L61</f>
        <v>0</v>
      </c>
      <c r="G61" s="400">
        <f>M61</f>
        <v>0</v>
      </c>
      <c r="H61" s="401">
        <f t="shared" si="27"/>
        <v>0</v>
      </c>
      <c r="I61" s="401">
        <f t="shared" si="28"/>
        <v>0</v>
      </c>
      <c r="J61" s="398"/>
      <c r="K61" s="398"/>
      <c r="L61" s="398"/>
      <c r="M61" s="401">
        <f t="shared" si="29"/>
        <v>0</v>
      </c>
      <c r="N61" s="398"/>
      <c r="O61" s="398"/>
      <c r="P61" s="398"/>
      <c r="Q61" s="398"/>
    </row>
    <row r="62" spans="1:17" s="402" customFormat="1" ht="12" customHeight="1">
      <c r="A62" s="396"/>
      <c r="B62" s="397">
        <v>2012</v>
      </c>
      <c r="C62" s="398"/>
      <c r="D62" s="398"/>
      <c r="E62" s="591">
        <f t="shared" si="26"/>
        <v>0</v>
      </c>
      <c r="F62" s="400">
        <f>L62</f>
        <v>0</v>
      </c>
      <c r="G62" s="400">
        <f>M62</f>
        <v>0</v>
      </c>
      <c r="H62" s="401">
        <f t="shared" si="27"/>
        <v>0</v>
      </c>
      <c r="I62" s="401">
        <f t="shared" si="28"/>
        <v>0</v>
      </c>
      <c r="J62" s="398"/>
      <c r="K62" s="398"/>
      <c r="L62" s="398"/>
      <c r="M62" s="401">
        <f t="shared" si="29"/>
        <v>0</v>
      </c>
      <c r="N62" s="398"/>
      <c r="O62" s="398"/>
      <c r="P62" s="398"/>
      <c r="Q62" s="398"/>
    </row>
    <row r="63" spans="1:18" ht="40.5" customHeight="1">
      <c r="A63" s="268"/>
      <c r="B63" s="285" t="s">
        <v>226</v>
      </c>
      <c r="C63" s="784" t="s">
        <v>850</v>
      </c>
      <c r="D63" s="785"/>
      <c r="E63" s="785"/>
      <c r="F63" s="785"/>
      <c r="G63" s="785"/>
      <c r="H63" s="785"/>
      <c r="I63" s="785"/>
      <c r="J63" s="785"/>
      <c r="K63" s="785"/>
      <c r="L63" s="785"/>
      <c r="M63" s="785"/>
      <c r="N63" s="785"/>
      <c r="O63" s="785"/>
      <c r="P63" s="785"/>
      <c r="Q63" s="786"/>
      <c r="R63" s="679"/>
    </row>
    <row r="64" spans="1:18" ht="15">
      <c r="A64" s="268" t="s">
        <v>866</v>
      </c>
      <c r="B64" s="134" t="s">
        <v>227</v>
      </c>
      <c r="C64" s="133"/>
      <c r="D64" s="234" t="s">
        <v>50</v>
      </c>
      <c r="E64" s="511">
        <f aca="true" t="shared" si="30" ref="E64:Q64">SUM(E65:E70)-E66</f>
        <v>653822</v>
      </c>
      <c r="F64" s="511">
        <f t="shared" si="30"/>
        <v>118438</v>
      </c>
      <c r="G64" s="511">
        <f t="shared" si="30"/>
        <v>535384</v>
      </c>
      <c r="H64" s="511">
        <f t="shared" si="30"/>
        <v>653822</v>
      </c>
      <c r="I64" s="511">
        <f t="shared" si="30"/>
        <v>163456</v>
      </c>
      <c r="J64" s="511">
        <f t="shared" si="30"/>
        <v>0</v>
      </c>
      <c r="K64" s="511">
        <f t="shared" si="30"/>
        <v>0</v>
      </c>
      <c r="L64" s="511">
        <f t="shared" si="30"/>
        <v>163456</v>
      </c>
      <c r="M64" s="511">
        <f t="shared" si="30"/>
        <v>490366</v>
      </c>
      <c r="N64" s="511">
        <f t="shared" si="30"/>
        <v>0</v>
      </c>
      <c r="O64" s="511">
        <f t="shared" si="30"/>
        <v>0</v>
      </c>
      <c r="P64" s="511">
        <f t="shared" si="30"/>
        <v>0</v>
      </c>
      <c r="Q64" s="511">
        <f t="shared" si="30"/>
        <v>490366</v>
      </c>
      <c r="R64" s="679"/>
    </row>
    <row r="65" spans="1:18" ht="15">
      <c r="A65" s="268"/>
      <c r="B65" s="134" t="s">
        <v>513</v>
      </c>
      <c r="C65" s="133"/>
      <c r="D65" s="134"/>
      <c r="E65" s="140">
        <f aca="true" t="shared" si="31" ref="E65:E70">SUM(F65:G65)</f>
        <v>0</v>
      </c>
      <c r="F65" s="135">
        <f>L65</f>
        <v>0</v>
      </c>
      <c r="G65" s="135">
        <f>Q65</f>
        <v>0</v>
      </c>
      <c r="H65" s="133">
        <f>I65+M65</f>
        <v>0</v>
      </c>
      <c r="I65" s="133">
        <f aca="true" t="shared" si="32" ref="I65:I70">SUM(J65:L65)</f>
        <v>0</v>
      </c>
      <c r="J65" s="133"/>
      <c r="K65" s="133"/>
      <c r="L65" s="135"/>
      <c r="M65" s="133">
        <f aca="true" t="shared" si="33" ref="M65:M70">SUM(N65:Q65)</f>
        <v>0</v>
      </c>
      <c r="N65" s="133"/>
      <c r="O65" s="133"/>
      <c r="P65" s="133"/>
      <c r="Q65" s="135"/>
      <c r="R65" s="679"/>
    </row>
    <row r="66" spans="1:17" s="402" customFormat="1" ht="23.25" customHeight="1">
      <c r="A66" s="396"/>
      <c r="B66" s="397">
        <v>2010</v>
      </c>
      <c r="C66" s="398"/>
      <c r="D66" s="398"/>
      <c r="E66" s="399">
        <f t="shared" si="31"/>
        <v>45018</v>
      </c>
      <c r="F66" s="400">
        <f>F68</f>
        <v>0</v>
      </c>
      <c r="G66" s="400">
        <f>SUM(G67:G68)</f>
        <v>45018</v>
      </c>
      <c r="H66" s="401">
        <f>I66+M66</f>
        <v>45018</v>
      </c>
      <c r="I66" s="401">
        <f t="shared" si="32"/>
        <v>45018</v>
      </c>
      <c r="J66" s="400">
        <f>SUM(J67:J68)</f>
        <v>0</v>
      </c>
      <c r="K66" s="400">
        <f>SUM(K67:K68)</f>
        <v>0</v>
      </c>
      <c r="L66" s="400">
        <f>SUM(L67:L68)</f>
        <v>45018</v>
      </c>
      <c r="M66" s="401">
        <f t="shared" si="33"/>
        <v>0</v>
      </c>
      <c r="N66" s="400">
        <f>SUM(N67:N68)</f>
        <v>0</v>
      </c>
      <c r="O66" s="400">
        <f>SUM(O67:O68)</f>
        <v>0</v>
      </c>
      <c r="P66" s="400">
        <f>SUM(P67:P68)</f>
        <v>0</v>
      </c>
      <c r="Q66" s="400"/>
    </row>
    <row r="67" spans="1:17" s="402" customFormat="1" ht="12.75">
      <c r="A67" s="396"/>
      <c r="B67" s="673"/>
      <c r="C67" s="398"/>
      <c r="D67" s="398"/>
      <c r="E67" s="399">
        <f t="shared" si="31"/>
        <v>45018</v>
      </c>
      <c r="F67" s="400"/>
      <c r="G67" s="400">
        <f>H67</f>
        <v>45018</v>
      </c>
      <c r="H67" s="401">
        <f>I67+M67</f>
        <v>45018</v>
      </c>
      <c r="I67" s="401">
        <f t="shared" si="32"/>
        <v>45018</v>
      </c>
      <c r="J67" s="400">
        <f>SUM(J68:J70)</f>
        <v>0</v>
      </c>
      <c r="K67" s="400">
        <f>SUM(K68:K70)</f>
        <v>0</v>
      </c>
      <c r="L67" s="403">
        <v>45018</v>
      </c>
      <c r="M67" s="401">
        <f t="shared" si="33"/>
        <v>0</v>
      </c>
      <c r="N67" s="400">
        <f>SUM(N68:N70)</f>
        <v>0</v>
      </c>
      <c r="O67" s="400">
        <f>SUM(O68:O70)</f>
        <v>0</v>
      </c>
      <c r="P67" s="400">
        <f>SUM(P68:P70)</f>
        <v>0</v>
      </c>
      <c r="Q67" s="400"/>
    </row>
    <row r="68" spans="1:17" s="402" customFormat="1" ht="12.75">
      <c r="A68" s="396"/>
      <c r="B68" s="397"/>
      <c r="C68" s="398"/>
      <c r="D68" s="398"/>
      <c r="E68" s="399">
        <f t="shared" si="31"/>
        <v>0</v>
      </c>
      <c r="F68" s="400">
        <f>H68</f>
        <v>0</v>
      </c>
      <c r="G68" s="400"/>
      <c r="H68" s="401"/>
      <c r="I68" s="401">
        <f t="shared" si="32"/>
        <v>0</v>
      </c>
      <c r="J68" s="398"/>
      <c r="K68" s="398"/>
      <c r="L68" s="403"/>
      <c r="M68" s="401">
        <f t="shared" si="33"/>
        <v>0</v>
      </c>
      <c r="N68" s="398"/>
      <c r="O68" s="398"/>
      <c r="P68" s="398"/>
      <c r="Q68" s="403"/>
    </row>
    <row r="69" spans="1:17" s="402" customFormat="1" ht="12" customHeight="1">
      <c r="A69" s="396"/>
      <c r="B69" s="397">
        <v>2011</v>
      </c>
      <c r="C69" s="398"/>
      <c r="D69" s="398"/>
      <c r="E69" s="591">
        <f t="shared" si="31"/>
        <v>608804</v>
      </c>
      <c r="F69" s="400">
        <f>L69</f>
        <v>118438</v>
      </c>
      <c r="G69" s="400">
        <f>M69</f>
        <v>490366</v>
      </c>
      <c r="H69" s="401">
        <f>I69+M69</f>
        <v>608804</v>
      </c>
      <c r="I69" s="401">
        <f t="shared" si="32"/>
        <v>118438</v>
      </c>
      <c r="J69" s="398"/>
      <c r="K69" s="398"/>
      <c r="L69" s="398">
        <v>118438</v>
      </c>
      <c r="M69" s="401">
        <f t="shared" si="33"/>
        <v>490366</v>
      </c>
      <c r="N69" s="398"/>
      <c r="O69" s="398"/>
      <c r="P69" s="398"/>
      <c r="Q69" s="398">
        <v>490366</v>
      </c>
    </row>
    <row r="70" spans="1:17" s="402" customFormat="1" ht="12" customHeight="1">
      <c r="A70" s="396"/>
      <c r="B70" s="397">
        <v>2012</v>
      </c>
      <c r="C70" s="398"/>
      <c r="D70" s="398"/>
      <c r="E70" s="591">
        <f t="shared" si="31"/>
        <v>0</v>
      </c>
      <c r="F70" s="400">
        <f>L70</f>
        <v>0</v>
      </c>
      <c r="G70" s="400">
        <f>M70</f>
        <v>0</v>
      </c>
      <c r="H70" s="401">
        <f>I70+M70</f>
        <v>0</v>
      </c>
      <c r="I70" s="401">
        <f t="shared" si="32"/>
        <v>0</v>
      </c>
      <c r="J70" s="398"/>
      <c r="K70" s="398"/>
      <c r="L70" s="398"/>
      <c r="M70" s="401">
        <f t="shared" si="33"/>
        <v>0</v>
      </c>
      <c r="N70" s="398"/>
      <c r="O70" s="398"/>
      <c r="P70" s="398"/>
      <c r="Q70" s="398"/>
    </row>
    <row r="71" spans="1:17" s="138" customFormat="1" ht="11.25" customHeight="1">
      <c r="A71" s="275"/>
      <c r="B71" s="286" t="s">
        <v>223</v>
      </c>
      <c r="C71" s="788" t="s">
        <v>280</v>
      </c>
      <c r="D71" s="789"/>
      <c r="E71" s="789"/>
      <c r="F71" s="789"/>
      <c r="G71" s="789"/>
      <c r="H71" s="789"/>
      <c r="I71" s="789"/>
      <c r="J71" s="789"/>
      <c r="K71" s="789"/>
      <c r="L71" s="789"/>
      <c r="M71" s="789"/>
      <c r="N71" s="789"/>
      <c r="O71" s="789"/>
      <c r="P71" s="789"/>
      <c r="Q71" s="790"/>
    </row>
    <row r="72" spans="1:17" s="138" customFormat="1" ht="11.25" customHeight="1">
      <c r="A72" s="275"/>
      <c r="B72" s="284" t="s">
        <v>224</v>
      </c>
      <c r="C72" s="791"/>
      <c r="D72" s="792"/>
      <c r="E72" s="792"/>
      <c r="F72" s="792"/>
      <c r="G72" s="792"/>
      <c r="H72" s="792"/>
      <c r="I72" s="792"/>
      <c r="J72" s="792"/>
      <c r="K72" s="792"/>
      <c r="L72" s="792"/>
      <c r="M72" s="792"/>
      <c r="N72" s="792"/>
      <c r="O72" s="792"/>
      <c r="P72" s="792"/>
      <c r="Q72" s="793"/>
    </row>
    <row r="73" spans="1:17" s="138" customFormat="1" ht="11.25" customHeight="1">
      <c r="A73" s="275"/>
      <c r="B73" s="284" t="s">
        <v>225</v>
      </c>
      <c r="C73" s="791"/>
      <c r="D73" s="792"/>
      <c r="E73" s="792"/>
      <c r="F73" s="792"/>
      <c r="G73" s="792"/>
      <c r="H73" s="792"/>
      <c r="I73" s="792"/>
      <c r="J73" s="792"/>
      <c r="K73" s="792"/>
      <c r="L73" s="792"/>
      <c r="M73" s="792"/>
      <c r="N73" s="792"/>
      <c r="O73" s="792"/>
      <c r="P73" s="792"/>
      <c r="Q73" s="793"/>
    </row>
    <row r="74" spans="1:17" s="138" customFormat="1" ht="11.25" customHeight="1">
      <c r="A74" s="275"/>
      <c r="B74" s="285" t="s">
        <v>226</v>
      </c>
      <c r="C74" s="794"/>
      <c r="D74" s="795"/>
      <c r="E74" s="795"/>
      <c r="F74" s="795"/>
      <c r="G74" s="795"/>
      <c r="H74" s="795"/>
      <c r="I74" s="795"/>
      <c r="J74" s="795"/>
      <c r="K74" s="795"/>
      <c r="L74" s="795"/>
      <c r="M74" s="795"/>
      <c r="N74" s="795"/>
      <c r="O74" s="795"/>
      <c r="P74" s="795"/>
      <c r="Q74" s="796"/>
    </row>
    <row r="75" spans="1:17" s="138" customFormat="1" ht="12.75">
      <c r="A75" s="275"/>
      <c r="B75" s="287" t="s">
        <v>227</v>
      </c>
      <c r="C75" s="34"/>
      <c r="D75" s="141" t="s">
        <v>808</v>
      </c>
      <c r="E75" s="140">
        <f>E76+E79</f>
        <v>12000</v>
      </c>
      <c r="F75" s="140">
        <f aca="true" t="shared" si="34" ref="F75:Q75">F76+F79</f>
        <v>1800</v>
      </c>
      <c r="G75" s="140">
        <f t="shared" si="34"/>
        <v>10200</v>
      </c>
      <c r="H75" s="140">
        <f t="shared" si="34"/>
        <v>12000</v>
      </c>
      <c r="I75" s="140">
        <f t="shared" si="34"/>
        <v>1800</v>
      </c>
      <c r="J75" s="140">
        <f t="shared" si="34"/>
        <v>0</v>
      </c>
      <c r="K75" s="140">
        <f t="shared" si="34"/>
        <v>0</v>
      </c>
      <c r="L75" s="140">
        <f t="shared" si="34"/>
        <v>1800</v>
      </c>
      <c r="M75" s="140">
        <f t="shared" si="34"/>
        <v>10200</v>
      </c>
      <c r="N75" s="140">
        <f t="shared" si="34"/>
        <v>0</v>
      </c>
      <c r="O75" s="140">
        <f t="shared" si="34"/>
        <v>0</v>
      </c>
      <c r="P75" s="140">
        <f t="shared" si="34"/>
        <v>0</v>
      </c>
      <c r="Q75" s="140">
        <f t="shared" si="34"/>
        <v>10200</v>
      </c>
    </row>
    <row r="76" spans="1:17" s="138" customFormat="1" ht="12.75">
      <c r="A76" s="275"/>
      <c r="B76" s="287">
        <v>2010</v>
      </c>
      <c r="C76" s="34"/>
      <c r="D76" s="141"/>
      <c r="E76" s="140">
        <f>SUM(E77:E78)</f>
        <v>4000</v>
      </c>
      <c r="F76" s="140">
        <f aca="true" t="shared" si="35" ref="F76:Q76">SUM(F77:F78)</f>
        <v>600</v>
      </c>
      <c r="G76" s="140">
        <f t="shared" si="35"/>
        <v>3400</v>
      </c>
      <c r="H76" s="140">
        <f t="shared" si="35"/>
        <v>4000</v>
      </c>
      <c r="I76" s="140">
        <f t="shared" si="35"/>
        <v>600</v>
      </c>
      <c r="J76" s="140">
        <f t="shared" si="35"/>
        <v>0</v>
      </c>
      <c r="K76" s="140">
        <f t="shared" si="35"/>
        <v>0</v>
      </c>
      <c r="L76" s="140">
        <f t="shared" si="35"/>
        <v>600</v>
      </c>
      <c r="M76" s="140">
        <f t="shared" si="35"/>
        <v>3400</v>
      </c>
      <c r="N76" s="140">
        <f t="shared" si="35"/>
        <v>0</v>
      </c>
      <c r="O76" s="140">
        <f t="shared" si="35"/>
        <v>0</v>
      </c>
      <c r="P76" s="140">
        <f t="shared" si="35"/>
        <v>0</v>
      </c>
      <c r="Q76" s="140">
        <f t="shared" si="35"/>
        <v>3400</v>
      </c>
    </row>
    <row r="77" spans="1:17" s="402" customFormat="1" ht="12.75">
      <c r="A77" s="396"/>
      <c r="B77" s="397"/>
      <c r="C77" s="398"/>
      <c r="D77" s="398">
        <v>6068</v>
      </c>
      <c r="E77" s="399">
        <f>SUM(F77:G77)</f>
        <v>3400</v>
      </c>
      <c r="F77" s="400"/>
      <c r="G77" s="400">
        <f>H77</f>
        <v>3400</v>
      </c>
      <c r="H77" s="401">
        <f>I77+M77</f>
        <v>3400</v>
      </c>
      <c r="I77" s="401">
        <f>SUM(J77:L77)</f>
        <v>0</v>
      </c>
      <c r="J77" s="400">
        <f>SUM(J78:J78)</f>
        <v>0</v>
      </c>
      <c r="K77" s="400">
        <f>SUM(K78:K78)</f>
        <v>0</v>
      </c>
      <c r="L77" s="403"/>
      <c r="M77" s="401">
        <f>SUM(N77:Q77)</f>
        <v>3400</v>
      </c>
      <c r="N77" s="400">
        <f>SUM(N78:N78)</f>
        <v>0</v>
      </c>
      <c r="O77" s="400">
        <f>SUM(O78:O78)</f>
        <v>0</v>
      </c>
      <c r="P77" s="400">
        <f>SUM(P78:P78)</f>
        <v>0</v>
      </c>
      <c r="Q77" s="403">
        <v>3400</v>
      </c>
    </row>
    <row r="78" spans="1:17" s="402" customFormat="1" ht="12.75">
      <c r="A78" s="424"/>
      <c r="B78" s="397"/>
      <c r="C78" s="398"/>
      <c r="D78" s="398">
        <v>6069</v>
      </c>
      <c r="E78" s="399">
        <f>SUM(F78:G78)</f>
        <v>600</v>
      </c>
      <c r="F78" s="400">
        <f>H78</f>
        <v>600</v>
      </c>
      <c r="G78" s="400"/>
      <c r="H78" s="401">
        <f>I78+M78</f>
        <v>600</v>
      </c>
      <c r="I78" s="401">
        <f>SUM(J78:L78)</f>
        <v>600</v>
      </c>
      <c r="J78" s="398"/>
      <c r="K78" s="398"/>
      <c r="L78" s="403">
        <v>600</v>
      </c>
      <c r="M78" s="401">
        <f>SUM(N78:Q78)</f>
        <v>0</v>
      </c>
      <c r="N78" s="398"/>
      <c r="O78" s="398"/>
      <c r="P78" s="398"/>
      <c r="Q78" s="403"/>
    </row>
    <row r="79" spans="1:17" ht="12.75">
      <c r="A79" s="268"/>
      <c r="B79" s="134">
        <v>2009</v>
      </c>
      <c r="C79" s="133"/>
      <c r="D79" s="134"/>
      <c r="E79" s="140">
        <f>SUM(F79:G79)</f>
        <v>8000</v>
      </c>
      <c r="F79" s="135">
        <f>L79</f>
        <v>1200</v>
      </c>
      <c r="G79" s="135">
        <f>Q79</f>
        <v>6800</v>
      </c>
      <c r="H79" s="133">
        <f>I79+M79</f>
        <v>8000</v>
      </c>
      <c r="I79" s="133">
        <f>SUM(J79:L79)</f>
        <v>1200</v>
      </c>
      <c r="J79" s="133"/>
      <c r="K79" s="133"/>
      <c r="L79" s="135">
        <v>1200</v>
      </c>
      <c r="M79" s="133">
        <f>SUM(N79:Q79)</f>
        <v>6800</v>
      </c>
      <c r="N79" s="133"/>
      <c r="O79" s="133"/>
      <c r="P79" s="133"/>
      <c r="Q79" s="135">
        <v>6800</v>
      </c>
    </row>
    <row r="80" spans="1:17" ht="12.75">
      <c r="A80" s="425"/>
      <c r="B80" s="426"/>
      <c r="C80" s="138"/>
      <c r="D80" s="426"/>
      <c r="E80" s="689"/>
      <c r="F80" s="404"/>
      <c r="G80" s="404"/>
      <c r="H80" s="138"/>
      <c r="I80" s="138"/>
      <c r="J80" s="138"/>
      <c r="K80" s="138"/>
      <c r="L80" s="404"/>
      <c r="M80" s="138"/>
      <c r="N80" s="138"/>
      <c r="O80" s="138"/>
      <c r="P80" s="138"/>
      <c r="Q80" s="404"/>
    </row>
    <row r="81" spans="1:17" s="138" customFormat="1" ht="20.25" customHeight="1">
      <c r="A81" s="275"/>
      <c r="B81" s="711" t="s">
        <v>858</v>
      </c>
      <c r="C81" s="816" t="s">
        <v>859</v>
      </c>
      <c r="D81" s="816"/>
      <c r="E81" s="816"/>
      <c r="F81" s="816"/>
      <c r="G81" s="816"/>
      <c r="H81" s="816"/>
      <c r="I81" s="816"/>
      <c r="J81" s="816"/>
      <c r="K81" s="816"/>
      <c r="L81" s="816"/>
      <c r="M81" s="816"/>
      <c r="N81" s="816"/>
      <c r="O81" s="816"/>
      <c r="P81" s="816"/>
      <c r="Q81" s="817"/>
    </row>
    <row r="82" spans="1:17" s="138" customFormat="1" ht="21.75" customHeight="1">
      <c r="A82" s="275"/>
      <c r="B82" s="711" t="s">
        <v>860</v>
      </c>
      <c r="C82" s="713"/>
      <c r="D82" s="818" t="s">
        <v>861</v>
      </c>
      <c r="E82" s="818"/>
      <c r="F82" s="818"/>
      <c r="G82" s="818"/>
      <c r="H82" s="818"/>
      <c r="I82" s="818"/>
      <c r="J82" s="818"/>
      <c r="K82" s="818"/>
      <c r="L82" s="818"/>
      <c r="M82" s="818"/>
      <c r="N82" s="818"/>
      <c r="O82" s="818"/>
      <c r="P82" s="818"/>
      <c r="Q82" s="819"/>
    </row>
    <row r="83" spans="1:17" s="138" customFormat="1" ht="11.25" customHeight="1">
      <c r="A83" s="275"/>
      <c r="B83" s="712" t="s">
        <v>862</v>
      </c>
      <c r="C83" s="816" t="s">
        <v>863</v>
      </c>
      <c r="D83" s="816"/>
      <c r="E83" s="816"/>
      <c r="F83" s="816"/>
      <c r="G83" s="816"/>
      <c r="H83" s="816"/>
      <c r="I83" s="816"/>
      <c r="J83" s="816"/>
      <c r="K83" s="816"/>
      <c r="L83" s="816"/>
      <c r="M83" s="816"/>
      <c r="N83" s="816"/>
      <c r="O83" s="816"/>
      <c r="P83" s="816"/>
      <c r="Q83" s="817"/>
    </row>
    <row r="84" spans="1:17" s="138" customFormat="1" ht="23.25" customHeight="1">
      <c r="A84" s="275"/>
      <c r="B84" s="700" t="s">
        <v>226</v>
      </c>
      <c r="C84" s="714"/>
      <c r="D84" s="714" t="s">
        <v>864</v>
      </c>
      <c r="E84" s="715"/>
      <c r="F84" s="715"/>
      <c r="G84" s="715"/>
      <c r="H84" s="715"/>
      <c r="I84" s="715"/>
      <c r="J84" s="715"/>
      <c r="K84" s="715"/>
      <c r="L84" s="715"/>
      <c r="M84" s="715"/>
      <c r="N84" s="715"/>
      <c r="O84" s="715"/>
      <c r="P84" s="715"/>
      <c r="Q84" s="716"/>
    </row>
    <row r="85" spans="1:17" s="138" customFormat="1" ht="12.75">
      <c r="A85" s="275"/>
      <c r="B85" s="287" t="s">
        <v>227</v>
      </c>
      <c r="C85" s="34"/>
      <c r="D85" s="141" t="s">
        <v>808</v>
      </c>
      <c r="E85" s="140">
        <f>E86+E89</f>
        <v>348000</v>
      </c>
      <c r="F85" s="140">
        <f aca="true" t="shared" si="36" ref="F85:Q85">F86+F89</f>
        <v>52200</v>
      </c>
      <c r="G85" s="140">
        <f t="shared" si="36"/>
        <v>295800</v>
      </c>
      <c r="H85" s="140">
        <f t="shared" si="36"/>
        <v>348000</v>
      </c>
      <c r="I85" s="140">
        <f t="shared" si="36"/>
        <v>52200</v>
      </c>
      <c r="J85" s="140">
        <f t="shared" si="36"/>
        <v>0</v>
      </c>
      <c r="K85" s="140">
        <f t="shared" si="36"/>
        <v>0</v>
      </c>
      <c r="L85" s="140">
        <f t="shared" si="36"/>
        <v>52200</v>
      </c>
      <c r="M85" s="140">
        <f t="shared" si="36"/>
        <v>295800</v>
      </c>
      <c r="N85" s="140">
        <f t="shared" si="36"/>
        <v>0</v>
      </c>
      <c r="O85" s="140">
        <f t="shared" si="36"/>
        <v>0</v>
      </c>
      <c r="P85" s="140">
        <f t="shared" si="36"/>
        <v>0</v>
      </c>
      <c r="Q85" s="140">
        <f t="shared" si="36"/>
        <v>295800</v>
      </c>
    </row>
    <row r="86" spans="1:17" s="138" customFormat="1" ht="12.75">
      <c r="A86" s="275"/>
      <c r="B86" s="287">
        <v>2010</v>
      </c>
      <c r="C86" s="34"/>
      <c r="D86" s="141"/>
      <c r="E86" s="140">
        <f>SUM(E87:E88)</f>
        <v>0</v>
      </c>
      <c r="F86" s="140">
        <f aca="true" t="shared" si="37" ref="F86:Q86">SUM(F87:F88)</f>
        <v>0</v>
      </c>
      <c r="G86" s="140">
        <f t="shared" si="37"/>
        <v>0</v>
      </c>
      <c r="H86" s="140">
        <f t="shared" si="37"/>
        <v>0</v>
      </c>
      <c r="I86" s="140">
        <f t="shared" si="37"/>
        <v>0</v>
      </c>
      <c r="J86" s="140">
        <f t="shared" si="37"/>
        <v>0</v>
      </c>
      <c r="K86" s="140">
        <f t="shared" si="37"/>
        <v>0</v>
      </c>
      <c r="L86" s="140">
        <f t="shared" si="37"/>
        <v>0</v>
      </c>
      <c r="M86" s="140">
        <f t="shared" si="37"/>
        <v>0</v>
      </c>
      <c r="N86" s="140">
        <f t="shared" si="37"/>
        <v>0</v>
      </c>
      <c r="O86" s="140">
        <f t="shared" si="37"/>
        <v>0</v>
      </c>
      <c r="P86" s="140">
        <f t="shared" si="37"/>
        <v>0</v>
      </c>
      <c r="Q86" s="140">
        <f t="shared" si="37"/>
        <v>0</v>
      </c>
    </row>
    <row r="87" spans="1:17" s="402" customFormat="1" ht="12.75">
      <c r="A87" s="396"/>
      <c r="B87" s="397"/>
      <c r="C87" s="398"/>
      <c r="D87" s="398"/>
      <c r="E87" s="399">
        <f>SUM(F87:G87)</f>
        <v>0</v>
      </c>
      <c r="F87" s="400"/>
      <c r="G87" s="400">
        <f>H87</f>
        <v>0</v>
      </c>
      <c r="H87" s="401">
        <f>I87+M87</f>
        <v>0</v>
      </c>
      <c r="I87" s="401">
        <f>SUM(J87:L87)</f>
        <v>0</v>
      </c>
      <c r="J87" s="400">
        <f>SUM(J88:J88)</f>
        <v>0</v>
      </c>
      <c r="K87" s="400">
        <f>SUM(K88:K88)</f>
        <v>0</v>
      </c>
      <c r="L87" s="403"/>
      <c r="M87" s="401">
        <f>SUM(N87:Q87)</f>
        <v>0</v>
      </c>
      <c r="N87" s="400">
        <f>SUM(N88:N88)</f>
        <v>0</v>
      </c>
      <c r="O87" s="400">
        <f>SUM(O88:O88)</f>
        <v>0</v>
      </c>
      <c r="P87" s="400">
        <f>SUM(P88:P88)</f>
        <v>0</v>
      </c>
      <c r="Q87" s="403"/>
    </row>
    <row r="88" spans="1:17" s="402" customFormat="1" ht="12.75">
      <c r="A88" s="424"/>
      <c r="B88" s="397"/>
      <c r="C88" s="398"/>
      <c r="D88" s="398"/>
      <c r="E88" s="399">
        <f>SUM(F88:G88)</f>
        <v>0</v>
      </c>
      <c r="F88" s="400">
        <f>H88</f>
        <v>0</v>
      </c>
      <c r="G88" s="400"/>
      <c r="H88" s="401">
        <f>I88+M88</f>
        <v>0</v>
      </c>
      <c r="I88" s="401">
        <f>SUM(J88:L88)</f>
        <v>0</v>
      </c>
      <c r="J88" s="398"/>
      <c r="K88" s="398"/>
      <c r="L88" s="403"/>
      <c r="M88" s="401">
        <f>SUM(N88:Q88)</f>
        <v>0</v>
      </c>
      <c r="N88" s="398"/>
      <c r="O88" s="398"/>
      <c r="P88" s="398"/>
      <c r="Q88" s="403"/>
    </row>
    <row r="89" spans="1:17" ht="12.75">
      <c r="A89" s="268"/>
      <c r="B89" s="134">
        <v>2011</v>
      </c>
      <c r="C89" s="133"/>
      <c r="D89" s="134"/>
      <c r="E89" s="140">
        <f>SUM(F89:G89)</f>
        <v>348000</v>
      </c>
      <c r="F89" s="135">
        <f>L89</f>
        <v>52200</v>
      </c>
      <c r="G89" s="135">
        <f>Q89</f>
        <v>295800</v>
      </c>
      <c r="H89" s="133">
        <f>I89+M89</f>
        <v>348000</v>
      </c>
      <c r="I89" s="133">
        <f>SUM(J89:L89)</f>
        <v>52200</v>
      </c>
      <c r="J89" s="133"/>
      <c r="K89" s="133"/>
      <c r="L89" s="135">
        <v>52200</v>
      </c>
      <c r="M89" s="133">
        <f>SUM(N89:Q89)</f>
        <v>295800</v>
      </c>
      <c r="N89" s="133"/>
      <c r="O89" s="133"/>
      <c r="P89" s="133"/>
      <c r="Q89" s="135">
        <v>295800</v>
      </c>
    </row>
    <row r="90" spans="1:17" s="138" customFormat="1" ht="11.25">
      <c r="A90" s="425"/>
      <c r="B90" s="426"/>
      <c r="C90" s="427"/>
      <c r="D90" s="427"/>
      <c r="E90" s="592"/>
      <c r="F90" s="404"/>
      <c r="G90" s="404"/>
      <c r="J90" s="427"/>
      <c r="L90" s="427"/>
      <c r="M90" s="427"/>
      <c r="O90" s="427"/>
      <c r="P90" s="427"/>
      <c r="Q90" s="427"/>
    </row>
    <row r="91" spans="1:17" s="55" customFormat="1" ht="27" customHeight="1">
      <c r="A91" s="501">
        <v>2</v>
      </c>
      <c r="B91" s="508" t="s">
        <v>230</v>
      </c>
      <c r="C91" s="797" t="s">
        <v>184</v>
      </c>
      <c r="D91" s="797"/>
      <c r="E91" s="276">
        <f>E96+E116+E145+E171+E203+E230+E257+E343+E283+E322+E343+E416+E380+E353</f>
        <v>7531777.51</v>
      </c>
      <c r="F91" s="276">
        <f aca="true" t="shared" si="38" ref="F91:Q91">F96+F116+F145+F171+F203+F230+F257+F343+F283+F322+F343+F416+F380+F353</f>
        <v>3224721</v>
      </c>
      <c r="G91" s="276">
        <f t="shared" si="38"/>
        <v>2579964</v>
      </c>
      <c r="H91" s="276">
        <f t="shared" si="38"/>
        <v>5804685</v>
      </c>
      <c r="I91" s="276">
        <f t="shared" si="38"/>
        <v>877024</v>
      </c>
      <c r="J91" s="276">
        <f t="shared" si="38"/>
        <v>0</v>
      </c>
      <c r="K91" s="276">
        <f t="shared" si="38"/>
        <v>0</v>
      </c>
      <c r="L91" s="276">
        <f t="shared" si="38"/>
        <v>877024</v>
      </c>
      <c r="M91" s="276">
        <f t="shared" si="38"/>
        <v>4927661</v>
      </c>
      <c r="N91" s="276">
        <f t="shared" si="38"/>
        <v>0</v>
      </c>
      <c r="O91" s="276">
        <f t="shared" si="38"/>
        <v>0</v>
      </c>
      <c r="P91" s="276">
        <f t="shared" si="38"/>
        <v>0</v>
      </c>
      <c r="Q91" s="276" t="e">
        <f t="shared" si="38"/>
        <v>#REF!</v>
      </c>
    </row>
    <row r="92" spans="1:17" ht="15.75" customHeight="1">
      <c r="A92" s="798" t="s">
        <v>231</v>
      </c>
      <c r="B92" s="286" t="s">
        <v>223</v>
      </c>
      <c r="C92" s="791" t="s">
        <v>79</v>
      </c>
      <c r="D92" s="792"/>
      <c r="E92" s="792"/>
      <c r="F92" s="792"/>
      <c r="G92" s="792"/>
      <c r="H92" s="792"/>
      <c r="I92" s="792"/>
      <c r="J92" s="792"/>
      <c r="K92" s="792"/>
      <c r="L92" s="792"/>
      <c r="M92" s="792"/>
      <c r="N92" s="792"/>
      <c r="O92" s="792"/>
      <c r="P92" s="792"/>
      <c r="Q92" s="793"/>
    </row>
    <row r="93" spans="1:17" ht="12.75" customHeight="1">
      <c r="A93" s="799"/>
      <c r="B93" s="284" t="s">
        <v>224</v>
      </c>
      <c r="C93" s="791"/>
      <c r="D93" s="792"/>
      <c r="E93" s="792"/>
      <c r="F93" s="792"/>
      <c r="G93" s="792"/>
      <c r="H93" s="792"/>
      <c r="I93" s="792"/>
      <c r="J93" s="792"/>
      <c r="K93" s="792"/>
      <c r="L93" s="792"/>
      <c r="M93" s="792"/>
      <c r="N93" s="792"/>
      <c r="O93" s="792"/>
      <c r="P93" s="792"/>
      <c r="Q93" s="793"/>
    </row>
    <row r="94" spans="1:17" ht="12.75" customHeight="1">
      <c r="A94" s="799"/>
      <c r="B94" s="284" t="s">
        <v>225</v>
      </c>
      <c r="C94" s="791"/>
      <c r="D94" s="792"/>
      <c r="E94" s="792"/>
      <c r="F94" s="792"/>
      <c r="G94" s="792"/>
      <c r="H94" s="792"/>
      <c r="I94" s="792"/>
      <c r="J94" s="792"/>
      <c r="K94" s="792"/>
      <c r="L94" s="792"/>
      <c r="M94" s="792"/>
      <c r="N94" s="792"/>
      <c r="O94" s="792"/>
      <c r="P94" s="792"/>
      <c r="Q94" s="793"/>
    </row>
    <row r="95" spans="1:17" ht="12.75" customHeight="1">
      <c r="A95" s="799"/>
      <c r="B95" s="285" t="s">
        <v>226</v>
      </c>
      <c r="C95" s="794"/>
      <c r="D95" s="795"/>
      <c r="E95" s="795"/>
      <c r="F95" s="795"/>
      <c r="G95" s="795"/>
      <c r="H95" s="795"/>
      <c r="I95" s="795"/>
      <c r="J95" s="795"/>
      <c r="K95" s="795"/>
      <c r="L95" s="795"/>
      <c r="M95" s="795"/>
      <c r="N95" s="795"/>
      <c r="O95" s="795"/>
      <c r="P95" s="795"/>
      <c r="Q95" s="796"/>
    </row>
    <row r="96" spans="1:17" s="139" customFormat="1" ht="12.75">
      <c r="A96" s="799"/>
      <c r="B96" s="287" t="s">
        <v>227</v>
      </c>
      <c r="C96" s="34"/>
      <c r="D96" s="141" t="s">
        <v>448</v>
      </c>
      <c r="E96" s="140">
        <f>E104+E105</f>
        <v>147102</v>
      </c>
      <c r="F96" s="140">
        <f aca="true" t="shared" si="39" ref="F96:Q96">F104+F105</f>
        <v>0</v>
      </c>
      <c r="G96" s="140">
        <f t="shared" si="39"/>
        <v>147102</v>
      </c>
      <c r="H96" s="140">
        <f t="shared" si="39"/>
        <v>147102</v>
      </c>
      <c r="I96" s="140">
        <f t="shared" si="39"/>
        <v>0</v>
      </c>
      <c r="J96" s="140">
        <f t="shared" si="39"/>
        <v>0</v>
      </c>
      <c r="K96" s="140">
        <f t="shared" si="39"/>
        <v>0</v>
      </c>
      <c r="L96" s="140">
        <f t="shared" si="39"/>
        <v>0</v>
      </c>
      <c r="M96" s="140">
        <f t="shared" si="39"/>
        <v>147102</v>
      </c>
      <c r="N96" s="140">
        <f t="shared" si="39"/>
        <v>0</v>
      </c>
      <c r="O96" s="140">
        <f t="shared" si="39"/>
        <v>0</v>
      </c>
      <c r="P96" s="140">
        <f t="shared" si="39"/>
        <v>0</v>
      </c>
      <c r="Q96" s="262" t="e">
        <f t="shared" si="39"/>
        <v>#REF!</v>
      </c>
    </row>
    <row r="97" spans="1:17" s="139" customFormat="1" ht="12.75" hidden="1">
      <c r="A97" s="799"/>
      <c r="B97" s="134" t="s">
        <v>80</v>
      </c>
      <c r="C97" s="34"/>
      <c r="D97" s="141" t="s">
        <v>88</v>
      </c>
      <c r="E97" s="140"/>
      <c r="F97" s="140"/>
      <c r="G97" s="140"/>
      <c r="H97" s="140"/>
      <c r="I97" s="140"/>
      <c r="J97" s="140"/>
      <c r="K97" s="140"/>
      <c r="L97" s="140"/>
      <c r="M97" s="140"/>
      <c r="N97" s="140"/>
      <c r="O97" s="140"/>
      <c r="P97" s="140"/>
      <c r="Q97" s="117" t="e">
        <f>'[1]2'!G538</f>
        <v>#REF!</v>
      </c>
    </row>
    <row r="98" spans="1:17" s="139" customFormat="1" ht="22.5" hidden="1">
      <c r="A98" s="799"/>
      <c r="B98" s="134" t="s">
        <v>81</v>
      </c>
      <c r="C98" s="34"/>
      <c r="D98" s="141" t="s">
        <v>89</v>
      </c>
      <c r="E98" s="140"/>
      <c r="F98" s="140"/>
      <c r="G98" s="140"/>
      <c r="H98" s="140"/>
      <c r="I98" s="140"/>
      <c r="J98" s="140"/>
      <c r="K98" s="140"/>
      <c r="L98" s="140"/>
      <c r="M98" s="140"/>
      <c r="N98" s="140"/>
      <c r="O98" s="140"/>
      <c r="P98" s="140"/>
      <c r="Q98" s="117"/>
    </row>
    <row r="99" spans="1:17" s="139" customFormat="1" ht="12.75" hidden="1">
      <c r="A99" s="799"/>
      <c r="B99" s="134" t="s">
        <v>82</v>
      </c>
      <c r="C99" s="34"/>
      <c r="D99" s="141" t="s">
        <v>90</v>
      </c>
      <c r="E99" s="140"/>
      <c r="F99" s="140"/>
      <c r="G99" s="140"/>
      <c r="H99" s="140"/>
      <c r="I99" s="140"/>
      <c r="J99" s="140"/>
      <c r="K99" s="140"/>
      <c r="L99" s="140"/>
      <c r="M99" s="140"/>
      <c r="N99" s="140"/>
      <c r="O99" s="140"/>
      <c r="P99" s="140"/>
      <c r="Q99" s="117"/>
    </row>
    <row r="100" spans="1:17" s="139" customFormat="1" ht="22.5" hidden="1">
      <c r="A100" s="799"/>
      <c r="B100" s="134" t="s">
        <v>83</v>
      </c>
      <c r="C100" s="34"/>
      <c r="D100" s="141" t="s">
        <v>91</v>
      </c>
      <c r="E100" s="140"/>
      <c r="F100" s="140"/>
      <c r="G100" s="140"/>
      <c r="H100" s="140"/>
      <c r="I100" s="140"/>
      <c r="J100" s="140"/>
      <c r="K100" s="140"/>
      <c r="L100" s="140"/>
      <c r="M100" s="140"/>
      <c r="N100" s="140"/>
      <c r="O100" s="140"/>
      <c r="P100" s="140"/>
      <c r="Q100" s="117"/>
    </row>
    <row r="101" spans="1:17" s="139" customFormat="1" ht="22.5" hidden="1">
      <c r="A101" s="799"/>
      <c r="B101" s="134" t="s">
        <v>751</v>
      </c>
      <c r="C101" s="34"/>
      <c r="D101" s="141" t="s">
        <v>750</v>
      </c>
      <c r="E101" s="140"/>
      <c r="F101" s="140"/>
      <c r="G101" s="140"/>
      <c r="H101" s="140"/>
      <c r="I101" s="140"/>
      <c r="J101" s="140"/>
      <c r="K101" s="140"/>
      <c r="L101" s="140"/>
      <c r="M101" s="140"/>
      <c r="N101" s="140"/>
      <c r="O101" s="140"/>
      <c r="P101" s="140"/>
      <c r="Q101" s="117"/>
    </row>
    <row r="102" spans="1:17" s="139" customFormat="1" ht="33.75" hidden="1">
      <c r="A102" s="799"/>
      <c r="B102" s="134" t="s">
        <v>84</v>
      </c>
      <c r="C102" s="34"/>
      <c r="D102" s="141" t="s">
        <v>92</v>
      </c>
      <c r="E102" s="140"/>
      <c r="F102" s="140"/>
      <c r="G102" s="140"/>
      <c r="H102" s="140"/>
      <c r="I102" s="140"/>
      <c r="J102" s="140"/>
      <c r="K102" s="140"/>
      <c r="L102" s="140"/>
      <c r="M102" s="140"/>
      <c r="N102" s="140"/>
      <c r="O102" s="140"/>
      <c r="P102" s="140"/>
      <c r="Q102" s="117" t="e">
        <f>'[1]2'!L566</f>
        <v>#REF!</v>
      </c>
    </row>
    <row r="103" spans="1:17" s="139" customFormat="1" ht="12.75" hidden="1">
      <c r="A103" s="799"/>
      <c r="B103" s="287"/>
      <c r="C103" s="34"/>
      <c r="D103" s="141"/>
      <c r="E103" s="140"/>
      <c r="F103" s="137"/>
      <c r="G103" s="137"/>
      <c r="H103" s="133"/>
      <c r="I103" s="34"/>
      <c r="J103" s="137"/>
      <c r="K103" s="137"/>
      <c r="L103" s="137"/>
      <c r="M103" s="34"/>
      <c r="N103" s="137"/>
      <c r="O103" s="137"/>
      <c r="P103" s="137"/>
      <c r="Q103" s="137"/>
    </row>
    <row r="104" spans="1:17" s="138" customFormat="1" ht="12.75">
      <c r="A104" s="799"/>
      <c r="B104" s="134"/>
      <c r="C104" s="136"/>
      <c r="D104" s="136"/>
      <c r="E104" s="135">
        <f aca="true" t="shared" si="40" ref="E104:E111">F104+G104</f>
        <v>0</v>
      </c>
      <c r="F104" s="135"/>
      <c r="G104" s="135"/>
      <c r="H104" s="135">
        <f aca="true" t="shared" si="41" ref="H104:H111">I104+M104</f>
        <v>0</v>
      </c>
      <c r="I104" s="135">
        <f>J104+K104+L104</f>
        <v>0</v>
      </c>
      <c r="J104" s="135"/>
      <c r="K104" s="135"/>
      <c r="L104" s="135"/>
      <c r="M104" s="140"/>
      <c r="N104" s="135"/>
      <c r="O104" s="135"/>
      <c r="P104" s="135"/>
      <c r="Q104" s="135" t="e">
        <f>SUM(Q97:Q102)</f>
        <v>#REF!</v>
      </c>
    </row>
    <row r="105" spans="1:17" s="138" customFormat="1" ht="12.75">
      <c r="A105" s="799"/>
      <c r="B105" s="134"/>
      <c r="C105" s="136"/>
      <c r="D105" s="136"/>
      <c r="E105" s="135">
        <f t="shared" si="40"/>
        <v>147102</v>
      </c>
      <c r="F105" s="133"/>
      <c r="G105" s="140">
        <f aca="true" t="shared" si="42" ref="G105:G111">M105</f>
        <v>147102</v>
      </c>
      <c r="H105" s="135">
        <f t="shared" si="41"/>
        <v>147102</v>
      </c>
      <c r="I105" s="135">
        <f>J105+K105+L105</f>
        <v>0</v>
      </c>
      <c r="J105" s="136"/>
      <c r="K105" s="136"/>
      <c r="L105" s="250"/>
      <c r="M105" s="140">
        <f aca="true" t="shared" si="43" ref="M105:M111">SUM(N105:Q105)</f>
        <v>147102</v>
      </c>
      <c r="N105" s="136"/>
      <c r="O105" s="136"/>
      <c r="P105" s="136"/>
      <c r="Q105" s="250">
        <f>SUM(Q106:Q111)</f>
        <v>147102</v>
      </c>
    </row>
    <row r="106" spans="1:17" s="139" customFormat="1" ht="22.5">
      <c r="A106" s="799"/>
      <c r="B106" s="134" t="s">
        <v>791</v>
      </c>
      <c r="C106" s="34"/>
      <c r="D106" s="141">
        <v>4047</v>
      </c>
      <c r="E106" s="135">
        <f t="shared" si="40"/>
        <v>100800</v>
      </c>
      <c r="F106" s="140"/>
      <c r="G106" s="140">
        <f t="shared" si="42"/>
        <v>100800</v>
      </c>
      <c r="H106" s="135">
        <f t="shared" si="41"/>
        <v>100800</v>
      </c>
      <c r="I106" s="135">
        <f>J106+K106+L106</f>
        <v>0</v>
      </c>
      <c r="J106" s="140"/>
      <c r="K106" s="140"/>
      <c r="L106" s="140"/>
      <c r="M106" s="140">
        <f t="shared" si="43"/>
        <v>100800</v>
      </c>
      <c r="N106" s="140"/>
      <c r="O106" s="140"/>
      <c r="P106" s="140"/>
      <c r="Q106" s="117">
        <v>100800</v>
      </c>
    </row>
    <row r="107" spans="1:17" s="139" customFormat="1" ht="12.75">
      <c r="A107" s="799"/>
      <c r="B107" s="134" t="s">
        <v>6</v>
      </c>
      <c r="C107" s="34"/>
      <c r="D107" s="141">
        <v>4017</v>
      </c>
      <c r="E107" s="135">
        <f t="shared" si="40"/>
        <v>0</v>
      </c>
      <c r="F107" s="140"/>
      <c r="G107" s="140">
        <f t="shared" si="42"/>
        <v>0</v>
      </c>
      <c r="H107" s="135"/>
      <c r="I107" s="135"/>
      <c r="J107" s="140"/>
      <c r="K107" s="140"/>
      <c r="L107" s="140"/>
      <c r="M107" s="140">
        <f t="shared" si="43"/>
        <v>0</v>
      </c>
      <c r="N107" s="140"/>
      <c r="O107" s="140"/>
      <c r="P107" s="140"/>
      <c r="Q107" s="117"/>
    </row>
    <row r="108" spans="1:17" s="139" customFormat="1" ht="22.5">
      <c r="A108" s="799"/>
      <c r="B108" s="134" t="s">
        <v>81</v>
      </c>
      <c r="C108" s="34"/>
      <c r="D108" s="141">
        <v>4117</v>
      </c>
      <c r="E108" s="135">
        <f t="shared" si="40"/>
        <v>15221</v>
      </c>
      <c r="F108" s="140"/>
      <c r="G108" s="140">
        <f t="shared" si="42"/>
        <v>15221</v>
      </c>
      <c r="H108" s="135">
        <f t="shared" si="41"/>
        <v>15221</v>
      </c>
      <c r="I108" s="135">
        <f>J108+K108+L108</f>
        <v>0</v>
      </c>
      <c r="J108" s="140"/>
      <c r="K108" s="140"/>
      <c r="L108" s="140"/>
      <c r="M108" s="140">
        <f t="shared" si="43"/>
        <v>15221</v>
      </c>
      <c r="N108" s="140"/>
      <c r="O108" s="140"/>
      <c r="P108" s="140"/>
      <c r="Q108" s="117">
        <v>15221</v>
      </c>
    </row>
    <row r="109" spans="1:17" s="139" customFormat="1" ht="12.75">
      <c r="A109" s="799"/>
      <c r="B109" s="134" t="s">
        <v>82</v>
      </c>
      <c r="C109" s="34"/>
      <c r="D109" s="141">
        <v>4127</v>
      </c>
      <c r="E109" s="135">
        <f t="shared" si="40"/>
        <v>2470</v>
      </c>
      <c r="F109" s="140"/>
      <c r="G109" s="140">
        <f t="shared" si="42"/>
        <v>2470</v>
      </c>
      <c r="H109" s="135">
        <f t="shared" si="41"/>
        <v>2470</v>
      </c>
      <c r="I109" s="140"/>
      <c r="J109" s="140"/>
      <c r="K109" s="140"/>
      <c r="L109" s="140"/>
      <c r="M109" s="140">
        <f t="shared" si="43"/>
        <v>2470</v>
      </c>
      <c r="N109" s="140"/>
      <c r="O109" s="140"/>
      <c r="P109" s="140"/>
      <c r="Q109" s="117">
        <v>2470</v>
      </c>
    </row>
    <row r="110" spans="1:17" s="139" customFormat="1" ht="36">
      <c r="A110" s="799"/>
      <c r="B110" s="651" t="s">
        <v>432</v>
      </c>
      <c r="C110" s="34"/>
      <c r="D110" s="141">
        <v>4447</v>
      </c>
      <c r="E110" s="135">
        <f>F110+G110</f>
        <v>4001</v>
      </c>
      <c r="F110" s="140"/>
      <c r="G110" s="140">
        <f>M110</f>
        <v>4001</v>
      </c>
      <c r="H110" s="135">
        <f>I110+M110</f>
        <v>4001</v>
      </c>
      <c r="I110" s="135">
        <f>J110+K110+L110</f>
        <v>0</v>
      </c>
      <c r="J110" s="140"/>
      <c r="K110" s="140"/>
      <c r="L110" s="140"/>
      <c r="M110" s="140">
        <f>SUM(N110:Q110)</f>
        <v>4001</v>
      </c>
      <c r="N110" s="140"/>
      <c r="O110" s="140"/>
      <c r="P110" s="140"/>
      <c r="Q110" s="117">
        <v>4001</v>
      </c>
    </row>
    <row r="111" spans="1:17" s="139" customFormat="1" ht="60">
      <c r="A111" s="799"/>
      <c r="B111" s="651" t="s">
        <v>865</v>
      </c>
      <c r="C111" s="34"/>
      <c r="D111" s="141">
        <v>4707</v>
      </c>
      <c r="E111" s="135">
        <f t="shared" si="40"/>
        <v>24610</v>
      </c>
      <c r="F111" s="140"/>
      <c r="G111" s="140">
        <f t="shared" si="42"/>
        <v>24610</v>
      </c>
      <c r="H111" s="135">
        <f t="shared" si="41"/>
        <v>24610</v>
      </c>
      <c r="I111" s="135">
        <f>J111+K111+L111</f>
        <v>0</v>
      </c>
      <c r="J111" s="140"/>
      <c r="K111" s="140"/>
      <c r="L111" s="140"/>
      <c r="M111" s="140">
        <f t="shared" si="43"/>
        <v>24610</v>
      </c>
      <c r="N111" s="140"/>
      <c r="O111" s="140"/>
      <c r="P111" s="140"/>
      <c r="Q111" s="117">
        <v>24610</v>
      </c>
    </row>
    <row r="112" spans="1:17" s="138" customFormat="1" ht="21.75" customHeight="1">
      <c r="A112" s="275" t="s">
        <v>232</v>
      </c>
      <c r="B112" s="286" t="s">
        <v>223</v>
      </c>
      <c r="C112" s="788" t="s">
        <v>118</v>
      </c>
      <c r="D112" s="789"/>
      <c r="E112" s="789"/>
      <c r="F112" s="789"/>
      <c r="G112" s="789"/>
      <c r="H112" s="789"/>
      <c r="I112" s="789"/>
      <c r="J112" s="789"/>
      <c r="K112" s="789"/>
      <c r="L112" s="789"/>
      <c r="M112" s="789"/>
      <c r="N112" s="789"/>
      <c r="O112" s="789"/>
      <c r="P112" s="789"/>
      <c r="Q112" s="790"/>
    </row>
    <row r="113" spans="1:17" s="138" customFormat="1" ht="11.25" customHeight="1">
      <c r="A113" s="275"/>
      <c r="B113" s="284" t="s">
        <v>224</v>
      </c>
      <c r="C113" s="791"/>
      <c r="D113" s="792"/>
      <c r="E113" s="792"/>
      <c r="F113" s="792"/>
      <c r="G113" s="792"/>
      <c r="H113" s="792"/>
      <c r="I113" s="792"/>
      <c r="J113" s="792"/>
      <c r="K113" s="792"/>
      <c r="L113" s="792"/>
      <c r="M113" s="792"/>
      <c r="N113" s="792"/>
      <c r="O113" s="792"/>
      <c r="P113" s="792"/>
      <c r="Q113" s="793"/>
    </row>
    <row r="114" spans="1:17" s="138" customFormat="1" ht="11.25" customHeight="1">
      <c r="A114" s="275"/>
      <c r="B114" s="284" t="s">
        <v>225</v>
      </c>
      <c r="C114" s="791"/>
      <c r="D114" s="792"/>
      <c r="E114" s="792"/>
      <c r="F114" s="792"/>
      <c r="G114" s="792"/>
      <c r="H114" s="792"/>
      <c r="I114" s="792"/>
      <c r="J114" s="792"/>
      <c r="K114" s="792"/>
      <c r="L114" s="792"/>
      <c r="M114" s="792"/>
      <c r="N114" s="792"/>
      <c r="O114" s="792"/>
      <c r="P114" s="792"/>
      <c r="Q114" s="793"/>
    </row>
    <row r="115" spans="1:17" s="138" customFormat="1" ht="11.25" customHeight="1">
      <c r="A115" s="275"/>
      <c r="B115" s="285" t="s">
        <v>226</v>
      </c>
      <c r="C115" s="794"/>
      <c r="D115" s="795"/>
      <c r="E115" s="795"/>
      <c r="F115" s="795"/>
      <c r="G115" s="795"/>
      <c r="H115" s="795"/>
      <c r="I115" s="795"/>
      <c r="J115" s="795"/>
      <c r="K115" s="795"/>
      <c r="L115" s="795"/>
      <c r="M115" s="795"/>
      <c r="N115" s="795"/>
      <c r="O115" s="795"/>
      <c r="P115" s="795"/>
      <c r="Q115" s="796"/>
    </row>
    <row r="116" spans="1:17" s="138" customFormat="1" ht="12.75">
      <c r="A116" s="275"/>
      <c r="B116" s="287" t="s">
        <v>227</v>
      </c>
      <c r="C116" s="34"/>
      <c r="D116" s="141" t="s">
        <v>447</v>
      </c>
      <c r="E116" s="140">
        <f>E138+E139</f>
        <v>413206.45999999996</v>
      </c>
      <c r="F116" s="140">
        <f aca="true" t="shared" si="44" ref="F116:Q116">F138+F139</f>
        <v>40945</v>
      </c>
      <c r="G116" s="140">
        <f t="shared" si="44"/>
        <v>235642</v>
      </c>
      <c r="H116" s="140">
        <f t="shared" si="44"/>
        <v>276587</v>
      </c>
      <c r="I116" s="140">
        <f t="shared" si="44"/>
        <v>40945</v>
      </c>
      <c r="J116" s="140">
        <f t="shared" si="44"/>
        <v>0</v>
      </c>
      <c r="K116" s="140">
        <f t="shared" si="44"/>
        <v>0</v>
      </c>
      <c r="L116" s="140">
        <f t="shared" si="44"/>
        <v>40945</v>
      </c>
      <c r="M116" s="140">
        <f t="shared" si="44"/>
        <v>235642</v>
      </c>
      <c r="N116" s="140">
        <f t="shared" si="44"/>
        <v>0</v>
      </c>
      <c r="O116" s="140">
        <f t="shared" si="44"/>
        <v>0</v>
      </c>
      <c r="P116" s="140">
        <f t="shared" si="44"/>
        <v>0</v>
      </c>
      <c r="Q116" s="262">
        <f t="shared" si="44"/>
        <v>235642</v>
      </c>
    </row>
    <row r="117" spans="1:17" s="138" customFormat="1" ht="22.5">
      <c r="A117" s="275"/>
      <c r="B117" s="79" t="s">
        <v>417</v>
      </c>
      <c r="C117" s="34"/>
      <c r="D117" s="270">
        <v>4018</v>
      </c>
      <c r="E117" s="140">
        <f>F117+G117</f>
        <v>7711</v>
      </c>
      <c r="F117" s="140"/>
      <c r="G117" s="262">
        <f>Q117</f>
        <v>7711</v>
      </c>
      <c r="H117" s="140">
        <f>I117+M117</f>
        <v>7711</v>
      </c>
      <c r="I117" s="140">
        <f>SUM(J117:L117)</f>
        <v>0</v>
      </c>
      <c r="J117" s="140"/>
      <c r="K117" s="140"/>
      <c r="L117" s="140"/>
      <c r="M117" s="140">
        <f>SUM(N117:Q117)</f>
        <v>7711</v>
      </c>
      <c r="N117" s="140"/>
      <c r="O117" s="140"/>
      <c r="P117" s="140"/>
      <c r="Q117" s="593">
        <v>7711</v>
      </c>
    </row>
    <row r="118" spans="1:17" s="138" customFormat="1" ht="22.5">
      <c r="A118" s="275"/>
      <c r="B118" s="79" t="s">
        <v>417</v>
      </c>
      <c r="C118" s="34"/>
      <c r="D118" s="270">
        <v>4019</v>
      </c>
      <c r="E118" s="140">
        <f>F118+G118</f>
        <v>1155</v>
      </c>
      <c r="F118" s="140">
        <f>L118</f>
        <v>1155</v>
      </c>
      <c r="G118" s="262"/>
      <c r="H118" s="140">
        <f>I118+M118</f>
        <v>1155</v>
      </c>
      <c r="I118" s="140">
        <f>SUM(J118:L118)</f>
        <v>1155</v>
      </c>
      <c r="J118" s="140"/>
      <c r="K118" s="140"/>
      <c r="L118" s="593">
        <f>204+951</f>
        <v>1155</v>
      </c>
      <c r="M118" s="140">
        <f>SUM(N118:Q118)</f>
        <v>0</v>
      </c>
      <c r="N118" s="140"/>
      <c r="O118" s="140"/>
      <c r="P118" s="140"/>
      <c r="Q118" s="262"/>
    </row>
    <row r="119" spans="1:17" s="138" customFormat="1" ht="22.5">
      <c r="A119" s="275"/>
      <c r="B119" s="79" t="s">
        <v>556</v>
      </c>
      <c r="C119" s="34"/>
      <c r="D119" s="270">
        <v>4118</v>
      </c>
      <c r="E119" s="140">
        <f aca="true" t="shared" si="45" ref="E119:E137">F119+G119</f>
        <v>2753</v>
      </c>
      <c r="F119" s="140"/>
      <c r="G119" s="262">
        <f>Q119</f>
        <v>2753</v>
      </c>
      <c r="H119" s="140">
        <f aca="true" t="shared" si="46" ref="H119:H137">I119+M119</f>
        <v>2753</v>
      </c>
      <c r="I119" s="140">
        <f aca="true" t="shared" si="47" ref="I119:I137">SUM(J119:L119)</f>
        <v>0</v>
      </c>
      <c r="J119" s="140"/>
      <c r="K119" s="140"/>
      <c r="L119" s="140"/>
      <c r="M119" s="140">
        <f aca="true" t="shared" si="48" ref="M119:M137">SUM(N119:Q119)</f>
        <v>2753</v>
      </c>
      <c r="N119" s="140"/>
      <c r="O119" s="140"/>
      <c r="P119" s="140"/>
      <c r="Q119" s="593">
        <f>1171+1582</f>
        <v>2753</v>
      </c>
    </row>
    <row r="120" spans="1:17" s="138" customFormat="1" ht="22.5">
      <c r="A120" s="275"/>
      <c r="B120" s="79" t="s">
        <v>556</v>
      </c>
      <c r="C120" s="34"/>
      <c r="D120" s="270">
        <v>4119</v>
      </c>
      <c r="E120" s="140">
        <f t="shared" si="45"/>
        <v>413</v>
      </c>
      <c r="F120" s="140">
        <f>L120</f>
        <v>413</v>
      </c>
      <c r="G120" s="262"/>
      <c r="H120" s="140">
        <f t="shared" si="46"/>
        <v>413</v>
      </c>
      <c r="I120" s="140">
        <f t="shared" si="47"/>
        <v>413</v>
      </c>
      <c r="J120" s="140"/>
      <c r="K120" s="140"/>
      <c r="L120" s="593">
        <f>31+145+42+195</f>
        <v>413</v>
      </c>
      <c r="M120" s="140">
        <f t="shared" si="48"/>
        <v>0</v>
      </c>
      <c r="N120" s="140"/>
      <c r="O120" s="140"/>
      <c r="P120" s="140"/>
      <c r="Q120" s="262"/>
    </row>
    <row r="121" spans="1:17" s="138" customFormat="1" ht="12.75">
      <c r="A121" s="275"/>
      <c r="B121" s="79" t="s">
        <v>558</v>
      </c>
      <c r="C121" s="34"/>
      <c r="D121" s="270">
        <v>4128</v>
      </c>
      <c r="E121" s="140">
        <f t="shared" si="45"/>
        <v>503</v>
      </c>
      <c r="F121" s="140"/>
      <c r="G121" s="262">
        <f>Q121</f>
        <v>503</v>
      </c>
      <c r="H121" s="140">
        <f t="shared" si="46"/>
        <v>503</v>
      </c>
      <c r="I121" s="140">
        <f t="shared" si="47"/>
        <v>0</v>
      </c>
      <c r="J121" s="140"/>
      <c r="K121" s="140"/>
      <c r="L121" s="140"/>
      <c r="M121" s="140">
        <f t="shared" si="48"/>
        <v>503</v>
      </c>
      <c r="N121" s="140"/>
      <c r="O121" s="140"/>
      <c r="P121" s="140"/>
      <c r="Q121" s="593">
        <f>189+314</f>
        <v>503</v>
      </c>
    </row>
    <row r="122" spans="1:17" s="138" customFormat="1" ht="12.75">
      <c r="A122" s="275"/>
      <c r="B122" s="79" t="s">
        <v>558</v>
      </c>
      <c r="C122" s="34"/>
      <c r="D122" s="270">
        <v>4129</v>
      </c>
      <c r="E122" s="140">
        <f t="shared" si="45"/>
        <v>75</v>
      </c>
      <c r="F122" s="140">
        <f>L122</f>
        <v>75</v>
      </c>
      <c r="G122" s="262"/>
      <c r="H122" s="140">
        <f t="shared" si="46"/>
        <v>75</v>
      </c>
      <c r="I122" s="140">
        <f t="shared" si="47"/>
        <v>75</v>
      </c>
      <c r="J122" s="140"/>
      <c r="K122" s="140"/>
      <c r="L122" s="593">
        <f>5+23+8+39</f>
        <v>75</v>
      </c>
      <c r="M122" s="140">
        <f t="shared" si="48"/>
        <v>0</v>
      </c>
      <c r="N122" s="140"/>
      <c r="O122" s="140"/>
      <c r="P122" s="140"/>
      <c r="Q122" s="262"/>
    </row>
    <row r="123" spans="1:17" s="138" customFormat="1" ht="22.5">
      <c r="A123" s="275"/>
      <c r="B123" s="79" t="s">
        <v>518</v>
      </c>
      <c r="C123" s="34"/>
      <c r="D123" s="270">
        <v>4178</v>
      </c>
      <c r="E123" s="140">
        <f t="shared" si="45"/>
        <v>80022</v>
      </c>
      <c r="F123" s="140"/>
      <c r="G123" s="262">
        <f>M123</f>
        <v>80022</v>
      </c>
      <c r="H123" s="140">
        <f t="shared" si="46"/>
        <v>80022</v>
      </c>
      <c r="I123" s="140">
        <f t="shared" si="47"/>
        <v>0</v>
      </c>
      <c r="J123" s="140"/>
      <c r="K123" s="140"/>
      <c r="L123" s="140"/>
      <c r="M123" s="140">
        <f t="shared" si="48"/>
        <v>80022</v>
      </c>
      <c r="N123" s="140"/>
      <c r="O123" s="140"/>
      <c r="P123" s="140"/>
      <c r="Q123" s="593">
        <v>80022</v>
      </c>
    </row>
    <row r="124" spans="1:17" s="138" customFormat="1" ht="22.5">
      <c r="A124" s="275"/>
      <c r="B124" s="79" t="s">
        <v>518</v>
      </c>
      <c r="C124" s="34"/>
      <c r="D124" s="270">
        <v>4179</v>
      </c>
      <c r="E124" s="140">
        <f t="shared" si="45"/>
        <v>11954</v>
      </c>
      <c r="F124" s="140">
        <f>I124</f>
        <v>11954</v>
      </c>
      <c r="G124" s="262"/>
      <c r="H124" s="140">
        <f t="shared" si="46"/>
        <v>11954</v>
      </c>
      <c r="I124" s="140">
        <f t="shared" si="47"/>
        <v>11954</v>
      </c>
      <c r="J124" s="140"/>
      <c r="K124" s="140"/>
      <c r="L124" s="593">
        <v>11954</v>
      </c>
      <c r="M124" s="140">
        <f t="shared" si="48"/>
        <v>0</v>
      </c>
      <c r="N124" s="140"/>
      <c r="O124" s="140"/>
      <c r="P124" s="140"/>
      <c r="Q124" s="262"/>
    </row>
    <row r="125" spans="1:17" s="138" customFormat="1" ht="22.5">
      <c r="A125" s="275"/>
      <c r="B125" s="79" t="s">
        <v>422</v>
      </c>
      <c r="C125" s="34"/>
      <c r="D125" s="270">
        <v>4218</v>
      </c>
      <c r="E125" s="140">
        <f t="shared" si="45"/>
        <v>26327</v>
      </c>
      <c r="F125" s="140"/>
      <c r="G125" s="262">
        <f>M125</f>
        <v>26327</v>
      </c>
      <c r="H125" s="140">
        <f t="shared" si="46"/>
        <v>26327</v>
      </c>
      <c r="I125" s="140">
        <f t="shared" si="47"/>
        <v>0</v>
      </c>
      <c r="J125" s="140"/>
      <c r="K125" s="140"/>
      <c r="L125" s="140"/>
      <c r="M125" s="140">
        <f t="shared" si="48"/>
        <v>26327</v>
      </c>
      <c r="N125" s="140"/>
      <c r="O125" s="140"/>
      <c r="P125" s="140"/>
      <c r="Q125" s="593">
        <f>23017+3310</f>
        <v>26327</v>
      </c>
    </row>
    <row r="126" spans="1:17" s="138" customFormat="1" ht="22.5">
      <c r="A126" s="275"/>
      <c r="B126" s="79" t="s">
        <v>422</v>
      </c>
      <c r="C126" s="34"/>
      <c r="D126" s="270">
        <v>4219</v>
      </c>
      <c r="E126" s="140">
        <f t="shared" si="45"/>
        <v>3945</v>
      </c>
      <c r="F126" s="140">
        <f>H126</f>
        <v>3945</v>
      </c>
      <c r="G126" s="262"/>
      <c r="H126" s="140">
        <f t="shared" si="46"/>
        <v>3945</v>
      </c>
      <c r="I126" s="140">
        <f t="shared" si="47"/>
        <v>3945</v>
      </c>
      <c r="J126" s="140"/>
      <c r="K126" s="140"/>
      <c r="L126" s="593">
        <f>609+2840+88+408</f>
        <v>3945</v>
      </c>
      <c r="M126" s="140">
        <f t="shared" si="48"/>
        <v>0</v>
      </c>
      <c r="N126" s="140"/>
      <c r="O126" s="140"/>
      <c r="P126" s="140"/>
      <c r="Q126" s="262"/>
    </row>
    <row r="127" spans="1:17" s="138" customFormat="1" ht="12.75">
      <c r="A127" s="275"/>
      <c r="B127" s="79" t="s">
        <v>423</v>
      </c>
      <c r="C127" s="34"/>
      <c r="D127" s="270">
        <v>4268</v>
      </c>
      <c r="E127" s="140">
        <f>F127+G127</f>
        <v>0</v>
      </c>
      <c r="F127" s="140"/>
      <c r="G127" s="262">
        <f>M127</f>
        <v>0</v>
      </c>
      <c r="H127" s="140">
        <f>I127+M127</f>
        <v>0</v>
      </c>
      <c r="I127" s="140">
        <f>SUM(J127:L127)</f>
        <v>0</v>
      </c>
      <c r="J127" s="140"/>
      <c r="K127" s="140"/>
      <c r="L127" s="140"/>
      <c r="M127" s="140">
        <f>SUM(N127:Q127)</f>
        <v>0</v>
      </c>
      <c r="N127" s="140"/>
      <c r="O127" s="140"/>
      <c r="P127" s="140"/>
      <c r="Q127" s="594"/>
    </row>
    <row r="128" spans="1:17" s="138" customFormat="1" ht="12.75">
      <c r="A128" s="275"/>
      <c r="B128" s="79" t="s">
        <v>423</v>
      </c>
      <c r="C128" s="34"/>
      <c r="D128" s="270">
        <v>4269</v>
      </c>
      <c r="E128" s="140">
        <f>F128+G128</f>
        <v>0</v>
      </c>
      <c r="F128" s="140">
        <f>H128</f>
        <v>0</v>
      </c>
      <c r="G128" s="262"/>
      <c r="H128" s="140">
        <f>I128+M128</f>
        <v>0</v>
      </c>
      <c r="I128" s="140">
        <f>SUM(J128:L128)</f>
        <v>0</v>
      </c>
      <c r="J128" s="140"/>
      <c r="K128" s="140"/>
      <c r="L128" s="594"/>
      <c r="M128" s="140">
        <f>SUM(N128:Q128)</f>
        <v>0</v>
      </c>
      <c r="N128" s="140"/>
      <c r="O128" s="140"/>
      <c r="P128" s="140"/>
      <c r="Q128" s="262"/>
    </row>
    <row r="129" spans="1:17" s="138" customFormat="1" ht="12.75">
      <c r="A129" s="275"/>
      <c r="B129" s="79" t="s">
        <v>405</v>
      </c>
      <c r="C129" s="34"/>
      <c r="D129" s="270">
        <v>4308</v>
      </c>
      <c r="E129" s="140">
        <f>F129+G129</f>
        <v>112230</v>
      </c>
      <c r="F129" s="140"/>
      <c r="G129" s="262">
        <f>M129</f>
        <v>112230</v>
      </c>
      <c r="H129" s="140">
        <f>I129+M129</f>
        <v>112230</v>
      </c>
      <c r="I129" s="140">
        <f>SUM(J129:L129)</f>
        <v>0</v>
      </c>
      <c r="J129" s="140"/>
      <c r="K129" s="140"/>
      <c r="L129" s="140"/>
      <c r="M129" s="140">
        <f>SUM(N129:Q129)</f>
        <v>112230</v>
      </c>
      <c r="N129" s="140"/>
      <c r="O129" s="140"/>
      <c r="P129" s="140"/>
      <c r="Q129" s="593">
        <v>112230</v>
      </c>
    </row>
    <row r="130" spans="1:17" s="138" customFormat="1" ht="12.75">
      <c r="A130" s="275"/>
      <c r="B130" s="79" t="s">
        <v>405</v>
      </c>
      <c r="C130" s="34"/>
      <c r="D130" s="270">
        <v>4309</v>
      </c>
      <c r="E130" s="140">
        <f t="shared" si="45"/>
        <v>16846</v>
      </c>
      <c r="F130" s="140">
        <f>H130</f>
        <v>16846</v>
      </c>
      <c r="G130" s="262"/>
      <c r="H130" s="140">
        <f t="shared" si="46"/>
        <v>16846</v>
      </c>
      <c r="I130" s="140">
        <f t="shared" si="47"/>
        <v>16846</v>
      </c>
      <c r="J130" s="140"/>
      <c r="K130" s="140"/>
      <c r="L130" s="593">
        <v>16846</v>
      </c>
      <c r="M130" s="140">
        <f t="shared" si="48"/>
        <v>0</v>
      </c>
      <c r="N130" s="140"/>
      <c r="O130" s="140"/>
      <c r="P130" s="140"/>
      <c r="Q130" s="262"/>
    </row>
    <row r="131" spans="1:17" s="138" customFormat="1" ht="45">
      <c r="A131" s="275"/>
      <c r="B131" s="79" t="s">
        <v>521</v>
      </c>
      <c r="C131" s="34"/>
      <c r="D131" s="270">
        <v>4748</v>
      </c>
      <c r="E131" s="140">
        <f t="shared" si="45"/>
        <v>2443</v>
      </c>
      <c r="F131" s="140"/>
      <c r="G131" s="262">
        <f>M131</f>
        <v>2443</v>
      </c>
      <c r="H131" s="140">
        <f t="shared" si="46"/>
        <v>2443</v>
      </c>
      <c r="I131" s="140">
        <f t="shared" si="47"/>
        <v>0</v>
      </c>
      <c r="J131" s="140"/>
      <c r="K131" s="140"/>
      <c r="L131" s="140"/>
      <c r="M131" s="140">
        <f t="shared" si="48"/>
        <v>2443</v>
      </c>
      <c r="N131" s="140"/>
      <c r="O131" s="140"/>
      <c r="P131" s="140"/>
      <c r="Q131" s="593">
        <v>2443</v>
      </c>
    </row>
    <row r="132" spans="1:17" s="138" customFormat="1" ht="45">
      <c r="A132" s="275"/>
      <c r="B132" s="79" t="s">
        <v>521</v>
      </c>
      <c r="C132" s="34"/>
      <c r="D132" s="270">
        <v>4749</v>
      </c>
      <c r="E132" s="140">
        <f t="shared" si="45"/>
        <v>366</v>
      </c>
      <c r="F132" s="140">
        <f>H132</f>
        <v>366</v>
      </c>
      <c r="G132" s="262"/>
      <c r="H132" s="140">
        <f t="shared" si="46"/>
        <v>366</v>
      </c>
      <c r="I132" s="140">
        <f t="shared" si="47"/>
        <v>366</v>
      </c>
      <c r="J132" s="140"/>
      <c r="K132" s="140"/>
      <c r="L132" s="593">
        <f>65+301</f>
        <v>366</v>
      </c>
      <c r="M132" s="140">
        <f t="shared" si="48"/>
        <v>0</v>
      </c>
      <c r="N132" s="140"/>
      <c r="O132" s="140"/>
      <c r="P132" s="140"/>
      <c r="Q132" s="262"/>
    </row>
    <row r="133" spans="1:17" s="138" customFormat="1" ht="12.75">
      <c r="A133" s="275"/>
      <c r="B133" s="79"/>
      <c r="C133" s="34"/>
      <c r="D133" s="270">
        <v>4248</v>
      </c>
      <c r="E133" s="140">
        <f>F133+G133</f>
        <v>0</v>
      </c>
      <c r="F133" s="140">
        <f>H133</f>
        <v>0</v>
      </c>
      <c r="G133" s="262"/>
      <c r="H133" s="140">
        <f>I133+M133</f>
        <v>0</v>
      </c>
      <c r="I133" s="140">
        <f>SUM(J133:L133)</f>
        <v>0</v>
      </c>
      <c r="J133" s="140"/>
      <c r="K133" s="140"/>
      <c r="L133" s="140"/>
      <c r="M133" s="140">
        <f>SUM(N133:Q133)</f>
        <v>0</v>
      </c>
      <c r="N133" s="140"/>
      <c r="O133" s="140"/>
      <c r="P133" s="140"/>
      <c r="Q133" s="262"/>
    </row>
    <row r="134" spans="1:17" s="138" customFormat="1" ht="12.75">
      <c r="A134" s="275"/>
      <c r="B134" s="79"/>
      <c r="C134" s="34"/>
      <c r="D134" s="270">
        <v>4249</v>
      </c>
      <c r="E134" s="140">
        <f>F134+G134</f>
        <v>0</v>
      </c>
      <c r="F134" s="140">
        <f>H134</f>
        <v>0</v>
      </c>
      <c r="G134" s="262"/>
      <c r="H134" s="140">
        <f>I134+M134</f>
        <v>0</v>
      </c>
      <c r="I134" s="140">
        <f>SUM(J134:L134)</f>
        <v>0</v>
      </c>
      <c r="J134" s="140"/>
      <c r="K134" s="140"/>
      <c r="L134" s="140"/>
      <c r="M134" s="140">
        <f>SUM(N134:Q134)</f>
        <v>0</v>
      </c>
      <c r="N134" s="140"/>
      <c r="O134" s="140"/>
      <c r="P134" s="140"/>
      <c r="Q134" s="262"/>
    </row>
    <row r="135" spans="1:17" s="138" customFormat="1" ht="22.5">
      <c r="A135" s="275"/>
      <c r="B135" s="79" t="s">
        <v>268</v>
      </c>
      <c r="C135" s="34"/>
      <c r="D135" s="270"/>
      <c r="E135" s="140">
        <f>F135+G135</f>
        <v>5643</v>
      </c>
      <c r="F135" s="140">
        <f>H135</f>
        <v>5643</v>
      </c>
      <c r="G135" s="262"/>
      <c r="H135" s="140">
        <f>I135+M135</f>
        <v>5643</v>
      </c>
      <c r="I135" s="140">
        <f>SUM(J135:L135)</f>
        <v>5643</v>
      </c>
      <c r="J135" s="140"/>
      <c r="K135" s="140"/>
      <c r="L135" s="140">
        <v>5643</v>
      </c>
      <c r="M135" s="140">
        <f>SUM(N135:Q135)</f>
        <v>0</v>
      </c>
      <c r="N135" s="140"/>
      <c r="O135" s="140"/>
      <c r="P135" s="140"/>
      <c r="Q135" s="262"/>
    </row>
    <row r="136" spans="1:17" s="138" customFormat="1" ht="33.75">
      <c r="A136" s="275"/>
      <c r="B136" s="79" t="s">
        <v>561</v>
      </c>
      <c r="C136" s="34"/>
      <c r="D136" s="270">
        <v>4758</v>
      </c>
      <c r="E136" s="140">
        <f t="shared" si="45"/>
        <v>3653</v>
      </c>
      <c r="F136" s="140"/>
      <c r="G136" s="262">
        <f>M136</f>
        <v>3653</v>
      </c>
      <c r="H136" s="140">
        <f t="shared" si="46"/>
        <v>3653</v>
      </c>
      <c r="I136" s="140">
        <f t="shared" si="47"/>
        <v>0</v>
      </c>
      <c r="J136" s="140"/>
      <c r="K136" s="140"/>
      <c r="L136" s="140"/>
      <c r="M136" s="140">
        <f t="shared" si="48"/>
        <v>3653</v>
      </c>
      <c r="N136" s="140"/>
      <c r="O136" s="140"/>
      <c r="P136" s="140"/>
      <c r="Q136" s="593">
        <v>3653</v>
      </c>
    </row>
    <row r="137" spans="1:17" s="138" customFormat="1" ht="33.75">
      <c r="A137" s="275"/>
      <c r="B137" s="79" t="s">
        <v>561</v>
      </c>
      <c r="C137" s="34"/>
      <c r="D137" s="270">
        <v>4759</v>
      </c>
      <c r="E137" s="140">
        <f t="shared" si="45"/>
        <v>548</v>
      </c>
      <c r="F137" s="140">
        <f>H137</f>
        <v>548</v>
      </c>
      <c r="G137" s="262"/>
      <c r="H137" s="140">
        <f t="shared" si="46"/>
        <v>548</v>
      </c>
      <c r="I137" s="140">
        <f t="shared" si="47"/>
        <v>548</v>
      </c>
      <c r="J137" s="140"/>
      <c r="K137" s="140"/>
      <c r="L137" s="593">
        <f>97+451</f>
        <v>548</v>
      </c>
      <c r="M137" s="140">
        <f t="shared" si="48"/>
        <v>0</v>
      </c>
      <c r="N137" s="140"/>
      <c r="O137" s="140"/>
      <c r="P137" s="140"/>
      <c r="Q137" s="262"/>
    </row>
    <row r="138" spans="1:19" s="139" customFormat="1" ht="11.25">
      <c r="A138" s="595"/>
      <c r="B138" s="287" t="s">
        <v>511</v>
      </c>
      <c r="C138" s="596"/>
      <c r="D138" s="596"/>
      <c r="E138" s="137">
        <f>F138+G138</f>
        <v>276587</v>
      </c>
      <c r="F138" s="137">
        <f>SUM(F117:F137)</f>
        <v>40945</v>
      </c>
      <c r="G138" s="137">
        <f>SUM(G117:G137)</f>
        <v>235642</v>
      </c>
      <c r="H138" s="137">
        <f>I138+M138</f>
        <v>276587</v>
      </c>
      <c r="I138" s="137">
        <f>SUM(J138:L138)</f>
        <v>40945</v>
      </c>
      <c r="J138" s="137">
        <f>SUM(J117:J137)</f>
        <v>0</v>
      </c>
      <c r="K138" s="137">
        <f>SUM(K117:K137)</f>
        <v>0</v>
      </c>
      <c r="L138" s="137">
        <f>SUM(L117:L137)</f>
        <v>40945</v>
      </c>
      <c r="M138" s="137">
        <f>N138+O138+P138+Q138</f>
        <v>235642</v>
      </c>
      <c r="N138" s="137">
        <f>SUM(N117:N137)</f>
        <v>0</v>
      </c>
      <c r="O138" s="137">
        <f>SUM(O117:O137)</f>
        <v>0</v>
      </c>
      <c r="P138" s="137">
        <f>SUM(P117:P137)</f>
        <v>0</v>
      </c>
      <c r="Q138" s="137">
        <f>SUM(Q117:Q137)</f>
        <v>235642</v>
      </c>
      <c r="S138" s="597"/>
    </row>
    <row r="139" spans="1:17" s="138" customFormat="1" ht="11.25">
      <c r="A139" s="275"/>
      <c r="B139" s="134" t="s">
        <v>512</v>
      </c>
      <c r="C139" s="136"/>
      <c r="D139" s="136"/>
      <c r="E139" s="135">
        <v>136619.46</v>
      </c>
      <c r="F139" s="135"/>
      <c r="G139" s="133"/>
      <c r="H139" s="135"/>
      <c r="I139" s="135"/>
      <c r="J139" s="136"/>
      <c r="K139" s="136"/>
      <c r="L139" s="250"/>
      <c r="M139" s="135"/>
      <c r="N139" s="136"/>
      <c r="O139" s="136"/>
      <c r="P139" s="136"/>
      <c r="Q139" s="136"/>
    </row>
    <row r="140" spans="1:17" s="138" customFormat="1" ht="11.25">
      <c r="A140" s="275"/>
      <c r="B140" s="134"/>
      <c r="C140" s="136"/>
      <c r="D140" s="136"/>
      <c r="E140" s="135"/>
      <c r="F140" s="135"/>
      <c r="G140" s="133"/>
      <c r="H140" s="135"/>
      <c r="I140" s="135"/>
      <c r="J140" s="136"/>
      <c r="K140" s="136"/>
      <c r="L140" s="250"/>
      <c r="M140" s="135"/>
      <c r="N140" s="136"/>
      <c r="O140" s="136"/>
      <c r="P140" s="136"/>
      <c r="Q140" s="136"/>
    </row>
    <row r="141" spans="1:17" s="138" customFormat="1" ht="11.25" customHeight="1">
      <c r="A141" s="275" t="s">
        <v>370</v>
      </c>
      <c r="B141" s="286" t="s">
        <v>223</v>
      </c>
      <c r="C141" s="788" t="s">
        <v>746</v>
      </c>
      <c r="D141" s="789"/>
      <c r="E141" s="789"/>
      <c r="F141" s="789"/>
      <c r="G141" s="789"/>
      <c r="H141" s="789"/>
      <c r="I141" s="789"/>
      <c r="J141" s="789"/>
      <c r="K141" s="789"/>
      <c r="L141" s="789"/>
      <c r="M141" s="789"/>
      <c r="N141" s="789"/>
      <c r="O141" s="789"/>
      <c r="P141" s="789"/>
      <c r="Q141" s="790"/>
    </row>
    <row r="142" spans="1:17" s="138" customFormat="1" ht="11.25" customHeight="1">
      <c r="A142" s="275"/>
      <c r="B142" s="284" t="s">
        <v>224</v>
      </c>
      <c r="C142" s="791"/>
      <c r="D142" s="792"/>
      <c r="E142" s="792"/>
      <c r="F142" s="792"/>
      <c r="G142" s="792"/>
      <c r="H142" s="792"/>
      <c r="I142" s="792"/>
      <c r="J142" s="792"/>
      <c r="K142" s="792"/>
      <c r="L142" s="792"/>
      <c r="M142" s="792"/>
      <c r="N142" s="792"/>
      <c r="O142" s="792"/>
      <c r="P142" s="792"/>
      <c r="Q142" s="793"/>
    </row>
    <row r="143" spans="1:17" s="138" customFormat="1" ht="11.25" customHeight="1">
      <c r="A143" s="275"/>
      <c r="B143" s="284" t="s">
        <v>225</v>
      </c>
      <c r="C143" s="791"/>
      <c r="D143" s="792"/>
      <c r="E143" s="792"/>
      <c r="F143" s="792"/>
      <c r="G143" s="792"/>
      <c r="H143" s="792"/>
      <c r="I143" s="792"/>
      <c r="J143" s="792"/>
      <c r="K143" s="792"/>
      <c r="L143" s="792"/>
      <c r="M143" s="792"/>
      <c r="N143" s="792"/>
      <c r="O143" s="792"/>
      <c r="P143" s="792"/>
      <c r="Q143" s="793"/>
    </row>
    <row r="144" spans="1:17" s="138" customFormat="1" ht="11.25" customHeight="1">
      <c r="A144" s="275"/>
      <c r="B144" s="285" t="s">
        <v>226</v>
      </c>
      <c r="C144" s="794"/>
      <c r="D144" s="795"/>
      <c r="E144" s="795"/>
      <c r="F144" s="795"/>
      <c r="G144" s="795"/>
      <c r="H144" s="795"/>
      <c r="I144" s="795"/>
      <c r="J144" s="795"/>
      <c r="K144" s="795"/>
      <c r="L144" s="795"/>
      <c r="M144" s="795"/>
      <c r="N144" s="795"/>
      <c r="O144" s="795"/>
      <c r="P144" s="795"/>
      <c r="Q144" s="796"/>
    </row>
    <row r="145" spans="1:17" s="138" customFormat="1" ht="12.75">
      <c r="A145" s="275"/>
      <c r="B145" s="287" t="s">
        <v>227</v>
      </c>
      <c r="C145" s="34"/>
      <c r="D145" s="141" t="s">
        <v>808</v>
      </c>
      <c r="E145" s="140">
        <f>E164+E165+E166</f>
        <v>307425</v>
      </c>
      <c r="F145" s="140">
        <f aca="true" t="shared" si="49" ref="F145:Q145">F164+F165+F166</f>
        <v>16573</v>
      </c>
      <c r="G145" s="140">
        <f t="shared" si="49"/>
        <v>93914</v>
      </c>
      <c r="H145" s="140">
        <f t="shared" si="49"/>
        <v>110487</v>
      </c>
      <c r="I145" s="140">
        <f>I164+I165+I166</f>
        <v>16573</v>
      </c>
      <c r="J145" s="140">
        <f t="shared" si="49"/>
        <v>0</v>
      </c>
      <c r="K145" s="140">
        <f t="shared" si="49"/>
        <v>0</v>
      </c>
      <c r="L145" s="140">
        <f t="shared" si="49"/>
        <v>16573</v>
      </c>
      <c r="M145" s="140">
        <f t="shared" si="49"/>
        <v>93914</v>
      </c>
      <c r="N145" s="140">
        <f t="shared" si="49"/>
        <v>0</v>
      </c>
      <c r="O145" s="140">
        <f t="shared" si="49"/>
        <v>0</v>
      </c>
      <c r="P145" s="140">
        <f t="shared" si="49"/>
        <v>0</v>
      </c>
      <c r="Q145" s="140">
        <f t="shared" si="49"/>
        <v>93914</v>
      </c>
    </row>
    <row r="146" spans="1:17" s="138" customFormat="1" ht="22.5">
      <c r="A146" s="275"/>
      <c r="B146" s="79" t="s">
        <v>556</v>
      </c>
      <c r="C146" s="34"/>
      <c r="D146" s="270">
        <v>4118</v>
      </c>
      <c r="E146" s="140">
        <f aca="true" t="shared" si="50" ref="E146:E163">F146+G146</f>
        <v>9155</v>
      </c>
      <c r="F146" s="140">
        <f>I146</f>
        <v>0</v>
      </c>
      <c r="G146" s="262">
        <f>M146</f>
        <v>9155</v>
      </c>
      <c r="H146" s="140">
        <f>I146+M146</f>
        <v>9155</v>
      </c>
      <c r="I146" s="140">
        <f>SUM(J146:L146)</f>
        <v>0</v>
      </c>
      <c r="J146" s="140"/>
      <c r="K146" s="140"/>
      <c r="L146" s="140"/>
      <c r="M146" s="140">
        <f>SUM(N146:Q146)</f>
        <v>9155</v>
      </c>
      <c r="N146" s="140"/>
      <c r="O146" s="140"/>
      <c r="P146" s="140"/>
      <c r="Q146" s="593">
        <v>9155</v>
      </c>
    </row>
    <row r="147" spans="1:17" s="138" customFormat="1" ht="22.5">
      <c r="A147" s="275"/>
      <c r="B147" s="79" t="s">
        <v>556</v>
      </c>
      <c r="C147" s="34"/>
      <c r="D147" s="270">
        <v>4119</v>
      </c>
      <c r="E147" s="140">
        <f t="shared" si="50"/>
        <v>1616</v>
      </c>
      <c r="F147" s="140">
        <f aca="true" t="shared" si="51" ref="F147:F163">I147</f>
        <v>1616</v>
      </c>
      <c r="G147" s="262"/>
      <c r="H147" s="140">
        <f aca="true" t="shared" si="52" ref="H147:H163">I147+M147</f>
        <v>1616</v>
      </c>
      <c r="I147" s="140">
        <f aca="true" t="shared" si="53" ref="I147:I163">SUM(J147:L147)</f>
        <v>1616</v>
      </c>
      <c r="J147" s="140"/>
      <c r="K147" s="140"/>
      <c r="L147" s="593">
        <v>1616</v>
      </c>
      <c r="M147" s="140">
        <f aca="true" t="shared" si="54" ref="M147:M163">SUM(N147:Q147)</f>
        <v>0</v>
      </c>
      <c r="N147" s="140"/>
      <c r="O147" s="140"/>
      <c r="P147" s="140"/>
      <c r="Q147" s="262"/>
    </row>
    <row r="148" spans="1:17" s="138" customFormat="1" ht="12.75">
      <c r="A148" s="275"/>
      <c r="B148" s="79" t="s">
        <v>558</v>
      </c>
      <c r="C148" s="34"/>
      <c r="D148" s="270">
        <v>4128</v>
      </c>
      <c r="E148" s="140">
        <f t="shared" si="50"/>
        <v>1462</v>
      </c>
      <c r="F148" s="140">
        <f t="shared" si="51"/>
        <v>0</v>
      </c>
      <c r="G148" s="262">
        <f>M148</f>
        <v>1462</v>
      </c>
      <c r="H148" s="140">
        <f t="shared" si="52"/>
        <v>1462</v>
      </c>
      <c r="I148" s="140">
        <f t="shared" si="53"/>
        <v>0</v>
      </c>
      <c r="J148" s="140"/>
      <c r="K148" s="140"/>
      <c r="L148" s="140"/>
      <c r="M148" s="140">
        <f t="shared" si="54"/>
        <v>1462</v>
      </c>
      <c r="N148" s="140"/>
      <c r="O148" s="140"/>
      <c r="P148" s="140"/>
      <c r="Q148" s="593">
        <v>1462</v>
      </c>
    </row>
    <row r="149" spans="1:17" s="138" customFormat="1" ht="12.75">
      <c r="A149" s="275"/>
      <c r="B149" s="79" t="s">
        <v>558</v>
      </c>
      <c r="C149" s="34"/>
      <c r="D149" s="270">
        <v>4129</v>
      </c>
      <c r="E149" s="140">
        <f t="shared" si="50"/>
        <v>258</v>
      </c>
      <c r="F149" s="140">
        <f t="shared" si="51"/>
        <v>258</v>
      </c>
      <c r="G149" s="262"/>
      <c r="H149" s="140">
        <f t="shared" si="52"/>
        <v>258</v>
      </c>
      <c r="I149" s="140">
        <f t="shared" si="53"/>
        <v>258</v>
      </c>
      <c r="J149" s="140"/>
      <c r="K149" s="140"/>
      <c r="L149" s="593">
        <v>258</v>
      </c>
      <c r="M149" s="140">
        <f t="shared" si="54"/>
        <v>0</v>
      </c>
      <c r="N149" s="140"/>
      <c r="O149" s="140"/>
      <c r="P149" s="140"/>
      <c r="Q149" s="262"/>
    </row>
    <row r="150" spans="1:17" s="138" customFormat="1" ht="22.5">
      <c r="A150" s="275"/>
      <c r="B150" s="79" t="s">
        <v>1</v>
      </c>
      <c r="C150" s="34"/>
      <c r="D150" s="270">
        <v>4018</v>
      </c>
      <c r="E150" s="140">
        <f>F150+G150</f>
        <v>5355</v>
      </c>
      <c r="F150" s="140">
        <f>I150</f>
        <v>0</v>
      </c>
      <c r="G150" s="262">
        <f>M150</f>
        <v>5355</v>
      </c>
      <c r="H150" s="140">
        <f>I150+M150</f>
        <v>5355</v>
      </c>
      <c r="I150" s="140">
        <f>SUM(J150:L150)</f>
        <v>0</v>
      </c>
      <c r="J150" s="140"/>
      <c r="K150" s="140"/>
      <c r="L150" s="140"/>
      <c r="M150" s="140">
        <f>SUM(N150:Q150)</f>
        <v>5355</v>
      </c>
      <c r="N150" s="140"/>
      <c r="O150" s="140"/>
      <c r="P150" s="140"/>
      <c r="Q150" s="593">
        <v>5355</v>
      </c>
    </row>
    <row r="151" spans="1:17" s="138" customFormat="1" ht="22.5">
      <c r="A151" s="275"/>
      <c r="B151" s="79" t="s">
        <v>1</v>
      </c>
      <c r="C151" s="34"/>
      <c r="D151" s="270">
        <v>4019</v>
      </c>
      <c r="E151" s="140">
        <f>F151+G151</f>
        <v>945</v>
      </c>
      <c r="F151" s="140">
        <f>I151</f>
        <v>945</v>
      </c>
      <c r="G151" s="262"/>
      <c r="H151" s="140">
        <f>I151+M151</f>
        <v>945</v>
      </c>
      <c r="I151" s="140">
        <f>SUM(J151:L151)</f>
        <v>945</v>
      </c>
      <c r="J151" s="140"/>
      <c r="K151" s="140"/>
      <c r="L151" s="593">
        <v>945</v>
      </c>
      <c r="M151" s="140">
        <f>SUM(N151:Q151)</f>
        <v>0</v>
      </c>
      <c r="N151" s="140"/>
      <c r="O151" s="140"/>
      <c r="P151" s="140"/>
      <c r="Q151" s="262"/>
    </row>
    <row r="152" spans="1:17" s="138" customFormat="1" ht="22.5">
      <c r="A152" s="275"/>
      <c r="B152" s="79" t="s">
        <v>748</v>
      </c>
      <c r="C152" s="34"/>
      <c r="D152" s="270">
        <v>4178</v>
      </c>
      <c r="E152" s="140">
        <f t="shared" si="50"/>
        <v>54327</v>
      </c>
      <c r="F152" s="140">
        <f t="shared" si="51"/>
        <v>0</v>
      </c>
      <c r="G152" s="262">
        <f>M152</f>
        <v>54327</v>
      </c>
      <c r="H152" s="140">
        <f t="shared" si="52"/>
        <v>54327</v>
      </c>
      <c r="I152" s="140">
        <f t="shared" si="53"/>
        <v>0</v>
      </c>
      <c r="J152" s="140"/>
      <c r="K152" s="140"/>
      <c r="L152" s="140"/>
      <c r="M152" s="140">
        <f t="shared" si="54"/>
        <v>54327</v>
      </c>
      <c r="N152" s="140"/>
      <c r="O152" s="140"/>
      <c r="P152" s="140"/>
      <c r="Q152" s="593">
        <v>54327</v>
      </c>
    </row>
    <row r="153" spans="1:17" s="138" customFormat="1" ht="22.5">
      <c r="A153" s="275"/>
      <c r="B153" s="79" t="s">
        <v>748</v>
      </c>
      <c r="C153" s="34"/>
      <c r="D153" s="270">
        <v>4179</v>
      </c>
      <c r="E153" s="140">
        <f t="shared" si="50"/>
        <v>9587</v>
      </c>
      <c r="F153" s="140">
        <f t="shared" si="51"/>
        <v>9587</v>
      </c>
      <c r="G153" s="262"/>
      <c r="H153" s="140">
        <f t="shared" si="52"/>
        <v>9587</v>
      </c>
      <c r="I153" s="140">
        <f t="shared" si="53"/>
        <v>9587</v>
      </c>
      <c r="J153" s="140"/>
      <c r="K153" s="140"/>
      <c r="L153" s="593">
        <v>9587</v>
      </c>
      <c r="M153" s="140">
        <f t="shared" si="54"/>
        <v>0</v>
      </c>
      <c r="N153" s="140"/>
      <c r="O153" s="140"/>
      <c r="P153" s="140"/>
      <c r="Q153" s="262"/>
    </row>
    <row r="154" spans="1:17" s="138" customFormat="1" ht="22.5">
      <c r="A154" s="275"/>
      <c r="B154" s="79" t="s">
        <v>422</v>
      </c>
      <c r="C154" s="34"/>
      <c r="D154" s="270">
        <v>4218</v>
      </c>
      <c r="E154" s="140">
        <f t="shared" si="50"/>
        <v>6306</v>
      </c>
      <c r="F154" s="140">
        <f t="shared" si="51"/>
        <v>0</v>
      </c>
      <c r="G154" s="262">
        <f>M154</f>
        <v>6306</v>
      </c>
      <c r="H154" s="140">
        <f t="shared" si="52"/>
        <v>6306</v>
      </c>
      <c r="I154" s="140">
        <f t="shared" si="53"/>
        <v>0</v>
      </c>
      <c r="J154" s="140"/>
      <c r="K154" s="140"/>
      <c r="L154" s="140"/>
      <c r="M154" s="140">
        <f t="shared" si="54"/>
        <v>6306</v>
      </c>
      <c r="N154" s="140"/>
      <c r="O154" s="140"/>
      <c r="P154" s="140"/>
      <c r="Q154" s="593">
        <v>6306</v>
      </c>
    </row>
    <row r="155" spans="1:17" s="138" customFormat="1" ht="22.5">
      <c r="A155" s="275"/>
      <c r="B155" s="79" t="s">
        <v>422</v>
      </c>
      <c r="C155" s="34"/>
      <c r="D155" s="270">
        <v>4219</v>
      </c>
      <c r="E155" s="140">
        <f t="shared" si="50"/>
        <v>1113</v>
      </c>
      <c r="F155" s="140">
        <f t="shared" si="51"/>
        <v>1113</v>
      </c>
      <c r="G155" s="262"/>
      <c r="H155" s="140">
        <f t="shared" si="52"/>
        <v>1113</v>
      </c>
      <c r="I155" s="140">
        <f t="shared" si="53"/>
        <v>1113</v>
      </c>
      <c r="J155" s="140"/>
      <c r="K155" s="140"/>
      <c r="L155" s="593">
        <v>1113</v>
      </c>
      <c r="M155" s="140">
        <f t="shared" si="54"/>
        <v>0</v>
      </c>
      <c r="N155" s="140"/>
      <c r="O155" s="140"/>
      <c r="P155" s="140"/>
      <c r="Q155" s="262"/>
    </row>
    <row r="156" spans="1:17" s="138" customFormat="1" ht="12.75">
      <c r="A156" s="275"/>
      <c r="B156" s="79" t="s">
        <v>520</v>
      </c>
      <c r="C156" s="34"/>
      <c r="D156" s="270">
        <v>4308</v>
      </c>
      <c r="E156" s="140">
        <f t="shared" si="50"/>
        <v>13742</v>
      </c>
      <c r="F156" s="140">
        <f t="shared" si="51"/>
        <v>0</v>
      </c>
      <c r="G156" s="262">
        <f>M156</f>
        <v>13742</v>
      </c>
      <c r="H156" s="140">
        <f t="shared" si="52"/>
        <v>13742</v>
      </c>
      <c r="I156" s="140">
        <f t="shared" si="53"/>
        <v>0</v>
      </c>
      <c r="J156" s="140"/>
      <c r="K156" s="140"/>
      <c r="L156" s="140"/>
      <c r="M156" s="140">
        <f t="shared" si="54"/>
        <v>13742</v>
      </c>
      <c r="N156" s="140"/>
      <c r="O156" s="140"/>
      <c r="P156" s="140"/>
      <c r="Q156" s="593">
        <v>13742</v>
      </c>
    </row>
    <row r="157" spans="1:17" s="138" customFormat="1" ht="12.75">
      <c r="A157" s="275"/>
      <c r="B157" s="79" t="s">
        <v>520</v>
      </c>
      <c r="C157" s="34"/>
      <c r="D157" s="270">
        <v>4309</v>
      </c>
      <c r="E157" s="140">
        <f t="shared" si="50"/>
        <v>2425</v>
      </c>
      <c r="F157" s="140">
        <f t="shared" si="51"/>
        <v>2425</v>
      </c>
      <c r="G157" s="262"/>
      <c r="H157" s="140">
        <f t="shared" si="52"/>
        <v>2425</v>
      </c>
      <c r="I157" s="140">
        <f t="shared" si="53"/>
        <v>2425</v>
      </c>
      <c r="J157" s="140"/>
      <c r="K157" s="140"/>
      <c r="L157" s="593">
        <v>2425</v>
      </c>
      <c r="M157" s="140">
        <f t="shared" si="54"/>
        <v>0</v>
      </c>
      <c r="N157" s="140"/>
      <c r="O157" s="140"/>
      <c r="P157" s="140"/>
      <c r="Q157" s="262"/>
    </row>
    <row r="158" spans="1:17" s="138" customFormat="1" ht="45">
      <c r="A158" s="275"/>
      <c r="B158" s="79" t="s">
        <v>521</v>
      </c>
      <c r="C158" s="34"/>
      <c r="D158" s="270">
        <v>4748</v>
      </c>
      <c r="E158" s="140">
        <f t="shared" si="50"/>
        <v>850</v>
      </c>
      <c r="F158" s="140"/>
      <c r="G158" s="262">
        <f>M158</f>
        <v>850</v>
      </c>
      <c r="H158" s="140">
        <f t="shared" si="52"/>
        <v>850</v>
      </c>
      <c r="I158" s="140">
        <f>SUM(J158:L158)</f>
        <v>0</v>
      </c>
      <c r="J158" s="140"/>
      <c r="K158" s="140"/>
      <c r="L158" s="140"/>
      <c r="M158" s="140">
        <f t="shared" si="54"/>
        <v>850</v>
      </c>
      <c r="N158" s="140"/>
      <c r="O158" s="140"/>
      <c r="P158" s="140"/>
      <c r="Q158" s="593">
        <v>850</v>
      </c>
    </row>
    <row r="159" spans="1:17" s="138" customFormat="1" ht="45">
      <c r="A159" s="275"/>
      <c r="B159" s="79" t="s">
        <v>521</v>
      </c>
      <c r="C159" s="34"/>
      <c r="D159" s="270">
        <v>4749</v>
      </c>
      <c r="E159" s="140">
        <f t="shared" si="50"/>
        <v>150</v>
      </c>
      <c r="F159" s="140">
        <f>H159</f>
        <v>150</v>
      </c>
      <c r="G159" s="262"/>
      <c r="H159" s="140">
        <f t="shared" si="52"/>
        <v>150</v>
      </c>
      <c r="I159" s="140">
        <f>SUM(J159:L159)</f>
        <v>150</v>
      </c>
      <c r="J159" s="140"/>
      <c r="K159" s="140"/>
      <c r="L159" s="593">
        <v>150</v>
      </c>
      <c r="M159" s="140">
        <f t="shared" si="54"/>
        <v>0</v>
      </c>
      <c r="N159" s="140"/>
      <c r="O159" s="140"/>
      <c r="P159" s="140"/>
      <c r="Q159" s="262"/>
    </row>
    <row r="160" spans="1:17" s="138" customFormat="1" ht="33.75">
      <c r="A160" s="275"/>
      <c r="B160" s="79" t="s">
        <v>561</v>
      </c>
      <c r="C160" s="34"/>
      <c r="D160" s="270">
        <v>4758</v>
      </c>
      <c r="E160" s="140">
        <f t="shared" si="50"/>
        <v>850</v>
      </c>
      <c r="F160" s="140">
        <f>I160</f>
        <v>0</v>
      </c>
      <c r="G160" s="262">
        <f>M160</f>
        <v>850</v>
      </c>
      <c r="H160" s="140">
        <f t="shared" si="52"/>
        <v>850</v>
      </c>
      <c r="I160" s="140">
        <f>SUM(J160:L160)</f>
        <v>0</v>
      </c>
      <c r="J160" s="140"/>
      <c r="K160" s="140"/>
      <c r="L160" s="140"/>
      <c r="M160" s="140">
        <f t="shared" si="54"/>
        <v>850</v>
      </c>
      <c r="N160" s="140"/>
      <c r="O160" s="140"/>
      <c r="P160" s="140"/>
      <c r="Q160" s="593">
        <v>850</v>
      </c>
    </row>
    <row r="161" spans="1:17" s="138" customFormat="1" ht="33.75">
      <c r="A161" s="275"/>
      <c r="B161" s="79" t="s">
        <v>561</v>
      </c>
      <c r="C161" s="34"/>
      <c r="D161" s="270">
        <v>4759</v>
      </c>
      <c r="E161" s="140">
        <f t="shared" si="50"/>
        <v>150</v>
      </c>
      <c r="F161" s="140">
        <f>I161</f>
        <v>150</v>
      </c>
      <c r="G161" s="262">
        <f>M161</f>
        <v>0</v>
      </c>
      <c r="H161" s="140">
        <f t="shared" si="52"/>
        <v>150</v>
      </c>
      <c r="I161" s="140">
        <f>SUM(J161:L161)</f>
        <v>150</v>
      </c>
      <c r="J161" s="140"/>
      <c r="K161" s="140"/>
      <c r="L161" s="593">
        <v>150</v>
      </c>
      <c r="M161" s="140">
        <f t="shared" si="54"/>
        <v>0</v>
      </c>
      <c r="N161" s="140"/>
      <c r="O161" s="140"/>
      <c r="P161" s="140"/>
      <c r="Q161" s="262"/>
    </row>
    <row r="162" spans="1:17" s="138" customFormat="1" ht="33.75">
      <c r="A162" s="275"/>
      <c r="B162" s="422" t="s">
        <v>567</v>
      </c>
      <c r="C162" s="34"/>
      <c r="D162" s="270">
        <v>4368</v>
      </c>
      <c r="E162" s="140">
        <f t="shared" si="50"/>
        <v>1867</v>
      </c>
      <c r="F162" s="140">
        <f t="shared" si="51"/>
        <v>0</v>
      </c>
      <c r="G162" s="262">
        <f>M162</f>
        <v>1867</v>
      </c>
      <c r="H162" s="140">
        <f t="shared" si="52"/>
        <v>1867</v>
      </c>
      <c r="I162" s="140">
        <f t="shared" si="53"/>
        <v>0</v>
      </c>
      <c r="J162" s="140"/>
      <c r="K162" s="140"/>
      <c r="L162" s="140"/>
      <c r="M162" s="140">
        <f t="shared" si="54"/>
        <v>1867</v>
      </c>
      <c r="N162" s="140"/>
      <c r="O162" s="140"/>
      <c r="P162" s="140"/>
      <c r="Q162" s="593">
        <v>1867</v>
      </c>
    </row>
    <row r="163" spans="1:17" s="138" customFormat="1" ht="33.75">
      <c r="A163" s="275"/>
      <c r="B163" s="422" t="s">
        <v>567</v>
      </c>
      <c r="C163" s="34"/>
      <c r="D163" s="270">
        <v>4369</v>
      </c>
      <c r="E163" s="140">
        <f t="shared" si="50"/>
        <v>329</v>
      </c>
      <c r="F163" s="140">
        <f t="shared" si="51"/>
        <v>329</v>
      </c>
      <c r="G163" s="262"/>
      <c r="H163" s="140">
        <f t="shared" si="52"/>
        <v>329</v>
      </c>
      <c r="I163" s="140">
        <f t="shared" si="53"/>
        <v>329</v>
      </c>
      <c r="J163" s="140"/>
      <c r="K163" s="140"/>
      <c r="L163" s="593">
        <v>329</v>
      </c>
      <c r="M163" s="140">
        <f t="shared" si="54"/>
        <v>0</v>
      </c>
      <c r="N163" s="140"/>
      <c r="O163" s="140"/>
      <c r="P163" s="140"/>
      <c r="Q163" s="262"/>
    </row>
    <row r="164" spans="1:17" s="139" customFormat="1" ht="11.25">
      <c r="A164" s="595"/>
      <c r="B164" s="287">
        <v>2010</v>
      </c>
      <c r="C164" s="596"/>
      <c r="D164" s="596"/>
      <c r="E164" s="137">
        <f>F164+G164</f>
        <v>110487</v>
      </c>
      <c r="F164" s="137">
        <f>SUM(F146:F163)</f>
        <v>16573</v>
      </c>
      <c r="G164" s="137">
        <f>SUM(G146:G163)</f>
        <v>93914</v>
      </c>
      <c r="H164" s="137">
        <f>I164+M164</f>
        <v>110487</v>
      </c>
      <c r="I164" s="137">
        <f>SUM(J164:L164)</f>
        <v>16573</v>
      </c>
      <c r="J164" s="137">
        <f>SUM(J146:J163)</f>
        <v>0</v>
      </c>
      <c r="K164" s="137">
        <f>SUM(K146:K163)</f>
        <v>0</v>
      </c>
      <c r="L164" s="137">
        <f>SUM(L146:L163)</f>
        <v>16573</v>
      </c>
      <c r="M164" s="137">
        <f>N164+O164+P164+Q164</f>
        <v>93914</v>
      </c>
      <c r="N164" s="137">
        <f>SUM(N146:N163)</f>
        <v>0</v>
      </c>
      <c r="O164" s="137">
        <f>SUM(O146:O163)</f>
        <v>0</v>
      </c>
      <c r="P164" s="137">
        <f>SUM(P146:P163)</f>
        <v>0</v>
      </c>
      <c r="Q164" s="137">
        <f>SUM(Q146:Q163)</f>
        <v>93914</v>
      </c>
    </row>
    <row r="165" spans="1:17" s="138" customFormat="1" ht="11.25">
      <c r="A165" s="275"/>
      <c r="B165" s="598" t="s">
        <v>513</v>
      </c>
      <c r="C165" s="136"/>
      <c r="D165" s="136"/>
      <c r="E165" s="135">
        <v>196938</v>
      </c>
      <c r="F165" s="135"/>
      <c r="G165" s="133"/>
      <c r="H165" s="135"/>
      <c r="I165" s="135"/>
      <c r="J165" s="136"/>
      <c r="K165" s="136"/>
      <c r="L165" s="250"/>
      <c r="M165" s="135"/>
      <c r="N165" s="136"/>
      <c r="O165" s="136"/>
      <c r="P165" s="136"/>
      <c r="Q165" s="136"/>
    </row>
    <row r="166" spans="1:17" s="138" customFormat="1" ht="11.25">
      <c r="A166" s="275"/>
      <c r="B166" s="134"/>
      <c r="C166" s="136"/>
      <c r="D166" s="136"/>
      <c r="E166" s="135">
        <f>F166+G166</f>
        <v>0</v>
      </c>
      <c r="F166" s="135"/>
      <c r="G166" s="133"/>
      <c r="H166" s="135"/>
      <c r="I166" s="135"/>
      <c r="J166" s="136"/>
      <c r="K166" s="136"/>
      <c r="L166" s="250"/>
      <c r="M166" s="135"/>
      <c r="N166" s="136"/>
      <c r="O166" s="136"/>
      <c r="P166" s="136"/>
      <c r="Q166" s="136"/>
    </row>
    <row r="167" spans="1:17" s="138" customFormat="1" ht="11.25" customHeight="1">
      <c r="A167" s="275" t="s">
        <v>747</v>
      </c>
      <c r="B167" s="286" t="s">
        <v>223</v>
      </c>
      <c r="C167" s="788" t="s">
        <v>280</v>
      </c>
      <c r="D167" s="789"/>
      <c r="E167" s="789"/>
      <c r="F167" s="789"/>
      <c r="G167" s="789"/>
      <c r="H167" s="789"/>
      <c r="I167" s="789"/>
      <c r="J167" s="789"/>
      <c r="K167" s="789"/>
      <c r="L167" s="789"/>
      <c r="M167" s="789"/>
      <c r="N167" s="789"/>
      <c r="O167" s="789"/>
      <c r="P167" s="789"/>
      <c r="Q167" s="790"/>
    </row>
    <row r="168" spans="1:17" s="138" customFormat="1" ht="11.25" customHeight="1">
      <c r="A168" s="275"/>
      <c r="B168" s="284" t="s">
        <v>224</v>
      </c>
      <c r="C168" s="791"/>
      <c r="D168" s="792"/>
      <c r="E168" s="792"/>
      <c r="F168" s="792"/>
      <c r="G168" s="792"/>
      <c r="H168" s="792"/>
      <c r="I168" s="792"/>
      <c r="J168" s="792"/>
      <c r="K168" s="792"/>
      <c r="L168" s="792"/>
      <c r="M168" s="792"/>
      <c r="N168" s="792"/>
      <c r="O168" s="792"/>
      <c r="P168" s="792"/>
      <c r="Q168" s="793"/>
    </row>
    <row r="169" spans="1:17" s="138" customFormat="1" ht="11.25" customHeight="1">
      <c r="A169" s="275"/>
      <c r="B169" s="284" t="s">
        <v>225</v>
      </c>
      <c r="C169" s="791"/>
      <c r="D169" s="792"/>
      <c r="E169" s="792"/>
      <c r="F169" s="792"/>
      <c r="G169" s="792"/>
      <c r="H169" s="792"/>
      <c r="I169" s="792"/>
      <c r="J169" s="792"/>
      <c r="K169" s="792"/>
      <c r="L169" s="792"/>
      <c r="M169" s="792"/>
      <c r="N169" s="792"/>
      <c r="O169" s="792"/>
      <c r="P169" s="792"/>
      <c r="Q169" s="793"/>
    </row>
    <row r="170" spans="1:17" s="138" customFormat="1" ht="51" customHeight="1">
      <c r="A170" s="275"/>
      <c r="B170" s="285" t="s">
        <v>226</v>
      </c>
      <c r="C170" s="794"/>
      <c r="D170" s="795"/>
      <c r="E170" s="795"/>
      <c r="F170" s="795"/>
      <c r="G170" s="795"/>
      <c r="H170" s="795"/>
      <c r="I170" s="795"/>
      <c r="J170" s="795"/>
      <c r="K170" s="795"/>
      <c r="L170" s="795"/>
      <c r="M170" s="795"/>
      <c r="N170" s="795"/>
      <c r="O170" s="795"/>
      <c r="P170" s="795"/>
      <c r="Q170" s="796"/>
    </row>
    <row r="171" spans="1:17" s="138" customFormat="1" ht="12.75">
      <c r="A171" s="275"/>
      <c r="B171" s="287" t="s">
        <v>227</v>
      </c>
      <c r="C171" s="34"/>
      <c r="D171" s="141" t="s">
        <v>808</v>
      </c>
      <c r="E171" s="140">
        <f>E196+E197</f>
        <v>1972731.05</v>
      </c>
      <c r="F171" s="140">
        <f aca="true" t="shared" si="55" ref="F171:Q171">F196+F197</f>
        <v>212868</v>
      </c>
      <c r="G171" s="140">
        <f t="shared" si="55"/>
        <v>1206250</v>
      </c>
      <c r="H171" s="140">
        <f t="shared" si="55"/>
        <v>1419118</v>
      </c>
      <c r="I171" s="140">
        <f t="shared" si="55"/>
        <v>212868</v>
      </c>
      <c r="J171" s="140">
        <f t="shared" si="55"/>
        <v>0</v>
      </c>
      <c r="K171" s="140">
        <f t="shared" si="55"/>
        <v>0</v>
      </c>
      <c r="L171" s="117">
        <f t="shared" si="55"/>
        <v>212868</v>
      </c>
      <c r="M171" s="117">
        <f t="shared" si="55"/>
        <v>1206250</v>
      </c>
      <c r="N171" s="117">
        <f t="shared" si="55"/>
        <v>0</v>
      </c>
      <c r="O171" s="117">
        <f t="shared" si="55"/>
        <v>0</v>
      </c>
      <c r="P171" s="117">
        <f t="shared" si="55"/>
        <v>0</v>
      </c>
      <c r="Q171" s="117">
        <f t="shared" si="55"/>
        <v>1206250</v>
      </c>
    </row>
    <row r="172" spans="1:17" s="138" customFormat="1" ht="22.5">
      <c r="A172" s="275"/>
      <c r="B172" s="79" t="s">
        <v>1</v>
      </c>
      <c r="C172" s="34"/>
      <c r="D172" s="270">
        <v>4018</v>
      </c>
      <c r="E172" s="140">
        <f aca="true" t="shared" si="56" ref="E172:E193">F172+G172</f>
        <v>43296</v>
      </c>
      <c r="F172" s="140">
        <f>I172</f>
        <v>0</v>
      </c>
      <c r="G172" s="262">
        <f>M172</f>
        <v>43296</v>
      </c>
      <c r="H172" s="140"/>
      <c r="I172" s="140">
        <f>SUM(J172:L172)</f>
        <v>0</v>
      </c>
      <c r="J172" s="140"/>
      <c r="K172" s="140"/>
      <c r="L172" s="117"/>
      <c r="M172" s="117">
        <f>SUM(N172:Q172)</f>
        <v>43296</v>
      </c>
      <c r="N172" s="117"/>
      <c r="O172" s="117"/>
      <c r="P172" s="117"/>
      <c r="Q172" s="78">
        <v>43296</v>
      </c>
    </row>
    <row r="173" spans="1:17" s="138" customFormat="1" ht="22.5">
      <c r="A173" s="275"/>
      <c r="B173" s="79" t="s">
        <v>1</v>
      </c>
      <c r="C173" s="34"/>
      <c r="D173" s="270">
        <v>4019</v>
      </c>
      <c r="E173" s="140">
        <f t="shared" si="56"/>
        <v>7640</v>
      </c>
      <c r="F173" s="140">
        <f aca="true" t="shared" si="57" ref="F173:F193">I173</f>
        <v>7640</v>
      </c>
      <c r="G173" s="262">
        <f aca="true" t="shared" si="58" ref="G173:G193">M173</f>
        <v>0</v>
      </c>
      <c r="H173" s="140">
        <f>I173+M173</f>
        <v>7640</v>
      </c>
      <c r="I173" s="140">
        <f aca="true" t="shared" si="59" ref="I173:I193">SUM(J173:L173)</f>
        <v>7640</v>
      </c>
      <c r="J173" s="140"/>
      <c r="K173" s="140"/>
      <c r="L173" s="78">
        <v>7640</v>
      </c>
      <c r="M173" s="117">
        <f aca="true" t="shared" si="60" ref="M173:M193">SUM(N173:Q173)</f>
        <v>0</v>
      </c>
      <c r="N173" s="117"/>
      <c r="O173" s="117"/>
      <c r="P173" s="117"/>
      <c r="Q173" s="262"/>
    </row>
    <row r="174" spans="1:17" s="138" customFormat="1" ht="22.5">
      <c r="A174" s="275"/>
      <c r="B174" s="79" t="s">
        <v>556</v>
      </c>
      <c r="C174" s="34"/>
      <c r="D174" s="270">
        <v>4118</v>
      </c>
      <c r="E174" s="140">
        <f>F174+G174</f>
        <v>10118</v>
      </c>
      <c r="F174" s="140">
        <f>I174</f>
        <v>0</v>
      </c>
      <c r="G174" s="262">
        <f>M174</f>
        <v>10118</v>
      </c>
      <c r="H174" s="140"/>
      <c r="I174" s="140">
        <f>SUM(J174:L174)</f>
        <v>0</v>
      </c>
      <c r="J174" s="117"/>
      <c r="K174" s="117"/>
      <c r="L174" s="124"/>
      <c r="M174" s="117">
        <f>SUM(N174:Q174)</f>
        <v>10118</v>
      </c>
      <c r="N174" s="117"/>
      <c r="O174" s="117"/>
      <c r="P174" s="117"/>
      <c r="Q174" s="78">
        <v>10118</v>
      </c>
    </row>
    <row r="175" spans="1:17" s="138" customFormat="1" ht="22.5">
      <c r="A175" s="275"/>
      <c r="B175" s="79" t="s">
        <v>556</v>
      </c>
      <c r="C175" s="34"/>
      <c r="D175" s="270">
        <v>4119</v>
      </c>
      <c r="E175" s="140">
        <f>F175+G175</f>
        <v>1785</v>
      </c>
      <c r="F175" s="140">
        <f>I175</f>
        <v>1785</v>
      </c>
      <c r="G175" s="262">
        <f>M175</f>
        <v>0</v>
      </c>
      <c r="H175" s="140">
        <f>I175+M175</f>
        <v>1785</v>
      </c>
      <c r="I175" s="140">
        <f>SUM(J175:L175)</f>
        <v>1785</v>
      </c>
      <c r="J175" s="117"/>
      <c r="K175" s="117"/>
      <c r="L175" s="600">
        <v>1785</v>
      </c>
      <c r="M175" s="140">
        <f>SUM(N175:Q175)</f>
        <v>0</v>
      </c>
      <c r="N175" s="140"/>
      <c r="O175" s="140"/>
      <c r="P175" s="140"/>
      <c r="Q175" s="262"/>
    </row>
    <row r="176" spans="1:17" s="138" customFormat="1" ht="22.5">
      <c r="A176" s="275"/>
      <c r="B176" s="79" t="s">
        <v>518</v>
      </c>
      <c r="C176" s="34"/>
      <c r="D176" s="270">
        <v>4178</v>
      </c>
      <c r="E176" s="140">
        <f t="shared" si="56"/>
        <v>944937</v>
      </c>
      <c r="F176" s="140">
        <f t="shared" si="57"/>
        <v>0</v>
      </c>
      <c r="G176" s="262">
        <f t="shared" si="58"/>
        <v>944937</v>
      </c>
      <c r="H176" s="140">
        <f aca="true" t="shared" si="61" ref="H176:H193">I176+M176</f>
        <v>944937</v>
      </c>
      <c r="I176" s="140">
        <f t="shared" si="59"/>
        <v>0</v>
      </c>
      <c r="J176" s="140"/>
      <c r="K176" s="140"/>
      <c r="L176" s="140"/>
      <c r="M176" s="140">
        <f t="shared" si="60"/>
        <v>944937</v>
      </c>
      <c r="N176" s="140"/>
      <c r="O176" s="140"/>
      <c r="P176" s="140"/>
      <c r="Q176" s="599">
        <v>944937</v>
      </c>
    </row>
    <row r="177" spans="1:17" s="138" customFormat="1" ht="22.5">
      <c r="A177" s="275"/>
      <c r="B177" s="79" t="s">
        <v>518</v>
      </c>
      <c r="C177" s="34"/>
      <c r="D177" s="270">
        <v>4179</v>
      </c>
      <c r="E177" s="140">
        <f t="shared" si="56"/>
        <v>166754</v>
      </c>
      <c r="F177" s="140">
        <f t="shared" si="57"/>
        <v>166754</v>
      </c>
      <c r="G177" s="262">
        <f t="shared" si="58"/>
        <v>0</v>
      </c>
      <c r="H177" s="117">
        <f t="shared" si="61"/>
        <v>166754</v>
      </c>
      <c r="I177" s="117">
        <f t="shared" si="59"/>
        <v>166754</v>
      </c>
      <c r="J177" s="117"/>
      <c r="K177" s="117"/>
      <c r="L177" s="78">
        <v>166754</v>
      </c>
      <c r="M177" s="117">
        <f t="shared" si="60"/>
        <v>0</v>
      </c>
      <c r="N177" s="117"/>
      <c r="O177" s="117"/>
      <c r="P177" s="117"/>
      <c r="Q177" s="262"/>
    </row>
    <row r="178" spans="1:17" s="138" customFormat="1" ht="12.75">
      <c r="A178" s="275"/>
      <c r="B178" s="79" t="s">
        <v>558</v>
      </c>
      <c r="C178" s="34"/>
      <c r="D178" s="601">
        <v>4128</v>
      </c>
      <c r="E178" s="140">
        <f>F178+G178</f>
        <v>1632</v>
      </c>
      <c r="F178" s="140">
        <f>I178</f>
        <v>0</v>
      </c>
      <c r="G178" s="262">
        <f>M178</f>
        <v>1632</v>
      </c>
      <c r="H178" s="117">
        <f>I178+M178</f>
        <v>1632</v>
      </c>
      <c r="I178" s="117">
        <f>SUM(J178:L178)</f>
        <v>0</v>
      </c>
      <c r="J178" s="117"/>
      <c r="K178" s="117"/>
      <c r="L178" s="117"/>
      <c r="M178" s="117">
        <f>SUM(N178:Q178)</f>
        <v>1632</v>
      </c>
      <c r="N178" s="117"/>
      <c r="O178" s="117"/>
      <c r="P178" s="117"/>
      <c r="Q178" s="78">
        <v>1632</v>
      </c>
    </row>
    <row r="179" spans="1:17" s="138" customFormat="1" ht="12.75">
      <c r="A179" s="275"/>
      <c r="B179" s="79" t="s">
        <v>558</v>
      </c>
      <c r="C179" s="34"/>
      <c r="D179" s="270">
        <v>4129</v>
      </c>
      <c r="E179" s="140">
        <f>F179+G179</f>
        <v>288</v>
      </c>
      <c r="F179" s="140">
        <f>I179</f>
        <v>288</v>
      </c>
      <c r="G179" s="262">
        <f>M179</f>
        <v>0</v>
      </c>
      <c r="H179" s="117">
        <f>I179+M179</f>
        <v>288</v>
      </c>
      <c r="I179" s="117">
        <f>SUM(J179:L179)</f>
        <v>288</v>
      </c>
      <c r="J179" s="117"/>
      <c r="K179" s="117"/>
      <c r="L179" s="78">
        <v>288</v>
      </c>
      <c r="M179" s="117"/>
      <c r="N179" s="117"/>
      <c r="O179" s="117"/>
      <c r="P179" s="117"/>
      <c r="Q179" s="262"/>
    </row>
    <row r="180" spans="1:17" s="138" customFormat="1" ht="22.5">
      <c r="A180" s="275"/>
      <c r="B180" s="79" t="s">
        <v>422</v>
      </c>
      <c r="C180" s="34"/>
      <c r="D180" s="270">
        <v>4218</v>
      </c>
      <c r="E180" s="140">
        <f t="shared" si="56"/>
        <v>85719</v>
      </c>
      <c r="F180" s="140">
        <f t="shared" si="57"/>
        <v>0</v>
      </c>
      <c r="G180" s="262">
        <f t="shared" si="58"/>
        <v>85719</v>
      </c>
      <c r="H180" s="117">
        <f t="shared" si="61"/>
        <v>85719</v>
      </c>
      <c r="I180" s="117">
        <f t="shared" si="59"/>
        <v>0</v>
      </c>
      <c r="J180" s="117"/>
      <c r="K180" s="117"/>
      <c r="L180" s="117"/>
      <c r="M180" s="117">
        <f t="shared" si="60"/>
        <v>85719</v>
      </c>
      <c r="N180" s="117"/>
      <c r="O180" s="117"/>
      <c r="P180" s="117"/>
      <c r="Q180" s="78">
        <v>85719</v>
      </c>
    </row>
    <row r="181" spans="1:17" s="138" customFormat="1" ht="22.5">
      <c r="A181" s="275"/>
      <c r="B181" s="79" t="s">
        <v>422</v>
      </c>
      <c r="C181" s="34"/>
      <c r="D181" s="270">
        <v>4219</v>
      </c>
      <c r="E181" s="140">
        <f t="shared" si="56"/>
        <v>15128</v>
      </c>
      <c r="F181" s="140">
        <f t="shared" si="57"/>
        <v>15128</v>
      </c>
      <c r="G181" s="262">
        <f t="shared" si="58"/>
        <v>0</v>
      </c>
      <c r="H181" s="117">
        <f t="shared" si="61"/>
        <v>15128</v>
      </c>
      <c r="I181" s="117">
        <f t="shared" si="59"/>
        <v>15128</v>
      </c>
      <c r="J181" s="117"/>
      <c r="K181" s="117"/>
      <c r="L181" s="78">
        <v>15128</v>
      </c>
      <c r="M181" s="117">
        <f t="shared" si="60"/>
        <v>0</v>
      </c>
      <c r="N181" s="117"/>
      <c r="O181" s="117"/>
      <c r="P181" s="117"/>
      <c r="Q181" s="262"/>
    </row>
    <row r="182" spans="1:17" s="138" customFormat="1" ht="33.75">
      <c r="A182" s="275"/>
      <c r="B182" s="602" t="s">
        <v>559</v>
      </c>
      <c r="C182" s="34"/>
      <c r="D182" s="270">
        <v>4248</v>
      </c>
      <c r="E182" s="140">
        <f>F182+G182</f>
        <v>49363</v>
      </c>
      <c r="F182" s="140">
        <f>I182</f>
        <v>0</v>
      </c>
      <c r="G182" s="262">
        <f>M182</f>
        <v>49363</v>
      </c>
      <c r="H182" s="117">
        <f>I182+M182</f>
        <v>49363</v>
      </c>
      <c r="I182" s="117">
        <f>SUM(J182:L182)</f>
        <v>0</v>
      </c>
      <c r="J182" s="117"/>
      <c r="K182" s="117"/>
      <c r="L182" s="117"/>
      <c r="M182" s="117">
        <f>SUM(N182:Q182)</f>
        <v>49363</v>
      </c>
      <c r="N182" s="117"/>
      <c r="O182" s="117"/>
      <c r="P182" s="117"/>
      <c r="Q182" s="78">
        <v>49363</v>
      </c>
    </row>
    <row r="183" spans="1:17" s="138" customFormat="1" ht="33.75">
      <c r="A183" s="275"/>
      <c r="B183" s="602" t="s">
        <v>559</v>
      </c>
      <c r="C183" s="34"/>
      <c r="D183" s="270">
        <v>4249</v>
      </c>
      <c r="E183" s="140">
        <f>F183+G183</f>
        <v>8711</v>
      </c>
      <c r="F183" s="140">
        <f>I183</f>
        <v>8711</v>
      </c>
      <c r="G183" s="262">
        <f>M183</f>
        <v>0</v>
      </c>
      <c r="H183" s="117">
        <f>I183+M183</f>
        <v>8711</v>
      </c>
      <c r="I183" s="117">
        <f>SUM(J183:L183)</f>
        <v>8711</v>
      </c>
      <c r="J183" s="117"/>
      <c r="K183" s="117"/>
      <c r="L183" s="78">
        <v>8711</v>
      </c>
      <c r="M183" s="117">
        <f>SUM(N183:Q183)</f>
        <v>0</v>
      </c>
      <c r="N183" s="117"/>
      <c r="O183" s="117"/>
      <c r="P183" s="117"/>
      <c r="Q183" s="262"/>
    </row>
    <row r="184" spans="1:17" s="138" customFormat="1" ht="12.75">
      <c r="A184" s="275"/>
      <c r="B184" s="79" t="s">
        <v>749</v>
      </c>
      <c r="C184" s="34"/>
      <c r="D184" s="270">
        <v>4268</v>
      </c>
      <c r="E184" s="140">
        <f t="shared" si="56"/>
        <v>0</v>
      </c>
      <c r="F184" s="140">
        <f t="shared" si="57"/>
        <v>0</v>
      </c>
      <c r="G184" s="262">
        <f t="shared" si="58"/>
        <v>0</v>
      </c>
      <c r="H184" s="140">
        <f t="shared" si="61"/>
        <v>0</v>
      </c>
      <c r="I184" s="140">
        <f t="shared" si="59"/>
        <v>0</v>
      </c>
      <c r="J184" s="140"/>
      <c r="K184" s="140"/>
      <c r="L184" s="140"/>
      <c r="M184" s="140">
        <f t="shared" si="60"/>
        <v>0</v>
      </c>
      <c r="N184" s="140"/>
      <c r="O184" s="140"/>
      <c r="P184" s="140"/>
      <c r="Q184" s="262"/>
    </row>
    <row r="185" spans="1:17" s="138" customFormat="1" ht="12.75">
      <c r="A185" s="275"/>
      <c r="B185" s="79" t="s">
        <v>749</v>
      </c>
      <c r="C185" s="34"/>
      <c r="D185" s="270">
        <v>4269</v>
      </c>
      <c r="E185" s="140">
        <f t="shared" si="56"/>
        <v>0</v>
      </c>
      <c r="F185" s="140">
        <f t="shared" si="57"/>
        <v>0</v>
      </c>
      <c r="G185" s="262">
        <f t="shared" si="58"/>
        <v>0</v>
      </c>
      <c r="H185" s="140">
        <f t="shared" si="61"/>
        <v>0</v>
      </c>
      <c r="I185" s="140">
        <f t="shared" si="59"/>
        <v>0</v>
      </c>
      <c r="J185" s="140"/>
      <c r="K185" s="140"/>
      <c r="L185" s="140"/>
      <c r="M185" s="140">
        <f t="shared" si="60"/>
        <v>0</v>
      </c>
      <c r="N185" s="140"/>
      <c r="O185" s="140"/>
      <c r="P185" s="140"/>
      <c r="Q185" s="262"/>
    </row>
    <row r="186" spans="1:17" s="138" customFormat="1" ht="33.75">
      <c r="A186" s="275"/>
      <c r="B186" s="79" t="s">
        <v>560</v>
      </c>
      <c r="C186" s="34"/>
      <c r="D186" s="270">
        <v>4378</v>
      </c>
      <c r="E186" s="140">
        <f t="shared" si="56"/>
        <v>0</v>
      </c>
      <c r="F186" s="140">
        <f t="shared" si="57"/>
        <v>0</v>
      </c>
      <c r="G186" s="262">
        <f t="shared" si="58"/>
        <v>0</v>
      </c>
      <c r="H186" s="140">
        <f t="shared" si="61"/>
        <v>0</v>
      </c>
      <c r="I186" s="140">
        <f t="shared" si="59"/>
        <v>0</v>
      </c>
      <c r="J186" s="140"/>
      <c r="K186" s="140"/>
      <c r="L186" s="140"/>
      <c r="M186" s="140">
        <f t="shared" si="60"/>
        <v>0</v>
      </c>
      <c r="N186" s="140"/>
      <c r="O186" s="140"/>
      <c r="P186" s="140"/>
      <c r="Q186" s="262"/>
    </row>
    <row r="187" spans="1:17" s="138" customFormat="1" ht="33.75">
      <c r="A187" s="275"/>
      <c r="B187" s="79" t="s">
        <v>560</v>
      </c>
      <c r="C187" s="34"/>
      <c r="D187" s="270">
        <v>4379</v>
      </c>
      <c r="E187" s="140">
        <f t="shared" si="56"/>
        <v>0</v>
      </c>
      <c r="F187" s="140">
        <f t="shared" si="57"/>
        <v>0</v>
      </c>
      <c r="G187" s="262">
        <f t="shared" si="58"/>
        <v>0</v>
      </c>
      <c r="H187" s="140">
        <f t="shared" si="61"/>
        <v>0</v>
      </c>
      <c r="I187" s="140">
        <f t="shared" si="59"/>
        <v>0</v>
      </c>
      <c r="J187" s="140"/>
      <c r="K187" s="140"/>
      <c r="L187" s="140"/>
      <c r="M187" s="140">
        <f t="shared" si="60"/>
        <v>0</v>
      </c>
      <c r="N187" s="140"/>
      <c r="O187" s="140"/>
      <c r="P187" s="140"/>
      <c r="Q187" s="262"/>
    </row>
    <row r="188" spans="1:17" s="138" customFormat="1" ht="12.75">
      <c r="A188" s="275"/>
      <c r="B188" s="79" t="s">
        <v>405</v>
      </c>
      <c r="C188" s="34"/>
      <c r="D188" s="270">
        <v>4308</v>
      </c>
      <c r="E188" s="140">
        <f t="shared" si="56"/>
        <v>8966</v>
      </c>
      <c r="F188" s="140">
        <f t="shared" si="57"/>
        <v>0</v>
      </c>
      <c r="G188" s="262">
        <f t="shared" si="58"/>
        <v>8966</v>
      </c>
      <c r="H188" s="140">
        <f t="shared" si="61"/>
        <v>8966</v>
      </c>
      <c r="I188" s="140">
        <f t="shared" si="59"/>
        <v>0</v>
      </c>
      <c r="J188" s="140"/>
      <c r="K188" s="140"/>
      <c r="L188" s="140"/>
      <c r="M188" s="140">
        <f t="shared" si="60"/>
        <v>8966</v>
      </c>
      <c r="N188" s="140"/>
      <c r="O188" s="140"/>
      <c r="P188" s="140"/>
      <c r="Q188" s="78">
        <v>8966</v>
      </c>
    </row>
    <row r="189" spans="1:17" s="138" customFormat="1" ht="12.75">
      <c r="A189" s="275"/>
      <c r="B189" s="79" t="s">
        <v>405</v>
      </c>
      <c r="C189" s="34"/>
      <c r="D189" s="270">
        <v>4309</v>
      </c>
      <c r="E189" s="140">
        <f t="shared" si="56"/>
        <v>1582</v>
      </c>
      <c r="F189" s="140">
        <f t="shared" si="57"/>
        <v>1582</v>
      </c>
      <c r="G189" s="262">
        <f t="shared" si="58"/>
        <v>0</v>
      </c>
      <c r="H189" s="140">
        <f t="shared" si="61"/>
        <v>1582</v>
      </c>
      <c r="I189" s="140">
        <f t="shared" si="59"/>
        <v>1582</v>
      </c>
      <c r="J189" s="140"/>
      <c r="K189" s="140"/>
      <c r="L189" s="78">
        <v>1582</v>
      </c>
      <c r="M189" s="140">
        <f t="shared" si="60"/>
        <v>0</v>
      </c>
      <c r="N189" s="140"/>
      <c r="O189" s="140"/>
      <c r="P189" s="140"/>
      <c r="Q189" s="262"/>
    </row>
    <row r="190" spans="1:17" s="138" customFormat="1" ht="45">
      <c r="A190" s="275"/>
      <c r="B190" s="603" t="s">
        <v>521</v>
      </c>
      <c r="C190" s="34"/>
      <c r="D190" s="270">
        <v>4748</v>
      </c>
      <c r="E190" s="140">
        <f>F190+G190</f>
        <v>13462</v>
      </c>
      <c r="F190" s="140">
        <f>I190</f>
        <v>0</v>
      </c>
      <c r="G190" s="262">
        <f>M190</f>
        <v>13462</v>
      </c>
      <c r="H190" s="140">
        <f>I190+M190</f>
        <v>13462</v>
      </c>
      <c r="I190" s="140">
        <f>SUM(J190:L190)</f>
        <v>0</v>
      </c>
      <c r="J190" s="140"/>
      <c r="K190" s="140"/>
      <c r="L190" s="140"/>
      <c r="M190" s="140">
        <f>SUM(N190:Q190)</f>
        <v>13462</v>
      </c>
      <c r="N190" s="140"/>
      <c r="O190" s="140"/>
      <c r="P190" s="140"/>
      <c r="Q190" s="78">
        <v>13462</v>
      </c>
    </row>
    <row r="191" spans="1:17" s="138" customFormat="1" ht="45">
      <c r="A191" s="275"/>
      <c r="B191" s="603" t="s">
        <v>521</v>
      </c>
      <c r="C191" s="34"/>
      <c r="D191" s="270">
        <v>4749</v>
      </c>
      <c r="E191" s="140">
        <f>F191+G191</f>
        <v>2376</v>
      </c>
      <c r="F191" s="140">
        <f>I191</f>
        <v>2376</v>
      </c>
      <c r="G191" s="262">
        <f>M191</f>
        <v>0</v>
      </c>
      <c r="H191" s="140">
        <f>I191+M191</f>
        <v>2376</v>
      </c>
      <c r="I191" s="140">
        <f>SUM(J191:L191)</f>
        <v>2376</v>
      </c>
      <c r="J191" s="140"/>
      <c r="K191" s="140"/>
      <c r="L191" s="78">
        <v>2376</v>
      </c>
      <c r="M191" s="140">
        <f>SUM(N191:Q191)</f>
        <v>0</v>
      </c>
      <c r="N191" s="140"/>
      <c r="O191" s="140"/>
      <c r="P191" s="140"/>
      <c r="Q191" s="262"/>
    </row>
    <row r="192" spans="1:17" s="138" customFormat="1" ht="33.75">
      <c r="A192" s="275"/>
      <c r="B192" s="79" t="s">
        <v>561</v>
      </c>
      <c r="C192" s="34"/>
      <c r="D192" s="270">
        <v>4758</v>
      </c>
      <c r="E192" s="140">
        <f t="shared" si="56"/>
        <v>48757</v>
      </c>
      <c r="F192" s="140">
        <f t="shared" si="57"/>
        <v>0</v>
      </c>
      <c r="G192" s="262">
        <f t="shared" si="58"/>
        <v>48757</v>
      </c>
      <c r="H192" s="140">
        <f t="shared" si="61"/>
        <v>48757</v>
      </c>
      <c r="I192" s="140">
        <f t="shared" si="59"/>
        <v>0</v>
      </c>
      <c r="J192" s="140"/>
      <c r="K192" s="140"/>
      <c r="L192" s="140"/>
      <c r="M192" s="140">
        <f t="shared" si="60"/>
        <v>48757</v>
      </c>
      <c r="N192" s="140"/>
      <c r="O192" s="140"/>
      <c r="P192" s="140"/>
      <c r="Q192" s="78">
        <v>48757</v>
      </c>
    </row>
    <row r="193" spans="1:17" s="138" customFormat="1" ht="33.75">
      <c r="A193" s="275"/>
      <c r="B193" s="79" t="s">
        <v>561</v>
      </c>
      <c r="C193" s="34"/>
      <c r="D193" s="270">
        <v>4759</v>
      </c>
      <c r="E193" s="140">
        <f t="shared" si="56"/>
        <v>8604</v>
      </c>
      <c r="F193" s="140">
        <f t="shared" si="57"/>
        <v>8604</v>
      </c>
      <c r="G193" s="262">
        <f t="shared" si="58"/>
        <v>0</v>
      </c>
      <c r="H193" s="140">
        <f t="shared" si="61"/>
        <v>8604</v>
      </c>
      <c r="I193" s="140">
        <f t="shared" si="59"/>
        <v>8604</v>
      </c>
      <c r="J193" s="140"/>
      <c r="K193" s="140"/>
      <c r="L193" s="78">
        <v>8604</v>
      </c>
      <c r="M193" s="140">
        <f t="shared" si="60"/>
        <v>0</v>
      </c>
      <c r="N193" s="140"/>
      <c r="O193" s="140"/>
      <c r="P193" s="140"/>
      <c r="Q193" s="262"/>
    </row>
    <row r="194" spans="1:17" s="138" customFormat="1" ht="33.75">
      <c r="A194" s="275"/>
      <c r="B194" s="603" t="s">
        <v>710</v>
      </c>
      <c r="C194" s="34"/>
      <c r="D194" s="270">
        <v>6068</v>
      </c>
      <c r="E194" s="140">
        <f>F194+G194</f>
        <v>0</v>
      </c>
      <c r="F194" s="140">
        <f>I194</f>
        <v>0</v>
      </c>
      <c r="G194" s="262">
        <f>M194</f>
        <v>0</v>
      </c>
      <c r="H194" s="140">
        <f>I194+M194</f>
        <v>0</v>
      </c>
      <c r="I194" s="140">
        <f>SUM(J194:L194)</f>
        <v>0</v>
      </c>
      <c r="J194" s="140"/>
      <c r="K194" s="140"/>
      <c r="L194" s="140"/>
      <c r="M194" s="140">
        <f>SUM(N194:Q194)</f>
        <v>0</v>
      </c>
      <c r="N194" s="140"/>
      <c r="O194" s="140"/>
      <c r="P194" s="140"/>
      <c r="Q194" s="78"/>
    </row>
    <row r="195" spans="1:17" s="138" customFormat="1" ht="33.75">
      <c r="A195" s="275"/>
      <c r="B195" s="603" t="s">
        <v>710</v>
      </c>
      <c r="C195" s="34"/>
      <c r="D195" s="270">
        <v>6069</v>
      </c>
      <c r="E195" s="140">
        <f>F195+G195</f>
        <v>0</v>
      </c>
      <c r="F195" s="140">
        <f>I195</f>
        <v>0</v>
      </c>
      <c r="G195" s="262">
        <f>M195</f>
        <v>0</v>
      </c>
      <c r="H195" s="140">
        <f>I195+M195</f>
        <v>0</v>
      </c>
      <c r="I195" s="140">
        <f>SUM(J195:L195)</f>
        <v>0</v>
      </c>
      <c r="J195" s="140"/>
      <c r="K195" s="140"/>
      <c r="L195" s="78"/>
      <c r="M195" s="140">
        <f>SUM(N195:Q195)</f>
        <v>0</v>
      </c>
      <c r="N195" s="140"/>
      <c r="O195" s="140"/>
      <c r="P195" s="140"/>
      <c r="Q195" s="262"/>
    </row>
    <row r="196" spans="1:17" s="139" customFormat="1" ht="17.25" customHeight="1">
      <c r="A196" s="595"/>
      <c r="B196" s="287">
        <v>2010</v>
      </c>
      <c r="C196" s="596"/>
      <c r="D196" s="596"/>
      <c r="E196" s="137">
        <f>F196+G196</f>
        <v>1419118</v>
      </c>
      <c r="F196" s="137">
        <f>SUM(F172:F195)</f>
        <v>212868</v>
      </c>
      <c r="G196" s="137">
        <f>SUM(G172:G195)</f>
        <v>1206250</v>
      </c>
      <c r="H196" s="137">
        <f>I196+M196</f>
        <v>1419118</v>
      </c>
      <c r="I196" s="137">
        <f>SUM(I172:I195)</f>
        <v>212868</v>
      </c>
      <c r="J196" s="137">
        <f>SUM(J172:J195)</f>
        <v>0</v>
      </c>
      <c r="K196" s="137">
        <f>SUM(K172:K195)</f>
        <v>0</v>
      </c>
      <c r="L196" s="137">
        <f>SUM(L172:L195)</f>
        <v>212868</v>
      </c>
      <c r="M196" s="137">
        <f>N196+O196+P196+Q196</f>
        <v>1206250</v>
      </c>
      <c r="N196" s="604">
        <f>SUM(N172:N195)</f>
        <v>0</v>
      </c>
      <c r="O196" s="604">
        <f>SUM(O172:O195)</f>
        <v>0</v>
      </c>
      <c r="P196" s="604">
        <f>SUM(P172:P195)</f>
        <v>0</v>
      </c>
      <c r="Q196" s="604">
        <f>SUM(Q172:Q195)</f>
        <v>1206250</v>
      </c>
    </row>
    <row r="197" spans="1:17" s="138" customFormat="1" ht="11.25">
      <c r="A197" s="275"/>
      <c r="B197" s="134">
        <v>2009</v>
      </c>
      <c r="C197" s="136"/>
      <c r="D197" s="136"/>
      <c r="E197" s="135">
        <v>553613.05</v>
      </c>
      <c r="F197" s="135"/>
      <c r="G197" s="135"/>
      <c r="H197" s="135"/>
      <c r="I197" s="135"/>
      <c r="J197" s="136"/>
      <c r="K197" s="136"/>
      <c r="L197" s="250"/>
      <c r="M197" s="135"/>
      <c r="N197" s="136"/>
      <c r="O197" s="136"/>
      <c r="P197" s="136"/>
      <c r="Q197" s="136"/>
    </row>
    <row r="198" spans="1:17" s="138" customFormat="1" ht="11.25" customHeight="1" hidden="1">
      <c r="A198" s="275" t="s">
        <v>793</v>
      </c>
      <c r="B198" s="286" t="s">
        <v>223</v>
      </c>
      <c r="C198" s="791" t="s">
        <v>792</v>
      </c>
      <c r="D198" s="792"/>
      <c r="E198" s="792"/>
      <c r="F198" s="792"/>
      <c r="G198" s="792"/>
      <c r="H198" s="792"/>
      <c r="I198" s="792"/>
      <c r="J198" s="792"/>
      <c r="K198" s="792"/>
      <c r="L198" s="792"/>
      <c r="M198" s="792"/>
      <c r="N198" s="792"/>
      <c r="O198" s="792"/>
      <c r="P198" s="792"/>
      <c r="Q198" s="793"/>
    </row>
    <row r="199" spans="1:17" s="138" customFormat="1" ht="11.25" customHeight="1">
      <c r="A199" s="275" t="s">
        <v>793</v>
      </c>
      <c r="B199" s="286" t="s">
        <v>223</v>
      </c>
      <c r="C199" s="788" t="s">
        <v>795</v>
      </c>
      <c r="D199" s="789"/>
      <c r="E199" s="789"/>
      <c r="F199" s="789"/>
      <c r="G199" s="789"/>
      <c r="H199" s="789"/>
      <c r="I199" s="789"/>
      <c r="J199" s="789"/>
      <c r="K199" s="789"/>
      <c r="L199" s="789"/>
      <c r="M199" s="789"/>
      <c r="N199" s="789"/>
      <c r="O199" s="789"/>
      <c r="P199" s="789"/>
      <c r="Q199" s="790"/>
    </row>
    <row r="200" spans="1:17" s="138" customFormat="1" ht="11.25" customHeight="1">
      <c r="A200" s="275"/>
      <c r="B200" s="284" t="s">
        <v>224</v>
      </c>
      <c r="C200" s="791"/>
      <c r="D200" s="792"/>
      <c r="E200" s="792"/>
      <c r="F200" s="792"/>
      <c r="G200" s="792"/>
      <c r="H200" s="792"/>
      <c r="I200" s="792"/>
      <c r="J200" s="792"/>
      <c r="K200" s="792"/>
      <c r="L200" s="792"/>
      <c r="M200" s="792"/>
      <c r="N200" s="792"/>
      <c r="O200" s="792"/>
      <c r="P200" s="792"/>
      <c r="Q200" s="793"/>
    </row>
    <row r="201" spans="1:17" s="138" customFormat="1" ht="11.25" customHeight="1">
      <c r="A201" s="275"/>
      <c r="B201" s="284" t="s">
        <v>225</v>
      </c>
      <c r="C201" s="791"/>
      <c r="D201" s="792"/>
      <c r="E201" s="792"/>
      <c r="F201" s="792"/>
      <c r="G201" s="792"/>
      <c r="H201" s="792"/>
      <c r="I201" s="792"/>
      <c r="J201" s="792"/>
      <c r="K201" s="792"/>
      <c r="L201" s="792"/>
      <c r="M201" s="792"/>
      <c r="N201" s="792"/>
      <c r="O201" s="792"/>
      <c r="P201" s="792"/>
      <c r="Q201" s="793"/>
    </row>
    <row r="202" spans="1:17" s="138" customFormat="1" ht="11.25" customHeight="1">
      <c r="A202" s="275"/>
      <c r="B202" s="285" t="s">
        <v>226</v>
      </c>
      <c r="C202" s="794"/>
      <c r="D202" s="795"/>
      <c r="E202" s="795"/>
      <c r="F202" s="795"/>
      <c r="G202" s="795"/>
      <c r="H202" s="795"/>
      <c r="I202" s="795"/>
      <c r="J202" s="795"/>
      <c r="K202" s="795"/>
      <c r="L202" s="795"/>
      <c r="M202" s="795"/>
      <c r="N202" s="795"/>
      <c r="O202" s="795"/>
      <c r="P202" s="795"/>
      <c r="Q202" s="796"/>
    </row>
    <row r="203" spans="1:17" s="138" customFormat="1" ht="12.75">
      <c r="A203" s="275"/>
      <c r="B203" s="287" t="s">
        <v>227</v>
      </c>
      <c r="C203" s="34"/>
      <c r="D203" s="141" t="s">
        <v>447</v>
      </c>
      <c r="E203" s="140">
        <f>E224+E225+E223</f>
        <v>557243</v>
      </c>
      <c r="F203" s="140">
        <f aca="true" t="shared" si="62" ref="F203:Q203">F224+F225+F223</f>
        <v>50007</v>
      </c>
      <c r="G203" s="140">
        <f t="shared" si="62"/>
        <v>145566</v>
      </c>
      <c r="H203" s="140">
        <f t="shared" si="62"/>
        <v>195573</v>
      </c>
      <c r="I203" s="140">
        <f t="shared" si="62"/>
        <v>50007</v>
      </c>
      <c r="J203" s="140">
        <f t="shared" si="62"/>
        <v>0</v>
      </c>
      <c r="K203" s="140">
        <f t="shared" si="62"/>
        <v>0</v>
      </c>
      <c r="L203" s="140">
        <f t="shared" si="62"/>
        <v>50007</v>
      </c>
      <c r="M203" s="140">
        <f t="shared" si="62"/>
        <v>145566</v>
      </c>
      <c r="N203" s="140">
        <f t="shared" si="62"/>
        <v>0</v>
      </c>
      <c r="O203" s="140">
        <f t="shared" si="62"/>
        <v>0</v>
      </c>
      <c r="P203" s="140">
        <f t="shared" si="62"/>
        <v>0</v>
      </c>
      <c r="Q203" s="140">
        <f t="shared" si="62"/>
        <v>145566</v>
      </c>
    </row>
    <row r="204" spans="1:17" s="138" customFormat="1" ht="22.5">
      <c r="A204" s="275"/>
      <c r="B204" s="79" t="s">
        <v>556</v>
      </c>
      <c r="C204" s="34"/>
      <c r="D204" s="270">
        <v>4118</v>
      </c>
      <c r="E204" s="140">
        <f aca="true" t="shared" si="63" ref="E204:E222">F204+G204</f>
        <v>11747</v>
      </c>
      <c r="F204" s="140"/>
      <c r="G204" s="262">
        <f>Q204</f>
        <v>11747</v>
      </c>
      <c r="H204" s="140">
        <f aca="true" t="shared" si="64" ref="H204:H222">I204+M204</f>
        <v>11747</v>
      </c>
      <c r="I204" s="140">
        <f aca="true" t="shared" si="65" ref="I204:I222">SUM(J204:L204)</f>
        <v>0</v>
      </c>
      <c r="J204" s="140"/>
      <c r="K204" s="140"/>
      <c r="L204" s="140"/>
      <c r="M204" s="140">
        <f aca="true" t="shared" si="66" ref="M204:M222">SUM(N204:Q204)</f>
        <v>11747</v>
      </c>
      <c r="N204" s="140"/>
      <c r="O204" s="140"/>
      <c r="P204" s="140"/>
      <c r="Q204" s="593">
        <v>11747</v>
      </c>
    </row>
    <row r="205" spans="1:17" s="138" customFormat="1" ht="22.5">
      <c r="A205" s="275"/>
      <c r="B205" s="79" t="s">
        <v>556</v>
      </c>
      <c r="C205" s="34"/>
      <c r="D205" s="270">
        <v>4119</v>
      </c>
      <c r="E205" s="140">
        <f t="shared" si="63"/>
        <v>2073</v>
      </c>
      <c r="F205" s="140">
        <f>L205</f>
        <v>2073</v>
      </c>
      <c r="G205" s="262"/>
      <c r="H205" s="140">
        <f t="shared" si="64"/>
        <v>2073</v>
      </c>
      <c r="I205" s="140">
        <f t="shared" si="65"/>
        <v>2073</v>
      </c>
      <c r="J205" s="140"/>
      <c r="K205" s="140"/>
      <c r="L205" s="593">
        <v>2073</v>
      </c>
      <c r="M205" s="140">
        <f t="shared" si="66"/>
        <v>0</v>
      </c>
      <c r="N205" s="140"/>
      <c r="O205" s="140"/>
      <c r="P205" s="140"/>
      <c r="Q205" s="262"/>
    </row>
    <row r="206" spans="1:17" s="138" customFormat="1" ht="12.75">
      <c r="A206" s="275"/>
      <c r="B206" s="79" t="s">
        <v>558</v>
      </c>
      <c r="C206" s="34"/>
      <c r="D206" s="270">
        <v>4128</v>
      </c>
      <c r="E206" s="140">
        <f t="shared" si="63"/>
        <v>1895</v>
      </c>
      <c r="F206" s="140"/>
      <c r="G206" s="262">
        <f>Q206</f>
        <v>1895</v>
      </c>
      <c r="H206" s="140">
        <f t="shared" si="64"/>
        <v>1895</v>
      </c>
      <c r="I206" s="140">
        <f t="shared" si="65"/>
        <v>0</v>
      </c>
      <c r="J206" s="140"/>
      <c r="K206" s="140"/>
      <c r="L206" s="140"/>
      <c r="M206" s="140">
        <f t="shared" si="66"/>
        <v>1895</v>
      </c>
      <c r="N206" s="140"/>
      <c r="O206" s="140"/>
      <c r="P206" s="140"/>
      <c r="Q206" s="593">
        <v>1895</v>
      </c>
    </row>
    <row r="207" spans="1:17" s="138" customFormat="1" ht="12.75">
      <c r="A207" s="275"/>
      <c r="B207" s="79" t="s">
        <v>558</v>
      </c>
      <c r="C207" s="34"/>
      <c r="D207" s="270">
        <v>4129</v>
      </c>
      <c r="E207" s="140">
        <f t="shared" si="63"/>
        <v>334</v>
      </c>
      <c r="F207" s="140">
        <f>L207</f>
        <v>334</v>
      </c>
      <c r="G207" s="262"/>
      <c r="H207" s="140">
        <f t="shared" si="64"/>
        <v>334</v>
      </c>
      <c r="I207" s="140">
        <f t="shared" si="65"/>
        <v>334</v>
      </c>
      <c r="J207" s="140"/>
      <c r="K207" s="140"/>
      <c r="L207" s="593">
        <v>334</v>
      </c>
      <c r="M207" s="140">
        <f t="shared" si="66"/>
        <v>0</v>
      </c>
      <c r="N207" s="140"/>
      <c r="O207" s="140"/>
      <c r="P207" s="140"/>
      <c r="Q207" s="262"/>
    </row>
    <row r="208" spans="1:17" s="138" customFormat="1" ht="22.5">
      <c r="A208" s="275"/>
      <c r="B208" s="79" t="s">
        <v>2</v>
      </c>
      <c r="C208" s="34"/>
      <c r="D208" s="270">
        <v>4018</v>
      </c>
      <c r="E208" s="140">
        <f t="shared" si="63"/>
        <v>4250</v>
      </c>
      <c r="F208" s="140"/>
      <c r="G208" s="262">
        <f>M208</f>
        <v>4250</v>
      </c>
      <c r="H208" s="140">
        <f t="shared" si="64"/>
        <v>4250</v>
      </c>
      <c r="I208" s="140">
        <f t="shared" si="65"/>
        <v>0</v>
      </c>
      <c r="J208" s="140"/>
      <c r="K208" s="140"/>
      <c r="L208" s="140"/>
      <c r="M208" s="140">
        <f t="shared" si="66"/>
        <v>4250</v>
      </c>
      <c r="N208" s="140"/>
      <c r="O208" s="140"/>
      <c r="P208" s="140"/>
      <c r="Q208" s="593">
        <v>4250</v>
      </c>
    </row>
    <row r="209" spans="1:17" s="138" customFormat="1" ht="22.5">
      <c r="A209" s="275"/>
      <c r="B209" s="79" t="s">
        <v>2</v>
      </c>
      <c r="C209" s="34"/>
      <c r="D209" s="270">
        <v>4019</v>
      </c>
      <c r="E209" s="140">
        <f t="shared" si="63"/>
        <v>750</v>
      </c>
      <c r="F209" s="140">
        <f>I209</f>
        <v>750</v>
      </c>
      <c r="G209" s="262"/>
      <c r="H209" s="140">
        <f t="shared" si="64"/>
        <v>750</v>
      </c>
      <c r="I209" s="140">
        <f t="shared" si="65"/>
        <v>750</v>
      </c>
      <c r="J209" s="140"/>
      <c r="K209" s="140"/>
      <c r="L209" s="593">
        <v>750</v>
      </c>
      <c r="M209" s="140">
        <f t="shared" si="66"/>
        <v>0</v>
      </c>
      <c r="N209" s="140"/>
      <c r="O209" s="140"/>
      <c r="P209" s="140"/>
      <c r="Q209" s="262"/>
    </row>
    <row r="210" spans="1:17" s="138" customFormat="1" ht="22.5">
      <c r="A210" s="275"/>
      <c r="B210" s="79" t="s">
        <v>518</v>
      </c>
      <c r="C210" s="34"/>
      <c r="D210" s="270">
        <v>4178</v>
      </c>
      <c r="E210" s="140">
        <f t="shared" si="63"/>
        <v>76050</v>
      </c>
      <c r="F210" s="140"/>
      <c r="G210" s="262">
        <f>M210</f>
        <v>76050</v>
      </c>
      <c r="H210" s="140">
        <f t="shared" si="64"/>
        <v>76050</v>
      </c>
      <c r="I210" s="140">
        <f t="shared" si="65"/>
        <v>0</v>
      </c>
      <c r="J210" s="140"/>
      <c r="K210" s="140"/>
      <c r="L210" s="140"/>
      <c r="M210" s="140">
        <f t="shared" si="66"/>
        <v>76050</v>
      </c>
      <c r="N210" s="140"/>
      <c r="O210" s="140"/>
      <c r="P210" s="140"/>
      <c r="Q210" s="593">
        <v>76050</v>
      </c>
    </row>
    <row r="211" spans="1:17" s="138" customFormat="1" ht="22.5">
      <c r="A211" s="275"/>
      <c r="B211" s="79" t="s">
        <v>518</v>
      </c>
      <c r="C211" s="34"/>
      <c r="D211" s="270">
        <v>4179</v>
      </c>
      <c r="E211" s="140">
        <f t="shared" si="63"/>
        <v>9929</v>
      </c>
      <c r="F211" s="140">
        <f>I211</f>
        <v>9929</v>
      </c>
      <c r="G211" s="262"/>
      <c r="H211" s="140">
        <f t="shared" si="64"/>
        <v>9929</v>
      </c>
      <c r="I211" s="140">
        <f t="shared" si="65"/>
        <v>9929</v>
      </c>
      <c r="J211" s="140"/>
      <c r="K211" s="140"/>
      <c r="L211" s="593">
        <v>9929</v>
      </c>
      <c r="M211" s="140">
        <f t="shared" si="66"/>
        <v>0</v>
      </c>
      <c r="N211" s="140"/>
      <c r="O211" s="140"/>
      <c r="P211" s="140"/>
      <c r="Q211" s="262"/>
    </row>
    <row r="212" spans="1:17" s="138" customFormat="1" ht="22.5">
      <c r="A212" s="275"/>
      <c r="B212" s="79" t="s">
        <v>422</v>
      </c>
      <c r="C212" s="34"/>
      <c r="D212" s="270">
        <v>4218</v>
      </c>
      <c r="E212" s="140">
        <f t="shared" si="63"/>
        <v>10087</v>
      </c>
      <c r="F212" s="140"/>
      <c r="G212" s="262">
        <f>M212</f>
        <v>10087</v>
      </c>
      <c r="H212" s="140">
        <f t="shared" si="64"/>
        <v>10087</v>
      </c>
      <c r="I212" s="140">
        <f t="shared" si="65"/>
        <v>0</v>
      </c>
      <c r="J212" s="140"/>
      <c r="K212" s="140"/>
      <c r="L212" s="140"/>
      <c r="M212" s="140">
        <f t="shared" si="66"/>
        <v>10087</v>
      </c>
      <c r="N212" s="140"/>
      <c r="O212" s="140"/>
      <c r="P212" s="140"/>
      <c r="Q212" s="593">
        <v>10087</v>
      </c>
    </row>
    <row r="213" spans="1:17" s="138" customFormat="1" ht="22.5">
      <c r="A213" s="275"/>
      <c r="B213" s="79" t="s">
        <v>422</v>
      </c>
      <c r="C213" s="34"/>
      <c r="D213" s="270">
        <v>4219</v>
      </c>
      <c r="E213" s="140">
        <f t="shared" si="63"/>
        <v>1780</v>
      </c>
      <c r="F213" s="140">
        <f>H213</f>
        <v>1780</v>
      </c>
      <c r="G213" s="262"/>
      <c r="H213" s="140">
        <f t="shared" si="64"/>
        <v>1780</v>
      </c>
      <c r="I213" s="140">
        <f t="shared" si="65"/>
        <v>1780</v>
      </c>
      <c r="J213" s="140"/>
      <c r="K213" s="140"/>
      <c r="L213" s="593">
        <v>1780</v>
      </c>
      <c r="M213" s="140">
        <f t="shared" si="66"/>
        <v>0</v>
      </c>
      <c r="N213" s="140"/>
      <c r="O213" s="140"/>
      <c r="P213" s="140"/>
      <c r="Q213" s="262"/>
    </row>
    <row r="214" spans="1:17" s="138" customFormat="1" ht="33.75">
      <c r="A214" s="275"/>
      <c r="B214" s="405" t="s">
        <v>561</v>
      </c>
      <c r="C214" s="34"/>
      <c r="D214" s="270">
        <v>4758</v>
      </c>
      <c r="E214" s="140">
        <f t="shared" si="63"/>
        <v>1768</v>
      </c>
      <c r="F214" s="140"/>
      <c r="G214" s="262">
        <f>M214</f>
        <v>1768</v>
      </c>
      <c r="H214" s="140">
        <f t="shared" si="64"/>
        <v>1768</v>
      </c>
      <c r="I214" s="140">
        <f t="shared" si="65"/>
        <v>0</v>
      </c>
      <c r="J214" s="140"/>
      <c r="K214" s="140"/>
      <c r="L214" s="140"/>
      <c r="M214" s="140">
        <f t="shared" si="66"/>
        <v>1768</v>
      </c>
      <c r="N214" s="140"/>
      <c r="O214" s="140"/>
      <c r="P214" s="140"/>
      <c r="Q214" s="593">
        <v>1768</v>
      </c>
    </row>
    <row r="215" spans="1:17" s="138" customFormat="1" ht="33.75">
      <c r="A215" s="275"/>
      <c r="B215" s="405" t="s">
        <v>561</v>
      </c>
      <c r="C215" s="34"/>
      <c r="D215" s="270">
        <v>4759</v>
      </c>
      <c r="E215" s="140">
        <f t="shared" si="63"/>
        <v>312</v>
      </c>
      <c r="F215" s="140">
        <f>H215</f>
        <v>312</v>
      </c>
      <c r="G215" s="262"/>
      <c r="H215" s="140">
        <f t="shared" si="64"/>
        <v>312</v>
      </c>
      <c r="I215" s="140">
        <f t="shared" si="65"/>
        <v>312</v>
      </c>
      <c r="J215" s="140"/>
      <c r="K215" s="140"/>
      <c r="L215" s="593">
        <v>312</v>
      </c>
      <c r="M215" s="140">
        <f t="shared" si="66"/>
        <v>0</v>
      </c>
      <c r="N215" s="140"/>
      <c r="O215" s="140"/>
      <c r="P215" s="140"/>
      <c r="Q215" s="262"/>
    </row>
    <row r="216" spans="1:17" s="138" customFormat="1" ht="12.75">
      <c r="A216" s="275"/>
      <c r="B216" s="79" t="s">
        <v>405</v>
      </c>
      <c r="C216" s="34"/>
      <c r="D216" s="270">
        <v>4308</v>
      </c>
      <c r="E216" s="140">
        <f t="shared" si="63"/>
        <v>39461</v>
      </c>
      <c r="F216" s="140"/>
      <c r="G216" s="262">
        <f>M216</f>
        <v>39461</v>
      </c>
      <c r="H216" s="140">
        <f t="shared" si="64"/>
        <v>39461</v>
      </c>
      <c r="I216" s="140">
        <f t="shared" si="65"/>
        <v>0</v>
      </c>
      <c r="J216" s="140"/>
      <c r="K216" s="140"/>
      <c r="L216" s="140"/>
      <c r="M216" s="140">
        <f t="shared" si="66"/>
        <v>39461</v>
      </c>
      <c r="N216" s="140"/>
      <c r="O216" s="140"/>
      <c r="P216" s="140"/>
      <c r="Q216" s="593">
        <v>39461</v>
      </c>
    </row>
    <row r="217" spans="1:17" s="138" customFormat="1" ht="12.75">
      <c r="A217" s="275"/>
      <c r="B217" s="79" t="s">
        <v>405</v>
      </c>
      <c r="C217" s="34"/>
      <c r="D217" s="270">
        <v>4309</v>
      </c>
      <c r="E217" s="140">
        <f t="shared" si="63"/>
        <v>4753</v>
      </c>
      <c r="F217" s="140">
        <f>H217</f>
        <v>4753</v>
      </c>
      <c r="G217" s="262"/>
      <c r="H217" s="140">
        <f t="shared" si="64"/>
        <v>4753</v>
      </c>
      <c r="I217" s="140">
        <f t="shared" si="65"/>
        <v>4753</v>
      </c>
      <c r="J217" s="140"/>
      <c r="K217" s="140"/>
      <c r="L217" s="593">
        <v>4753</v>
      </c>
      <c r="M217" s="140">
        <f t="shared" si="66"/>
        <v>0</v>
      </c>
      <c r="N217" s="140"/>
      <c r="O217" s="140"/>
      <c r="P217" s="140"/>
      <c r="Q217" s="262"/>
    </row>
    <row r="218" spans="1:17" s="138" customFormat="1" ht="22.5">
      <c r="A218" s="275"/>
      <c r="B218" s="507" t="s">
        <v>804</v>
      </c>
      <c r="C218" s="34"/>
      <c r="D218" s="270" t="s">
        <v>184</v>
      </c>
      <c r="E218" s="140"/>
      <c r="F218" s="140" t="str">
        <f>H218</f>
        <v>x</v>
      </c>
      <c r="G218" s="262"/>
      <c r="H218" s="140" t="s">
        <v>184</v>
      </c>
      <c r="I218" s="140" t="s">
        <v>184</v>
      </c>
      <c r="J218" s="140"/>
      <c r="K218" s="140"/>
      <c r="L218" s="140"/>
      <c r="M218" s="140"/>
      <c r="N218" s="140"/>
      <c r="O218" s="140"/>
      <c r="P218" s="140"/>
      <c r="Q218" s="262"/>
    </row>
    <row r="219" spans="1:17" s="138" customFormat="1" ht="45">
      <c r="A219" s="275"/>
      <c r="B219" s="79" t="s">
        <v>521</v>
      </c>
      <c r="C219" s="34"/>
      <c r="D219" s="270">
        <v>4748</v>
      </c>
      <c r="E219" s="140">
        <f t="shared" si="63"/>
        <v>0</v>
      </c>
      <c r="F219" s="140"/>
      <c r="G219" s="262">
        <f>M219</f>
        <v>0</v>
      </c>
      <c r="H219" s="140">
        <f t="shared" si="64"/>
        <v>0</v>
      </c>
      <c r="I219" s="140">
        <f t="shared" si="65"/>
        <v>0</v>
      </c>
      <c r="J219" s="140"/>
      <c r="K219" s="140"/>
      <c r="L219" s="140"/>
      <c r="M219" s="140">
        <f t="shared" si="66"/>
        <v>0</v>
      </c>
      <c r="N219" s="140"/>
      <c r="O219" s="140"/>
      <c r="P219" s="140"/>
      <c r="Q219" s="593"/>
    </row>
    <row r="220" spans="1:17" s="138" customFormat="1" ht="45">
      <c r="A220" s="275"/>
      <c r="B220" s="79" t="s">
        <v>521</v>
      </c>
      <c r="C220" s="34"/>
      <c r="D220" s="270">
        <v>4749</v>
      </c>
      <c r="E220" s="140">
        <f t="shared" si="63"/>
        <v>0</v>
      </c>
      <c r="F220" s="140">
        <f>H220</f>
        <v>0</v>
      </c>
      <c r="G220" s="262"/>
      <c r="H220" s="140">
        <f t="shared" si="64"/>
        <v>0</v>
      </c>
      <c r="I220" s="140">
        <f t="shared" si="65"/>
        <v>0</v>
      </c>
      <c r="J220" s="140"/>
      <c r="K220" s="140"/>
      <c r="L220" s="593"/>
      <c r="M220" s="140">
        <f t="shared" si="66"/>
        <v>0</v>
      </c>
      <c r="N220" s="140"/>
      <c r="O220" s="140"/>
      <c r="P220" s="140"/>
      <c r="Q220" s="262"/>
    </row>
    <row r="221" spans="1:17" s="138" customFormat="1" ht="22.5">
      <c r="A221" s="275"/>
      <c r="B221" s="79" t="s">
        <v>805</v>
      </c>
      <c r="C221" s="34"/>
      <c r="D221" s="270">
        <v>4358</v>
      </c>
      <c r="E221" s="140">
        <f t="shared" si="63"/>
        <v>308</v>
      </c>
      <c r="F221" s="140"/>
      <c r="G221" s="262">
        <f>M221</f>
        <v>308</v>
      </c>
      <c r="H221" s="140">
        <f t="shared" si="64"/>
        <v>308</v>
      </c>
      <c r="I221" s="140">
        <f t="shared" si="65"/>
        <v>0</v>
      </c>
      <c r="J221" s="140"/>
      <c r="K221" s="140"/>
      <c r="L221" s="140"/>
      <c r="M221" s="140">
        <f t="shared" si="66"/>
        <v>308</v>
      </c>
      <c r="N221" s="140"/>
      <c r="O221" s="140"/>
      <c r="P221" s="140"/>
      <c r="Q221" s="593">
        <v>308</v>
      </c>
    </row>
    <row r="222" spans="1:17" s="138" customFormat="1" ht="22.5">
      <c r="A222" s="275"/>
      <c r="B222" s="79" t="s">
        <v>805</v>
      </c>
      <c r="C222" s="34"/>
      <c r="D222" s="270">
        <v>4359</v>
      </c>
      <c r="E222" s="140">
        <f t="shared" si="63"/>
        <v>54</v>
      </c>
      <c r="F222" s="140">
        <f>H222</f>
        <v>54</v>
      </c>
      <c r="G222" s="262"/>
      <c r="H222" s="140">
        <f t="shared" si="64"/>
        <v>54</v>
      </c>
      <c r="I222" s="140">
        <f t="shared" si="65"/>
        <v>54</v>
      </c>
      <c r="J222" s="140"/>
      <c r="K222" s="140"/>
      <c r="L222" s="593">
        <v>54</v>
      </c>
      <c r="M222" s="140">
        <f t="shared" si="66"/>
        <v>0</v>
      </c>
      <c r="N222" s="140"/>
      <c r="O222" s="140"/>
      <c r="P222" s="140"/>
      <c r="Q222" s="262"/>
    </row>
    <row r="223" spans="2:17" s="138" customFormat="1" ht="22.5">
      <c r="B223" s="605" t="s">
        <v>268</v>
      </c>
      <c r="C223" s="34"/>
      <c r="D223" s="270"/>
      <c r="E223" s="140">
        <f>F223+G223</f>
        <v>30022</v>
      </c>
      <c r="F223" s="140">
        <f>H223</f>
        <v>30022</v>
      </c>
      <c r="G223" s="262"/>
      <c r="H223" s="140">
        <f>I223+M223</f>
        <v>30022</v>
      </c>
      <c r="I223" s="140">
        <f>SUM(J223:L223)</f>
        <v>30022</v>
      </c>
      <c r="J223" s="140"/>
      <c r="K223" s="140"/>
      <c r="L223" s="593">
        <v>30022</v>
      </c>
      <c r="M223" s="140"/>
      <c r="N223" s="140"/>
      <c r="O223" s="140"/>
      <c r="P223" s="140"/>
      <c r="Q223" s="262"/>
    </row>
    <row r="224" spans="1:19" s="139" customFormat="1" ht="11.25">
      <c r="A224" s="595"/>
      <c r="B224" s="287">
        <v>2010</v>
      </c>
      <c r="C224" s="596"/>
      <c r="D224" s="596"/>
      <c r="E224" s="137">
        <f>F224+G224+E218</f>
        <v>165551</v>
      </c>
      <c r="F224" s="137">
        <f>SUM(F204:F222)</f>
        <v>19985</v>
      </c>
      <c r="G224" s="137">
        <f>SUM(G204:G222)</f>
        <v>145566</v>
      </c>
      <c r="H224" s="137">
        <f>I224+M224</f>
        <v>165551</v>
      </c>
      <c r="I224" s="137">
        <f>SUM(J224:L224)</f>
        <v>19985</v>
      </c>
      <c r="J224" s="137">
        <f>SUM(J204:J222)</f>
        <v>0</v>
      </c>
      <c r="K224" s="137">
        <f>SUM(K204:K222)</f>
        <v>0</v>
      </c>
      <c r="L224" s="137">
        <f>SUM(L204:L222)</f>
        <v>19985</v>
      </c>
      <c r="M224" s="137">
        <f>N224+O224+P224+Q224</f>
        <v>145566</v>
      </c>
      <c r="N224" s="137">
        <f>SUM(N204:N222)</f>
        <v>0</v>
      </c>
      <c r="O224" s="137">
        <f>SUM(O204:O222)</f>
        <v>0</v>
      </c>
      <c r="P224" s="137">
        <f>SUM(P204:P222)</f>
        <v>0</v>
      </c>
      <c r="Q224" s="137">
        <f>SUM(Q204:Q222)</f>
        <v>145566</v>
      </c>
      <c r="S224" s="597"/>
    </row>
    <row r="225" spans="1:17" s="138" customFormat="1" ht="11.25">
      <c r="A225" s="275"/>
      <c r="B225" s="134">
        <v>2009</v>
      </c>
      <c r="C225" s="136"/>
      <c r="D225" s="136"/>
      <c r="E225" s="135">
        <v>361670</v>
      </c>
      <c r="F225" s="135"/>
      <c r="G225" s="133"/>
      <c r="H225" s="135"/>
      <c r="I225" s="135"/>
      <c r="J225" s="136"/>
      <c r="K225" s="136"/>
      <c r="L225" s="250"/>
      <c r="M225" s="135"/>
      <c r="N225" s="136"/>
      <c r="O225" s="136"/>
      <c r="P225" s="136"/>
      <c r="Q225" s="136"/>
    </row>
    <row r="226" spans="1:17" s="138" customFormat="1" ht="11.25" customHeight="1">
      <c r="A226" s="275" t="s">
        <v>794</v>
      </c>
      <c r="B226" s="286" t="s">
        <v>223</v>
      </c>
      <c r="C226" s="788" t="s">
        <v>812</v>
      </c>
      <c r="D226" s="789"/>
      <c r="E226" s="789"/>
      <c r="F226" s="789"/>
      <c r="G226" s="789"/>
      <c r="H226" s="789"/>
      <c r="I226" s="789"/>
      <c r="J226" s="789"/>
      <c r="K226" s="789"/>
      <c r="L226" s="789"/>
      <c r="M226" s="789"/>
      <c r="N226" s="789"/>
      <c r="O226" s="789"/>
      <c r="P226" s="789"/>
      <c r="Q226" s="790"/>
    </row>
    <row r="227" spans="1:17" s="138" customFormat="1" ht="11.25" customHeight="1">
      <c r="A227" s="275"/>
      <c r="B227" s="284" t="s">
        <v>224</v>
      </c>
      <c r="C227" s="791"/>
      <c r="D227" s="792"/>
      <c r="E227" s="792"/>
      <c r="F227" s="792"/>
      <c r="G227" s="792"/>
      <c r="H227" s="792"/>
      <c r="I227" s="792"/>
      <c r="J227" s="792"/>
      <c r="K227" s="792"/>
      <c r="L227" s="792"/>
      <c r="M227" s="792"/>
      <c r="N227" s="792"/>
      <c r="O227" s="792"/>
      <c r="P227" s="792"/>
      <c r="Q227" s="793"/>
    </row>
    <row r="228" spans="1:17" s="138" customFormat="1" ht="11.25" customHeight="1">
      <c r="A228" s="275"/>
      <c r="B228" s="284" t="s">
        <v>225</v>
      </c>
      <c r="C228" s="791"/>
      <c r="D228" s="792"/>
      <c r="E228" s="792"/>
      <c r="F228" s="792"/>
      <c r="G228" s="792"/>
      <c r="H228" s="792"/>
      <c r="I228" s="792"/>
      <c r="J228" s="792"/>
      <c r="K228" s="792"/>
      <c r="L228" s="792"/>
      <c r="M228" s="792"/>
      <c r="N228" s="792"/>
      <c r="O228" s="792"/>
      <c r="P228" s="792"/>
      <c r="Q228" s="793"/>
    </row>
    <row r="229" spans="1:17" s="138" customFormat="1" ht="11.25" customHeight="1">
      <c r="A229" s="275"/>
      <c r="B229" s="285" t="s">
        <v>226</v>
      </c>
      <c r="C229" s="794"/>
      <c r="D229" s="795"/>
      <c r="E229" s="795"/>
      <c r="F229" s="795"/>
      <c r="G229" s="795"/>
      <c r="H229" s="795"/>
      <c r="I229" s="795"/>
      <c r="J229" s="795"/>
      <c r="K229" s="795"/>
      <c r="L229" s="795"/>
      <c r="M229" s="795"/>
      <c r="N229" s="795"/>
      <c r="O229" s="795"/>
      <c r="P229" s="795"/>
      <c r="Q229" s="796"/>
    </row>
    <row r="230" spans="1:17" s="138" customFormat="1" ht="12.75">
      <c r="A230" s="275"/>
      <c r="B230" s="287" t="s">
        <v>227</v>
      </c>
      <c r="C230" s="34"/>
      <c r="D230" s="141" t="s">
        <v>808</v>
      </c>
      <c r="E230" s="140">
        <f>E251+E252</f>
        <v>578370</v>
      </c>
      <c r="F230" s="140">
        <f aca="true" t="shared" si="67" ref="F230:Q230">F251+F252</f>
        <v>15018</v>
      </c>
      <c r="G230" s="140">
        <f t="shared" si="67"/>
        <v>85100</v>
      </c>
      <c r="H230" s="140">
        <f t="shared" si="67"/>
        <v>100118</v>
      </c>
      <c r="I230" s="140">
        <f t="shared" si="67"/>
        <v>15018</v>
      </c>
      <c r="J230" s="140">
        <f t="shared" si="67"/>
        <v>0</v>
      </c>
      <c r="K230" s="140">
        <f t="shared" si="67"/>
        <v>0</v>
      </c>
      <c r="L230" s="140">
        <f t="shared" si="67"/>
        <v>15018</v>
      </c>
      <c r="M230" s="140">
        <f t="shared" si="67"/>
        <v>85100</v>
      </c>
      <c r="N230" s="140">
        <f t="shared" si="67"/>
        <v>0</v>
      </c>
      <c r="O230" s="140">
        <f t="shared" si="67"/>
        <v>0</v>
      </c>
      <c r="P230" s="140">
        <f t="shared" si="67"/>
        <v>0</v>
      </c>
      <c r="Q230" s="262">
        <f t="shared" si="67"/>
        <v>85100</v>
      </c>
    </row>
    <row r="231" spans="1:17" s="138" customFormat="1" ht="22.5">
      <c r="A231" s="275"/>
      <c r="B231" s="79" t="s">
        <v>556</v>
      </c>
      <c r="C231" s="34"/>
      <c r="D231" s="270">
        <v>4118</v>
      </c>
      <c r="E231" s="140">
        <f aca="true" t="shared" si="68" ref="E231:E251">F231+G231</f>
        <v>2265</v>
      </c>
      <c r="F231" s="140"/>
      <c r="G231" s="262">
        <f>Q231</f>
        <v>2265</v>
      </c>
      <c r="H231" s="140">
        <f aca="true" t="shared" si="69" ref="H231:H251">I231+M231</f>
        <v>2265</v>
      </c>
      <c r="I231" s="140">
        <f aca="true" t="shared" si="70" ref="I231:I251">SUM(J231:L231)</f>
        <v>0</v>
      </c>
      <c r="J231" s="140"/>
      <c r="K231" s="140"/>
      <c r="L231" s="140"/>
      <c r="M231" s="140">
        <f aca="true" t="shared" si="71" ref="M231:M250">SUM(N231:Q231)</f>
        <v>2265</v>
      </c>
      <c r="N231" s="140"/>
      <c r="O231" s="140"/>
      <c r="P231" s="140"/>
      <c r="Q231" s="593">
        <v>2265</v>
      </c>
    </row>
    <row r="232" spans="1:17" s="138" customFormat="1" ht="22.5">
      <c r="A232" s="275"/>
      <c r="B232" s="79" t="s">
        <v>556</v>
      </c>
      <c r="C232" s="34"/>
      <c r="D232" s="270">
        <v>4119</v>
      </c>
      <c r="E232" s="140">
        <f t="shared" si="68"/>
        <v>400</v>
      </c>
      <c r="F232" s="140">
        <f>L232</f>
        <v>400</v>
      </c>
      <c r="G232" s="262"/>
      <c r="H232" s="140">
        <f t="shared" si="69"/>
        <v>400</v>
      </c>
      <c r="I232" s="140">
        <f t="shared" si="70"/>
        <v>400</v>
      </c>
      <c r="J232" s="140"/>
      <c r="K232" s="140"/>
      <c r="L232" s="593">
        <v>400</v>
      </c>
      <c r="M232" s="140">
        <f t="shared" si="71"/>
        <v>0</v>
      </c>
      <c r="N232" s="140"/>
      <c r="O232" s="140"/>
      <c r="P232" s="140"/>
      <c r="Q232" s="262"/>
    </row>
    <row r="233" spans="1:17" s="138" customFormat="1" ht="12.75">
      <c r="A233" s="275"/>
      <c r="B233" s="79" t="s">
        <v>558</v>
      </c>
      <c r="C233" s="34"/>
      <c r="D233" s="270">
        <v>4128</v>
      </c>
      <c r="E233" s="140">
        <f t="shared" si="68"/>
        <v>363</v>
      </c>
      <c r="F233" s="140"/>
      <c r="G233" s="262">
        <f>Q233</f>
        <v>363</v>
      </c>
      <c r="H233" s="140">
        <f t="shared" si="69"/>
        <v>363</v>
      </c>
      <c r="I233" s="140">
        <f t="shared" si="70"/>
        <v>0</v>
      </c>
      <c r="J233" s="140"/>
      <c r="K233" s="140"/>
      <c r="L233" s="140"/>
      <c r="M233" s="140">
        <f t="shared" si="71"/>
        <v>363</v>
      </c>
      <c r="N233" s="140"/>
      <c r="O233" s="140"/>
      <c r="P233" s="140"/>
      <c r="Q233" s="593">
        <v>363</v>
      </c>
    </row>
    <row r="234" spans="1:17" s="138" customFormat="1" ht="12.75">
      <c r="A234" s="275"/>
      <c r="B234" s="79" t="s">
        <v>558</v>
      </c>
      <c r="C234" s="34"/>
      <c r="D234" s="270">
        <v>4129</v>
      </c>
      <c r="E234" s="140">
        <f t="shared" si="68"/>
        <v>64</v>
      </c>
      <c r="F234" s="140">
        <f>L234</f>
        <v>64</v>
      </c>
      <c r="G234" s="262"/>
      <c r="H234" s="140">
        <f t="shared" si="69"/>
        <v>64</v>
      </c>
      <c r="I234" s="140">
        <f t="shared" si="70"/>
        <v>64</v>
      </c>
      <c r="J234" s="140"/>
      <c r="K234" s="140"/>
      <c r="L234" s="593">
        <v>64</v>
      </c>
      <c r="M234" s="140">
        <f t="shared" si="71"/>
        <v>0</v>
      </c>
      <c r="N234" s="140"/>
      <c r="O234" s="140"/>
      <c r="P234" s="140"/>
      <c r="Q234" s="262"/>
    </row>
    <row r="235" spans="1:17" s="138" customFormat="1" ht="22.5">
      <c r="A235" s="275"/>
      <c r="B235" s="79" t="s">
        <v>2</v>
      </c>
      <c r="C235" s="34"/>
      <c r="D235" s="270">
        <v>4018</v>
      </c>
      <c r="E235" s="140">
        <f t="shared" si="68"/>
        <v>1275</v>
      </c>
      <c r="F235" s="140"/>
      <c r="G235" s="262">
        <f>M235</f>
        <v>1275</v>
      </c>
      <c r="H235" s="140">
        <f t="shared" si="69"/>
        <v>1275</v>
      </c>
      <c r="I235" s="140">
        <f t="shared" si="70"/>
        <v>0</v>
      </c>
      <c r="J235" s="140"/>
      <c r="K235" s="140"/>
      <c r="L235" s="140"/>
      <c r="M235" s="140">
        <f t="shared" si="71"/>
        <v>1275</v>
      </c>
      <c r="N235" s="140"/>
      <c r="O235" s="140"/>
      <c r="P235" s="140"/>
      <c r="Q235" s="593">
        <v>1275</v>
      </c>
    </row>
    <row r="236" spans="1:17" s="138" customFormat="1" ht="22.5">
      <c r="A236" s="275"/>
      <c r="B236" s="79" t="s">
        <v>2</v>
      </c>
      <c r="C236" s="34"/>
      <c r="D236" s="270">
        <v>4019</v>
      </c>
      <c r="E236" s="140">
        <f t="shared" si="68"/>
        <v>225</v>
      </c>
      <c r="F236" s="140">
        <f>I236</f>
        <v>225</v>
      </c>
      <c r="G236" s="262"/>
      <c r="H236" s="140">
        <f t="shared" si="69"/>
        <v>225</v>
      </c>
      <c r="I236" s="140">
        <f t="shared" si="70"/>
        <v>225</v>
      </c>
      <c r="J236" s="140"/>
      <c r="K236" s="140"/>
      <c r="L236" s="593">
        <v>225</v>
      </c>
      <c r="M236" s="140">
        <f t="shared" si="71"/>
        <v>0</v>
      </c>
      <c r="N236" s="140"/>
      <c r="O236" s="140"/>
      <c r="P236" s="140"/>
      <c r="Q236" s="262"/>
    </row>
    <row r="237" spans="1:17" s="138" customFormat="1" ht="22.5">
      <c r="A237" s="275"/>
      <c r="B237" s="79" t="s">
        <v>518</v>
      </c>
      <c r="C237" s="34"/>
      <c r="D237" s="270">
        <v>4178</v>
      </c>
      <c r="E237" s="140">
        <f t="shared" si="68"/>
        <v>13550</v>
      </c>
      <c r="F237" s="140"/>
      <c r="G237" s="262">
        <f>M237</f>
        <v>13550</v>
      </c>
      <c r="H237" s="140">
        <f t="shared" si="69"/>
        <v>13550</v>
      </c>
      <c r="I237" s="140">
        <f t="shared" si="70"/>
        <v>0</v>
      </c>
      <c r="J237" s="140"/>
      <c r="K237" s="140"/>
      <c r="L237" s="140"/>
      <c r="M237" s="140">
        <f t="shared" si="71"/>
        <v>13550</v>
      </c>
      <c r="N237" s="140"/>
      <c r="O237" s="140"/>
      <c r="P237" s="140"/>
      <c r="Q237" s="593">
        <v>13550</v>
      </c>
    </row>
    <row r="238" spans="1:17" s="138" customFormat="1" ht="22.5">
      <c r="A238" s="275"/>
      <c r="B238" s="79" t="s">
        <v>518</v>
      </c>
      <c r="C238" s="34"/>
      <c r="D238" s="270">
        <v>4179</v>
      </c>
      <c r="E238" s="140">
        <f t="shared" si="68"/>
        <v>2391</v>
      </c>
      <c r="F238" s="140">
        <f>I238</f>
        <v>2391</v>
      </c>
      <c r="G238" s="262"/>
      <c r="H238" s="140">
        <f t="shared" si="69"/>
        <v>2391</v>
      </c>
      <c r="I238" s="140">
        <f t="shared" si="70"/>
        <v>2391</v>
      </c>
      <c r="J238" s="140"/>
      <c r="K238" s="140"/>
      <c r="L238" s="593">
        <v>2391</v>
      </c>
      <c r="M238" s="140">
        <f t="shared" si="71"/>
        <v>0</v>
      </c>
      <c r="N238" s="140"/>
      <c r="O238" s="140"/>
      <c r="P238" s="140"/>
      <c r="Q238" s="262"/>
    </row>
    <row r="239" spans="1:17" s="138" customFormat="1" ht="22.5">
      <c r="A239" s="275"/>
      <c r="B239" s="79" t="s">
        <v>422</v>
      </c>
      <c r="C239" s="34"/>
      <c r="D239" s="270">
        <v>4218</v>
      </c>
      <c r="E239" s="140">
        <f t="shared" si="68"/>
        <v>3080</v>
      </c>
      <c r="F239" s="140"/>
      <c r="G239" s="262">
        <f>M239</f>
        <v>3080</v>
      </c>
      <c r="H239" s="140">
        <f t="shared" si="69"/>
        <v>3080</v>
      </c>
      <c r="I239" s="140">
        <f t="shared" si="70"/>
        <v>0</v>
      </c>
      <c r="J239" s="140"/>
      <c r="K239" s="140"/>
      <c r="L239" s="140"/>
      <c r="M239" s="140">
        <f t="shared" si="71"/>
        <v>3080</v>
      </c>
      <c r="N239" s="140"/>
      <c r="O239" s="140"/>
      <c r="P239" s="140"/>
      <c r="Q239" s="593">
        <v>3080</v>
      </c>
    </row>
    <row r="240" spans="1:17" s="138" customFormat="1" ht="22.5">
      <c r="A240" s="275"/>
      <c r="B240" s="79" t="s">
        <v>422</v>
      </c>
      <c r="C240" s="34"/>
      <c r="D240" s="270">
        <v>4219</v>
      </c>
      <c r="E240" s="140">
        <f t="shared" si="68"/>
        <v>543</v>
      </c>
      <c r="F240" s="140">
        <f>H240</f>
        <v>543</v>
      </c>
      <c r="G240" s="262"/>
      <c r="H240" s="140">
        <f t="shared" si="69"/>
        <v>543</v>
      </c>
      <c r="I240" s="140">
        <f t="shared" si="70"/>
        <v>543</v>
      </c>
      <c r="J240" s="140"/>
      <c r="K240" s="140"/>
      <c r="L240" s="593">
        <v>543</v>
      </c>
      <c r="M240" s="140">
        <f t="shared" si="71"/>
        <v>0</v>
      </c>
      <c r="N240" s="140"/>
      <c r="O240" s="140"/>
      <c r="P240" s="140"/>
      <c r="Q240" s="262"/>
    </row>
    <row r="241" spans="1:17" s="138" customFormat="1" ht="33.75">
      <c r="A241" s="275"/>
      <c r="B241" s="405" t="s">
        <v>561</v>
      </c>
      <c r="C241" s="34"/>
      <c r="D241" s="270">
        <v>4758</v>
      </c>
      <c r="E241" s="140">
        <f t="shared" si="68"/>
        <v>0</v>
      </c>
      <c r="F241" s="140"/>
      <c r="G241" s="262">
        <f>M241</f>
        <v>0</v>
      </c>
      <c r="H241" s="140">
        <f t="shared" si="69"/>
        <v>0</v>
      </c>
      <c r="I241" s="140">
        <f t="shared" si="70"/>
        <v>0</v>
      </c>
      <c r="J241" s="140"/>
      <c r="K241" s="140"/>
      <c r="L241" s="140"/>
      <c r="M241" s="140">
        <f t="shared" si="71"/>
        <v>0</v>
      </c>
      <c r="N241" s="140"/>
      <c r="O241" s="140"/>
      <c r="P241" s="140"/>
      <c r="Q241" s="262"/>
    </row>
    <row r="242" spans="1:17" s="138" customFormat="1" ht="33.75">
      <c r="A242" s="275"/>
      <c r="B242" s="405" t="s">
        <v>561</v>
      </c>
      <c r="C242" s="34"/>
      <c r="D242" s="270">
        <v>4759</v>
      </c>
      <c r="E242" s="140">
        <f t="shared" si="68"/>
        <v>0</v>
      </c>
      <c r="F242" s="140">
        <f>H242</f>
        <v>0</v>
      </c>
      <c r="G242" s="262"/>
      <c r="H242" s="140">
        <f t="shared" si="69"/>
        <v>0</v>
      </c>
      <c r="I242" s="140">
        <f t="shared" si="70"/>
        <v>0</v>
      </c>
      <c r="J242" s="140"/>
      <c r="K242" s="140"/>
      <c r="L242" s="140"/>
      <c r="M242" s="140">
        <f t="shared" si="71"/>
        <v>0</v>
      </c>
      <c r="N242" s="140"/>
      <c r="O242" s="140"/>
      <c r="P242" s="140"/>
      <c r="Q242" s="262"/>
    </row>
    <row r="243" spans="1:17" s="138" customFormat="1" ht="12.75">
      <c r="A243" s="275"/>
      <c r="B243" s="79" t="s">
        <v>405</v>
      </c>
      <c r="C243" s="34"/>
      <c r="D243" s="270">
        <v>4308</v>
      </c>
      <c r="E243" s="140">
        <f t="shared" si="68"/>
        <v>63875</v>
      </c>
      <c r="F243" s="140"/>
      <c r="G243" s="262">
        <f>M243</f>
        <v>63875</v>
      </c>
      <c r="H243" s="140">
        <f t="shared" si="69"/>
        <v>63875</v>
      </c>
      <c r="I243" s="140">
        <f t="shared" si="70"/>
        <v>0</v>
      </c>
      <c r="J243" s="140"/>
      <c r="K243" s="140"/>
      <c r="L243" s="140"/>
      <c r="M243" s="140">
        <f t="shared" si="71"/>
        <v>63875</v>
      </c>
      <c r="N243" s="140"/>
      <c r="O243" s="140"/>
      <c r="P243" s="140"/>
      <c r="Q243" s="593">
        <v>63875</v>
      </c>
    </row>
    <row r="244" spans="1:17" s="138" customFormat="1" ht="12.75">
      <c r="A244" s="275"/>
      <c r="B244" s="79" t="s">
        <v>405</v>
      </c>
      <c r="C244" s="34"/>
      <c r="D244" s="270">
        <v>4309</v>
      </c>
      <c r="E244" s="140">
        <f t="shared" si="68"/>
        <v>11272</v>
      </c>
      <c r="F244" s="140">
        <f>H244</f>
        <v>11272</v>
      </c>
      <c r="G244" s="262"/>
      <c r="H244" s="140">
        <f t="shared" si="69"/>
        <v>11272</v>
      </c>
      <c r="I244" s="140">
        <f t="shared" si="70"/>
        <v>11272</v>
      </c>
      <c r="J244" s="140"/>
      <c r="K244" s="140"/>
      <c r="L244" s="593">
        <v>11272</v>
      </c>
      <c r="M244" s="140">
        <f t="shared" si="71"/>
        <v>0</v>
      </c>
      <c r="N244" s="140"/>
      <c r="O244" s="140"/>
      <c r="P244" s="140"/>
      <c r="Q244" s="262"/>
    </row>
    <row r="245" spans="1:17" s="138" customFormat="1" ht="33.75">
      <c r="A245" s="275"/>
      <c r="B245" s="79" t="s">
        <v>560</v>
      </c>
      <c r="C245" s="34"/>
      <c r="D245" s="270">
        <v>4378</v>
      </c>
      <c r="E245" s="140">
        <f t="shared" si="68"/>
        <v>185</v>
      </c>
      <c r="F245" s="140"/>
      <c r="G245" s="262">
        <f>M245</f>
        <v>185</v>
      </c>
      <c r="H245" s="140">
        <f t="shared" si="69"/>
        <v>185</v>
      </c>
      <c r="I245" s="140">
        <f t="shared" si="70"/>
        <v>0</v>
      </c>
      <c r="J245" s="140"/>
      <c r="K245" s="140"/>
      <c r="L245" s="140"/>
      <c r="M245" s="140">
        <f t="shared" si="71"/>
        <v>185</v>
      </c>
      <c r="N245" s="140"/>
      <c r="O245" s="140"/>
      <c r="P245" s="140"/>
      <c r="Q245" s="593">
        <v>185</v>
      </c>
    </row>
    <row r="246" spans="1:17" s="138" customFormat="1" ht="33.75">
      <c r="A246" s="275"/>
      <c r="B246" s="79" t="s">
        <v>560</v>
      </c>
      <c r="C246" s="34"/>
      <c r="D246" s="270">
        <v>4379</v>
      </c>
      <c r="E246" s="140">
        <f t="shared" si="68"/>
        <v>33</v>
      </c>
      <c r="F246" s="140">
        <f>H246</f>
        <v>33</v>
      </c>
      <c r="G246" s="262"/>
      <c r="H246" s="140">
        <f t="shared" si="69"/>
        <v>33</v>
      </c>
      <c r="I246" s="140">
        <f t="shared" si="70"/>
        <v>33</v>
      </c>
      <c r="J246" s="140"/>
      <c r="K246" s="140"/>
      <c r="L246" s="593">
        <v>33</v>
      </c>
      <c r="M246" s="140">
        <f t="shared" si="71"/>
        <v>0</v>
      </c>
      <c r="N246" s="140"/>
      <c r="O246" s="140"/>
      <c r="P246" s="140"/>
      <c r="Q246" s="262"/>
    </row>
    <row r="247" spans="1:17" s="138" customFormat="1" ht="45">
      <c r="A247" s="275"/>
      <c r="B247" s="79" t="s">
        <v>521</v>
      </c>
      <c r="C247" s="34"/>
      <c r="D247" s="270">
        <v>4748</v>
      </c>
      <c r="E247" s="140">
        <f t="shared" si="68"/>
        <v>0</v>
      </c>
      <c r="F247" s="140"/>
      <c r="G247" s="262">
        <f>M247</f>
        <v>0</v>
      </c>
      <c r="H247" s="140">
        <f t="shared" si="69"/>
        <v>0</v>
      </c>
      <c r="I247" s="140">
        <f t="shared" si="70"/>
        <v>0</v>
      </c>
      <c r="J247" s="140"/>
      <c r="K247" s="140"/>
      <c r="L247" s="140"/>
      <c r="M247" s="140">
        <f t="shared" si="71"/>
        <v>0</v>
      </c>
      <c r="N247" s="140"/>
      <c r="O247" s="140"/>
      <c r="P247" s="140"/>
      <c r="Q247" s="262"/>
    </row>
    <row r="248" spans="1:17" s="138" customFormat="1" ht="45">
      <c r="A248" s="275"/>
      <c r="B248" s="79" t="s">
        <v>521</v>
      </c>
      <c r="C248" s="34"/>
      <c r="D248" s="270">
        <v>4749</v>
      </c>
      <c r="E248" s="140">
        <f t="shared" si="68"/>
        <v>0</v>
      </c>
      <c r="F248" s="140">
        <f>H248</f>
        <v>0</v>
      </c>
      <c r="G248" s="262"/>
      <c r="H248" s="140">
        <f t="shared" si="69"/>
        <v>0</v>
      </c>
      <c r="I248" s="140">
        <f t="shared" si="70"/>
        <v>0</v>
      </c>
      <c r="J248" s="140"/>
      <c r="K248" s="140"/>
      <c r="L248" s="140"/>
      <c r="M248" s="140">
        <f t="shared" si="71"/>
        <v>0</v>
      </c>
      <c r="N248" s="140"/>
      <c r="O248" s="140"/>
      <c r="P248" s="140"/>
      <c r="Q248" s="262"/>
    </row>
    <row r="249" spans="1:17" s="138" customFormat="1" ht="22.5">
      <c r="A249" s="275"/>
      <c r="B249" s="422" t="s">
        <v>430</v>
      </c>
      <c r="C249" s="34"/>
      <c r="D249" s="270">
        <v>4418</v>
      </c>
      <c r="E249" s="140">
        <f t="shared" si="68"/>
        <v>507</v>
      </c>
      <c r="F249" s="140"/>
      <c r="G249" s="262">
        <f>M249</f>
        <v>507</v>
      </c>
      <c r="H249" s="140">
        <f t="shared" si="69"/>
        <v>507</v>
      </c>
      <c r="I249" s="140">
        <f t="shared" si="70"/>
        <v>0</v>
      </c>
      <c r="J249" s="140"/>
      <c r="K249" s="140"/>
      <c r="L249" s="140"/>
      <c r="M249" s="140">
        <f t="shared" si="71"/>
        <v>507</v>
      </c>
      <c r="N249" s="140"/>
      <c r="O249" s="140"/>
      <c r="P249" s="140"/>
      <c r="Q249" s="593">
        <v>507</v>
      </c>
    </row>
    <row r="250" spans="1:17" s="138" customFormat="1" ht="22.5">
      <c r="A250" s="275"/>
      <c r="B250" s="422" t="s">
        <v>430</v>
      </c>
      <c r="C250" s="34"/>
      <c r="D250" s="270">
        <v>4419</v>
      </c>
      <c r="E250" s="140">
        <f t="shared" si="68"/>
        <v>90</v>
      </c>
      <c r="F250" s="140">
        <f>H250</f>
        <v>90</v>
      </c>
      <c r="G250" s="262"/>
      <c r="H250" s="140">
        <f t="shared" si="69"/>
        <v>90</v>
      </c>
      <c r="I250" s="140">
        <f t="shared" si="70"/>
        <v>90</v>
      </c>
      <c r="J250" s="140"/>
      <c r="K250" s="140"/>
      <c r="L250" s="593">
        <v>90</v>
      </c>
      <c r="M250" s="140">
        <f t="shared" si="71"/>
        <v>0</v>
      </c>
      <c r="N250" s="140"/>
      <c r="O250" s="140"/>
      <c r="P250" s="140"/>
      <c r="Q250" s="262"/>
    </row>
    <row r="251" spans="1:19" s="139" customFormat="1" ht="11.25">
      <c r="A251" s="595"/>
      <c r="B251" s="287">
        <v>2010</v>
      </c>
      <c r="C251" s="596"/>
      <c r="D251" s="596"/>
      <c r="E251" s="137">
        <f t="shared" si="68"/>
        <v>100118</v>
      </c>
      <c r="F251" s="137">
        <f>SUM(F231:F250)</f>
        <v>15018</v>
      </c>
      <c r="G251" s="137">
        <f>SUM(G231:G250)</f>
        <v>85100</v>
      </c>
      <c r="H251" s="137">
        <f t="shared" si="69"/>
        <v>100118</v>
      </c>
      <c r="I251" s="137">
        <f t="shared" si="70"/>
        <v>15018</v>
      </c>
      <c r="J251" s="137">
        <f>SUM(J231:J250)</f>
        <v>0</v>
      </c>
      <c r="K251" s="137">
        <f>SUM(K231:K250)</f>
        <v>0</v>
      </c>
      <c r="L251" s="137">
        <f>SUM(L231:L250)</f>
        <v>15018</v>
      </c>
      <c r="M251" s="137">
        <f>N251+O251+P251+Q251</f>
        <v>85100</v>
      </c>
      <c r="N251" s="137">
        <f>SUM(N231:N250)</f>
        <v>0</v>
      </c>
      <c r="O251" s="137">
        <f>SUM(O231:O250)</f>
        <v>0</v>
      </c>
      <c r="P251" s="137">
        <f>SUM(P231:P250)</f>
        <v>0</v>
      </c>
      <c r="Q251" s="137">
        <f>SUM(Q231:Q250)</f>
        <v>85100</v>
      </c>
      <c r="S251" s="597"/>
    </row>
    <row r="252" spans="1:17" s="138" customFormat="1" ht="11.25">
      <c r="A252" s="275"/>
      <c r="B252" s="134">
        <v>2009</v>
      </c>
      <c r="C252" s="136"/>
      <c r="D252" s="136"/>
      <c r="E252" s="135">
        <v>478252</v>
      </c>
      <c r="F252" s="135"/>
      <c r="G252" s="133"/>
      <c r="H252" s="135"/>
      <c r="I252" s="135"/>
      <c r="J252" s="136"/>
      <c r="K252" s="136"/>
      <c r="L252" s="250"/>
      <c r="M252" s="135"/>
      <c r="N252" s="136"/>
      <c r="O252" s="136"/>
      <c r="P252" s="136"/>
      <c r="Q252" s="136"/>
    </row>
    <row r="253" spans="1:17" s="138" customFormat="1" ht="11.25" customHeight="1" hidden="1">
      <c r="A253" s="275" t="s">
        <v>824</v>
      </c>
      <c r="B253" s="286" t="s">
        <v>223</v>
      </c>
      <c r="C253" s="788" t="s">
        <v>807</v>
      </c>
      <c r="D253" s="789"/>
      <c r="E253" s="789"/>
      <c r="F253" s="789"/>
      <c r="G253" s="789"/>
      <c r="H253" s="789"/>
      <c r="I253" s="789"/>
      <c r="J253" s="789"/>
      <c r="K253" s="789"/>
      <c r="L253" s="789"/>
      <c r="M253" s="789"/>
      <c r="N253" s="789"/>
      <c r="O253" s="789"/>
      <c r="P253" s="789"/>
      <c r="Q253" s="790"/>
    </row>
    <row r="254" spans="1:17" s="138" customFormat="1" ht="11.25" customHeight="1" hidden="1">
      <c r="A254" s="275"/>
      <c r="B254" s="284" t="s">
        <v>224</v>
      </c>
      <c r="C254" s="791"/>
      <c r="D254" s="792"/>
      <c r="E254" s="792"/>
      <c r="F254" s="792"/>
      <c r="G254" s="792"/>
      <c r="H254" s="792"/>
      <c r="I254" s="792"/>
      <c r="J254" s="792"/>
      <c r="K254" s="792"/>
      <c r="L254" s="792"/>
      <c r="M254" s="792"/>
      <c r="N254" s="792"/>
      <c r="O254" s="792"/>
      <c r="P254" s="792"/>
      <c r="Q254" s="793"/>
    </row>
    <row r="255" spans="1:17" s="138" customFormat="1" ht="11.25" customHeight="1" hidden="1">
      <c r="A255" s="275"/>
      <c r="B255" s="284" t="s">
        <v>225</v>
      </c>
      <c r="C255" s="791"/>
      <c r="D255" s="792"/>
      <c r="E255" s="792"/>
      <c r="F255" s="792"/>
      <c r="G255" s="792"/>
      <c r="H255" s="792"/>
      <c r="I255" s="792"/>
      <c r="J255" s="792"/>
      <c r="K255" s="792"/>
      <c r="L255" s="792"/>
      <c r="M255" s="792"/>
      <c r="N255" s="792"/>
      <c r="O255" s="792"/>
      <c r="P255" s="792"/>
      <c r="Q255" s="793"/>
    </row>
    <row r="256" spans="1:17" s="138" customFormat="1" ht="11.25" customHeight="1" hidden="1">
      <c r="A256" s="275"/>
      <c r="B256" s="285" t="s">
        <v>226</v>
      </c>
      <c r="C256" s="794"/>
      <c r="D256" s="795"/>
      <c r="E256" s="795"/>
      <c r="F256" s="795"/>
      <c r="G256" s="795"/>
      <c r="H256" s="795"/>
      <c r="I256" s="795"/>
      <c r="J256" s="795"/>
      <c r="K256" s="795"/>
      <c r="L256" s="795"/>
      <c r="M256" s="795"/>
      <c r="N256" s="795"/>
      <c r="O256" s="795"/>
      <c r="P256" s="795"/>
      <c r="Q256" s="796"/>
    </row>
    <row r="257" spans="1:17" s="138" customFormat="1" ht="12.75" hidden="1">
      <c r="A257" s="275"/>
      <c r="B257" s="287" t="s">
        <v>227</v>
      </c>
      <c r="C257" s="34"/>
      <c r="D257" s="141" t="s">
        <v>808</v>
      </c>
      <c r="E257" s="140">
        <f>E278</f>
        <v>0</v>
      </c>
      <c r="F257" s="140">
        <f aca="true" t="shared" si="72" ref="F257:Q257">F278</f>
        <v>0</v>
      </c>
      <c r="G257" s="140">
        <f t="shared" si="72"/>
        <v>0</v>
      </c>
      <c r="H257" s="140">
        <f t="shared" si="72"/>
        <v>0</v>
      </c>
      <c r="I257" s="140">
        <f t="shared" si="72"/>
        <v>0</v>
      </c>
      <c r="J257" s="140">
        <f t="shared" si="72"/>
        <v>0</v>
      </c>
      <c r="K257" s="140">
        <f t="shared" si="72"/>
        <v>0</v>
      </c>
      <c r="L257" s="140">
        <f t="shared" si="72"/>
        <v>0</v>
      </c>
      <c r="M257" s="140">
        <f t="shared" si="72"/>
        <v>0</v>
      </c>
      <c r="N257" s="140">
        <f t="shared" si="72"/>
        <v>0</v>
      </c>
      <c r="O257" s="140">
        <f t="shared" si="72"/>
        <v>0</v>
      </c>
      <c r="P257" s="140">
        <f t="shared" si="72"/>
        <v>0</v>
      </c>
      <c r="Q257" s="117">
        <f t="shared" si="72"/>
        <v>0</v>
      </c>
    </row>
    <row r="258" spans="1:17" s="138" customFormat="1" ht="22.5" hidden="1">
      <c r="A258" s="275"/>
      <c r="B258" s="79" t="s">
        <v>556</v>
      </c>
      <c r="C258" s="34"/>
      <c r="D258" s="270">
        <v>4118</v>
      </c>
      <c r="E258" s="140">
        <f aca="true" t="shared" si="73" ref="E258:E278">F258+G258</f>
        <v>0</v>
      </c>
      <c r="F258" s="140"/>
      <c r="G258" s="262">
        <f>Q258</f>
        <v>0</v>
      </c>
      <c r="H258" s="140">
        <f aca="true" t="shared" si="74" ref="H258:H273">I258+M258</f>
        <v>0</v>
      </c>
      <c r="I258" s="140">
        <f aca="true" t="shared" si="75" ref="I258:I273">SUM(J258:L258)</f>
        <v>0</v>
      </c>
      <c r="J258" s="140"/>
      <c r="K258" s="140"/>
      <c r="L258" s="140"/>
      <c r="M258" s="140">
        <f aca="true" t="shared" si="76" ref="M258:M273">SUM(N258:Q258)</f>
        <v>0</v>
      </c>
      <c r="N258" s="140"/>
      <c r="O258" s="140"/>
      <c r="P258" s="140"/>
      <c r="Q258" s="262"/>
    </row>
    <row r="259" spans="1:17" s="138" customFormat="1" ht="22.5" hidden="1">
      <c r="A259" s="275"/>
      <c r="B259" s="79" t="s">
        <v>556</v>
      </c>
      <c r="C259" s="34"/>
      <c r="D259" s="270">
        <v>4119</v>
      </c>
      <c r="E259" s="140">
        <f t="shared" si="73"/>
        <v>0</v>
      </c>
      <c r="F259" s="140">
        <f>L259</f>
        <v>0</v>
      </c>
      <c r="G259" s="262"/>
      <c r="H259" s="140">
        <f t="shared" si="74"/>
        <v>0</v>
      </c>
      <c r="I259" s="140">
        <f t="shared" si="75"/>
        <v>0</v>
      </c>
      <c r="J259" s="140"/>
      <c r="K259" s="140"/>
      <c r="L259" s="140"/>
      <c r="M259" s="140">
        <f t="shared" si="76"/>
        <v>0</v>
      </c>
      <c r="N259" s="140"/>
      <c r="O259" s="140"/>
      <c r="P259" s="140"/>
      <c r="Q259" s="262"/>
    </row>
    <row r="260" spans="1:17" s="138" customFormat="1" ht="12.75" hidden="1">
      <c r="A260" s="275"/>
      <c r="B260" s="79" t="s">
        <v>558</v>
      </c>
      <c r="C260" s="34"/>
      <c r="D260" s="270">
        <v>4128</v>
      </c>
      <c r="E260" s="140">
        <f t="shared" si="73"/>
        <v>0</v>
      </c>
      <c r="F260" s="140"/>
      <c r="G260" s="262">
        <f>Q260</f>
        <v>0</v>
      </c>
      <c r="H260" s="140">
        <f t="shared" si="74"/>
        <v>0</v>
      </c>
      <c r="I260" s="140">
        <f t="shared" si="75"/>
        <v>0</v>
      </c>
      <c r="J260" s="140"/>
      <c r="K260" s="140"/>
      <c r="L260" s="140"/>
      <c r="M260" s="140">
        <f t="shared" si="76"/>
        <v>0</v>
      </c>
      <c r="N260" s="140"/>
      <c r="O260" s="140"/>
      <c r="P260" s="140"/>
      <c r="Q260" s="262"/>
    </row>
    <row r="261" spans="1:17" s="138" customFormat="1" ht="12.75" hidden="1">
      <c r="A261" s="275"/>
      <c r="B261" s="79" t="s">
        <v>558</v>
      </c>
      <c r="C261" s="34"/>
      <c r="D261" s="270">
        <v>4129</v>
      </c>
      <c r="E261" s="140">
        <f t="shared" si="73"/>
        <v>0</v>
      </c>
      <c r="F261" s="140">
        <f>L261</f>
        <v>0</v>
      </c>
      <c r="G261" s="262"/>
      <c r="H261" s="140">
        <f t="shared" si="74"/>
        <v>0</v>
      </c>
      <c r="I261" s="140">
        <f t="shared" si="75"/>
        <v>0</v>
      </c>
      <c r="J261" s="140"/>
      <c r="K261" s="140"/>
      <c r="L261" s="140"/>
      <c r="M261" s="140">
        <f t="shared" si="76"/>
        <v>0</v>
      </c>
      <c r="N261" s="140"/>
      <c r="O261" s="140"/>
      <c r="P261" s="140"/>
      <c r="Q261" s="262"/>
    </row>
    <row r="262" spans="1:17" s="138" customFormat="1" ht="56.25" hidden="1">
      <c r="A262" s="275"/>
      <c r="B262" s="79" t="s">
        <v>754</v>
      </c>
      <c r="C262" s="34"/>
      <c r="D262" s="273">
        <v>2318</v>
      </c>
      <c r="E262" s="140">
        <f>F262+G262</f>
        <v>0</v>
      </c>
      <c r="F262" s="140"/>
      <c r="G262" s="262">
        <f>M262</f>
        <v>0</v>
      </c>
      <c r="H262" s="140">
        <f>I262+M262</f>
        <v>0</v>
      </c>
      <c r="I262" s="140">
        <f>SUM(J262:L262)</f>
        <v>0</v>
      </c>
      <c r="J262" s="140"/>
      <c r="K262" s="140"/>
      <c r="L262" s="140"/>
      <c r="M262" s="140">
        <f>SUM(N262:Q262)</f>
        <v>0</v>
      </c>
      <c r="N262" s="140"/>
      <c r="O262" s="140"/>
      <c r="P262" s="140"/>
      <c r="Q262" s="262"/>
    </row>
    <row r="263" spans="1:17" s="138" customFormat="1" ht="56.25" hidden="1">
      <c r="A263" s="275"/>
      <c r="B263" s="79" t="s">
        <v>755</v>
      </c>
      <c r="C263" s="34"/>
      <c r="D263" s="273">
        <v>2319</v>
      </c>
      <c r="E263" s="140">
        <f>F263+G263</f>
        <v>0</v>
      </c>
      <c r="F263" s="140">
        <f>H263</f>
        <v>0</v>
      </c>
      <c r="G263" s="262">
        <f>Q263</f>
        <v>0</v>
      </c>
      <c r="H263" s="140">
        <f>I263+M263</f>
        <v>0</v>
      </c>
      <c r="I263" s="140">
        <f>SUM(J263:L263)</f>
        <v>0</v>
      </c>
      <c r="J263" s="140"/>
      <c r="K263" s="140"/>
      <c r="L263" s="140"/>
      <c r="M263" s="140">
        <f>SUM(N263:Q263)</f>
        <v>0</v>
      </c>
      <c r="N263" s="140"/>
      <c r="O263" s="140"/>
      <c r="P263" s="140"/>
      <c r="Q263" s="262"/>
    </row>
    <row r="264" spans="1:17" s="138" customFormat="1" ht="56.25" hidden="1">
      <c r="A264" s="275"/>
      <c r="B264" s="79" t="s">
        <v>443</v>
      </c>
      <c r="C264" s="34"/>
      <c r="D264" s="273">
        <v>2328</v>
      </c>
      <c r="E264" s="140">
        <f>F264+G264</f>
        <v>0</v>
      </c>
      <c r="F264" s="140"/>
      <c r="G264" s="262">
        <f>Q264</f>
        <v>0</v>
      </c>
      <c r="H264" s="140">
        <f>I264+M264</f>
        <v>0</v>
      </c>
      <c r="I264" s="140">
        <f>SUM(J264:L264)</f>
        <v>0</v>
      </c>
      <c r="J264" s="140"/>
      <c r="K264" s="140"/>
      <c r="L264" s="140"/>
      <c r="M264" s="140">
        <f>SUM(N264:Q264)</f>
        <v>0</v>
      </c>
      <c r="N264" s="140"/>
      <c r="O264" s="140"/>
      <c r="P264" s="140"/>
      <c r="Q264" s="262"/>
    </row>
    <row r="265" spans="1:17" s="138" customFormat="1" ht="56.25" hidden="1">
      <c r="A265" s="275"/>
      <c r="B265" s="79" t="s">
        <v>443</v>
      </c>
      <c r="C265" s="34"/>
      <c r="D265" s="273">
        <v>2329</v>
      </c>
      <c r="E265" s="140">
        <f>F265+G265</f>
        <v>0</v>
      </c>
      <c r="F265" s="140">
        <f>L265</f>
        <v>0</v>
      </c>
      <c r="G265" s="262"/>
      <c r="H265" s="140">
        <f>I265+M265</f>
        <v>0</v>
      </c>
      <c r="I265" s="140">
        <f>SUM(J265:L265)</f>
        <v>0</v>
      </c>
      <c r="J265" s="140"/>
      <c r="K265" s="140"/>
      <c r="L265" s="140"/>
      <c r="M265" s="140">
        <f>SUM(N265:Q265)</f>
        <v>0</v>
      </c>
      <c r="N265" s="140"/>
      <c r="O265" s="140"/>
      <c r="P265" s="140"/>
      <c r="Q265" s="262"/>
    </row>
    <row r="266" spans="1:17" s="138" customFormat="1" ht="22.5" hidden="1">
      <c r="A266" s="275"/>
      <c r="B266" s="79" t="s">
        <v>518</v>
      </c>
      <c r="C266" s="34"/>
      <c r="D266" s="270">
        <v>4178</v>
      </c>
      <c r="E266" s="140">
        <f t="shared" si="73"/>
        <v>0</v>
      </c>
      <c r="F266" s="140"/>
      <c r="G266" s="262">
        <f>M266</f>
        <v>0</v>
      </c>
      <c r="H266" s="140">
        <f t="shared" si="74"/>
        <v>0</v>
      </c>
      <c r="I266" s="140">
        <f t="shared" si="75"/>
        <v>0</v>
      </c>
      <c r="J266" s="140"/>
      <c r="K266" s="140"/>
      <c r="L266" s="140"/>
      <c r="M266" s="140">
        <f t="shared" si="76"/>
        <v>0</v>
      </c>
      <c r="N266" s="140"/>
      <c r="O266" s="140"/>
      <c r="P266" s="140"/>
      <c r="Q266" s="262"/>
    </row>
    <row r="267" spans="1:17" s="138" customFormat="1" ht="22.5" hidden="1">
      <c r="A267" s="275"/>
      <c r="B267" s="79" t="s">
        <v>518</v>
      </c>
      <c r="C267" s="34"/>
      <c r="D267" s="270">
        <v>4179</v>
      </c>
      <c r="E267" s="140">
        <f t="shared" si="73"/>
        <v>0</v>
      </c>
      <c r="F267" s="140">
        <f>I267</f>
        <v>0</v>
      </c>
      <c r="G267" s="262"/>
      <c r="H267" s="140">
        <f t="shared" si="74"/>
        <v>0</v>
      </c>
      <c r="I267" s="140">
        <f t="shared" si="75"/>
        <v>0</v>
      </c>
      <c r="J267" s="140"/>
      <c r="K267" s="140"/>
      <c r="L267" s="140"/>
      <c r="M267" s="140">
        <f t="shared" si="76"/>
        <v>0</v>
      </c>
      <c r="N267" s="140"/>
      <c r="O267" s="140"/>
      <c r="P267" s="140"/>
      <c r="Q267" s="262"/>
    </row>
    <row r="268" spans="1:17" s="138" customFormat="1" ht="22.5" hidden="1">
      <c r="A268" s="275"/>
      <c r="B268" s="79" t="s">
        <v>422</v>
      </c>
      <c r="C268" s="34"/>
      <c r="D268" s="270">
        <v>4218</v>
      </c>
      <c r="E268" s="140">
        <f t="shared" si="73"/>
        <v>0</v>
      </c>
      <c r="F268" s="140"/>
      <c r="G268" s="262">
        <f>M268</f>
        <v>0</v>
      </c>
      <c r="H268" s="140">
        <f t="shared" si="74"/>
        <v>0</v>
      </c>
      <c r="I268" s="140">
        <f t="shared" si="75"/>
        <v>0</v>
      </c>
      <c r="J268" s="140"/>
      <c r="K268" s="140"/>
      <c r="L268" s="140"/>
      <c r="M268" s="140">
        <f t="shared" si="76"/>
        <v>0</v>
      </c>
      <c r="N268" s="140"/>
      <c r="O268" s="140"/>
      <c r="P268" s="140"/>
      <c r="Q268" s="262"/>
    </row>
    <row r="269" spans="1:17" s="138" customFormat="1" ht="22.5" hidden="1">
      <c r="A269" s="275"/>
      <c r="B269" s="79" t="s">
        <v>422</v>
      </c>
      <c r="C269" s="34"/>
      <c r="D269" s="270">
        <v>4219</v>
      </c>
      <c r="E269" s="140">
        <f t="shared" si="73"/>
        <v>0</v>
      </c>
      <c r="F269" s="140">
        <f>H269</f>
        <v>0</v>
      </c>
      <c r="G269" s="262"/>
      <c r="H269" s="140">
        <f t="shared" si="74"/>
        <v>0</v>
      </c>
      <c r="I269" s="140">
        <f t="shared" si="75"/>
        <v>0</v>
      </c>
      <c r="J269" s="140"/>
      <c r="K269" s="140"/>
      <c r="L269" s="140"/>
      <c r="M269" s="140">
        <f t="shared" si="76"/>
        <v>0</v>
      </c>
      <c r="N269" s="140"/>
      <c r="O269" s="140"/>
      <c r="P269" s="140"/>
      <c r="Q269" s="262"/>
    </row>
    <row r="270" spans="1:17" s="138" customFormat="1" ht="33.75" hidden="1">
      <c r="A270" s="275"/>
      <c r="B270" s="405" t="s">
        <v>561</v>
      </c>
      <c r="C270" s="34"/>
      <c r="D270" s="270">
        <v>4758</v>
      </c>
      <c r="E270" s="140">
        <f t="shared" si="73"/>
        <v>0</v>
      </c>
      <c r="F270" s="140"/>
      <c r="G270" s="262">
        <f>M270</f>
        <v>0</v>
      </c>
      <c r="H270" s="140">
        <f t="shared" si="74"/>
        <v>0</v>
      </c>
      <c r="I270" s="140">
        <f t="shared" si="75"/>
        <v>0</v>
      </c>
      <c r="J270" s="140"/>
      <c r="K270" s="140"/>
      <c r="L270" s="140"/>
      <c r="M270" s="140">
        <f t="shared" si="76"/>
        <v>0</v>
      </c>
      <c r="N270" s="140"/>
      <c r="O270" s="140"/>
      <c r="P270" s="140"/>
      <c r="Q270" s="262"/>
    </row>
    <row r="271" spans="1:17" s="138" customFormat="1" ht="33.75" hidden="1">
      <c r="A271" s="275"/>
      <c r="B271" s="405" t="s">
        <v>561</v>
      </c>
      <c r="C271" s="34"/>
      <c r="D271" s="270">
        <v>4759</v>
      </c>
      <c r="E271" s="140">
        <f t="shared" si="73"/>
        <v>0</v>
      </c>
      <c r="F271" s="140">
        <f>H271</f>
        <v>0</v>
      </c>
      <c r="G271" s="262"/>
      <c r="H271" s="140">
        <f t="shared" si="74"/>
        <v>0</v>
      </c>
      <c r="I271" s="140">
        <f t="shared" si="75"/>
        <v>0</v>
      </c>
      <c r="J271" s="140"/>
      <c r="K271" s="140"/>
      <c r="L271" s="140"/>
      <c r="M271" s="140">
        <f t="shared" si="76"/>
        <v>0</v>
      </c>
      <c r="N271" s="140"/>
      <c r="O271" s="140"/>
      <c r="P271" s="140"/>
      <c r="Q271" s="262"/>
    </row>
    <row r="272" spans="1:17" s="138" customFormat="1" ht="12.75" hidden="1">
      <c r="A272" s="275"/>
      <c r="B272" s="79" t="s">
        <v>405</v>
      </c>
      <c r="C272" s="34"/>
      <c r="D272" s="270">
        <v>4308</v>
      </c>
      <c r="E272" s="140">
        <f t="shared" si="73"/>
        <v>0</v>
      </c>
      <c r="F272" s="140"/>
      <c r="G272" s="262">
        <f>M272</f>
        <v>0</v>
      </c>
      <c r="H272" s="140">
        <f t="shared" si="74"/>
        <v>0</v>
      </c>
      <c r="I272" s="140">
        <f t="shared" si="75"/>
        <v>0</v>
      </c>
      <c r="J272" s="140"/>
      <c r="K272" s="140"/>
      <c r="L272" s="140"/>
      <c r="M272" s="140">
        <f t="shared" si="76"/>
        <v>0</v>
      </c>
      <c r="N272" s="140"/>
      <c r="O272" s="140"/>
      <c r="P272" s="140"/>
      <c r="Q272" s="262"/>
    </row>
    <row r="273" spans="1:17" s="138" customFormat="1" ht="12.75" hidden="1">
      <c r="A273" s="275"/>
      <c r="B273" s="79" t="s">
        <v>405</v>
      </c>
      <c r="C273" s="34"/>
      <c r="D273" s="270">
        <v>4309</v>
      </c>
      <c r="E273" s="140">
        <f t="shared" si="73"/>
        <v>0</v>
      </c>
      <c r="F273" s="140">
        <f>H273</f>
        <v>0</v>
      </c>
      <c r="G273" s="262"/>
      <c r="H273" s="140">
        <f t="shared" si="74"/>
        <v>0</v>
      </c>
      <c r="I273" s="140">
        <f t="shared" si="75"/>
        <v>0</v>
      </c>
      <c r="J273" s="140"/>
      <c r="K273" s="140"/>
      <c r="L273" s="140"/>
      <c r="M273" s="140">
        <f t="shared" si="76"/>
        <v>0</v>
      </c>
      <c r="N273" s="140"/>
      <c r="O273" s="140"/>
      <c r="P273" s="140"/>
      <c r="Q273" s="262"/>
    </row>
    <row r="274" spans="1:17" s="138" customFormat="1" ht="22.5" hidden="1">
      <c r="A274" s="275"/>
      <c r="B274" s="79" t="s">
        <v>430</v>
      </c>
      <c r="C274" s="34"/>
      <c r="D274" s="270">
        <v>4418</v>
      </c>
      <c r="E274" s="140">
        <f>F274+G274</f>
        <v>0</v>
      </c>
      <c r="F274" s="140"/>
      <c r="G274" s="262">
        <f>M274</f>
        <v>0</v>
      </c>
      <c r="H274" s="140">
        <f>I274+M274</f>
        <v>0</v>
      </c>
      <c r="I274" s="140">
        <f>SUM(J274:L274)</f>
        <v>0</v>
      </c>
      <c r="J274" s="140"/>
      <c r="K274" s="140"/>
      <c r="L274" s="140"/>
      <c r="M274" s="140">
        <f>SUM(N274:Q274)</f>
        <v>0</v>
      </c>
      <c r="N274" s="140"/>
      <c r="O274" s="140"/>
      <c r="P274" s="140"/>
      <c r="Q274" s="262"/>
    </row>
    <row r="275" spans="1:17" s="138" customFormat="1" ht="22.5" hidden="1">
      <c r="A275" s="275"/>
      <c r="B275" s="79" t="s">
        <v>430</v>
      </c>
      <c r="C275" s="34"/>
      <c r="D275" s="270">
        <v>4419</v>
      </c>
      <c r="E275" s="140">
        <f>F275+G275</f>
        <v>0</v>
      </c>
      <c r="F275" s="140">
        <f>H275</f>
        <v>0</v>
      </c>
      <c r="G275" s="262"/>
      <c r="H275" s="140">
        <f>I275+M275</f>
        <v>0</v>
      </c>
      <c r="I275" s="140">
        <f>SUM(J275:L275)</f>
        <v>0</v>
      </c>
      <c r="J275" s="140"/>
      <c r="K275" s="140"/>
      <c r="L275" s="140"/>
      <c r="M275" s="140">
        <f>SUM(N275:Q275)</f>
        <v>0</v>
      </c>
      <c r="N275" s="140"/>
      <c r="O275" s="140"/>
      <c r="P275" s="140"/>
      <c r="Q275" s="262"/>
    </row>
    <row r="276" spans="1:17" s="138" customFormat="1" ht="45" hidden="1">
      <c r="A276" s="275"/>
      <c r="B276" s="423" t="s">
        <v>521</v>
      </c>
      <c r="C276" s="34"/>
      <c r="D276" s="270">
        <v>4748</v>
      </c>
      <c r="E276" s="140">
        <f t="shared" si="73"/>
        <v>0</v>
      </c>
      <c r="F276" s="140"/>
      <c r="G276" s="262">
        <f>M276</f>
        <v>0</v>
      </c>
      <c r="H276" s="140">
        <f>I276+M276</f>
        <v>0</v>
      </c>
      <c r="I276" s="140">
        <f>SUM(J276:L276)</f>
        <v>0</v>
      </c>
      <c r="J276" s="140"/>
      <c r="K276" s="140"/>
      <c r="L276" s="140"/>
      <c r="M276" s="140">
        <f>SUM(N276:Q276)</f>
        <v>0</v>
      </c>
      <c r="N276" s="140"/>
      <c r="O276" s="140"/>
      <c r="P276" s="140"/>
      <c r="Q276" s="262"/>
    </row>
    <row r="277" spans="1:17" s="138" customFormat="1" ht="45" hidden="1">
      <c r="A277" s="275"/>
      <c r="B277" s="423" t="s">
        <v>521</v>
      </c>
      <c r="C277" s="34"/>
      <c r="D277" s="270">
        <v>4749</v>
      </c>
      <c r="E277" s="140">
        <f t="shared" si="73"/>
        <v>0</v>
      </c>
      <c r="F277" s="140">
        <f>H277</f>
        <v>0</v>
      </c>
      <c r="G277" s="262"/>
      <c r="H277" s="140">
        <f>I277+M277</f>
        <v>0</v>
      </c>
      <c r="I277" s="140">
        <f>SUM(J277:L277)</f>
        <v>0</v>
      </c>
      <c r="J277" s="140"/>
      <c r="K277" s="140"/>
      <c r="L277" s="140"/>
      <c r="M277" s="140">
        <f>SUM(N277:Q277)</f>
        <v>0</v>
      </c>
      <c r="N277" s="140"/>
      <c r="O277" s="140"/>
      <c r="P277" s="140"/>
      <c r="Q277" s="262"/>
    </row>
    <row r="278" spans="1:19" s="138" customFormat="1" ht="11.25" hidden="1">
      <c r="A278" s="275"/>
      <c r="B278" s="134">
        <v>2009</v>
      </c>
      <c r="C278" s="136"/>
      <c r="D278" s="136"/>
      <c r="E278" s="135">
        <f t="shared" si="73"/>
        <v>0</v>
      </c>
      <c r="F278" s="135">
        <f>SUM(F258:F277)</f>
        <v>0</v>
      </c>
      <c r="G278" s="135">
        <f>SUM(G258:G277)</f>
        <v>0</v>
      </c>
      <c r="H278" s="135">
        <f>I278+M278</f>
        <v>0</v>
      </c>
      <c r="I278" s="135">
        <f>SUM(I258:I277)</f>
        <v>0</v>
      </c>
      <c r="J278" s="135">
        <f>SUM(J258:J277)</f>
        <v>0</v>
      </c>
      <c r="K278" s="135">
        <f>SUM(K258:K277)</f>
        <v>0</v>
      </c>
      <c r="L278" s="135">
        <f>SUM(L258:L277)</f>
        <v>0</v>
      </c>
      <c r="M278" s="135">
        <f>N278+O278+P278+Q278</f>
        <v>0</v>
      </c>
      <c r="N278" s="135">
        <f>SUM(N258:N277)</f>
        <v>0</v>
      </c>
      <c r="O278" s="135">
        <f>SUM(O258:O277)</f>
        <v>0</v>
      </c>
      <c r="P278" s="135">
        <f>SUM(P258:P277)</f>
        <v>0</v>
      </c>
      <c r="Q278" s="135">
        <f>SUM(Q258:Q277)</f>
        <v>0</v>
      </c>
      <c r="S278" s="404"/>
    </row>
    <row r="279" spans="1:17" ht="15.75" customHeight="1" hidden="1">
      <c r="A279" s="268" t="s">
        <v>828</v>
      </c>
      <c r="B279" s="286" t="s">
        <v>223</v>
      </c>
      <c r="C279" s="788" t="s">
        <v>3</v>
      </c>
      <c r="D279" s="789"/>
      <c r="E279" s="789"/>
      <c r="F279" s="789"/>
      <c r="G279" s="789"/>
      <c r="H279" s="789"/>
      <c r="I279" s="789"/>
      <c r="J279" s="789"/>
      <c r="K279" s="789"/>
      <c r="L279" s="789"/>
      <c r="M279" s="789"/>
      <c r="N279" s="789"/>
      <c r="O279" s="789"/>
      <c r="P279" s="789"/>
      <c r="Q279" s="790"/>
    </row>
    <row r="280" spans="1:17" ht="12.75" customHeight="1" hidden="1">
      <c r="A280" s="268"/>
      <c r="B280" s="284" t="s">
        <v>224</v>
      </c>
      <c r="C280" s="791"/>
      <c r="D280" s="792"/>
      <c r="E280" s="792"/>
      <c r="F280" s="792"/>
      <c r="G280" s="792"/>
      <c r="H280" s="792"/>
      <c r="I280" s="792"/>
      <c r="J280" s="792"/>
      <c r="K280" s="792"/>
      <c r="L280" s="792"/>
      <c r="M280" s="792"/>
      <c r="N280" s="792"/>
      <c r="O280" s="792"/>
      <c r="P280" s="792"/>
      <c r="Q280" s="793"/>
    </row>
    <row r="281" spans="1:17" ht="12.75" customHeight="1" hidden="1">
      <c r="A281" s="268"/>
      <c r="B281" s="284" t="s">
        <v>225</v>
      </c>
      <c r="C281" s="791"/>
      <c r="D281" s="792"/>
      <c r="E281" s="792"/>
      <c r="F281" s="792"/>
      <c r="G281" s="792"/>
      <c r="H281" s="792"/>
      <c r="I281" s="792"/>
      <c r="J281" s="792"/>
      <c r="K281" s="792"/>
      <c r="L281" s="792"/>
      <c r="M281" s="792"/>
      <c r="N281" s="792"/>
      <c r="O281" s="792"/>
      <c r="P281" s="792"/>
      <c r="Q281" s="793"/>
    </row>
    <row r="282" spans="1:17" ht="12.75" customHeight="1" hidden="1">
      <c r="A282" s="268"/>
      <c r="B282" s="285" t="s">
        <v>226</v>
      </c>
      <c r="C282" s="794"/>
      <c r="D282" s="795"/>
      <c r="E282" s="795"/>
      <c r="F282" s="795"/>
      <c r="G282" s="795"/>
      <c r="H282" s="795"/>
      <c r="I282" s="795"/>
      <c r="J282" s="795"/>
      <c r="K282" s="795"/>
      <c r="L282" s="795"/>
      <c r="M282" s="795"/>
      <c r="N282" s="795"/>
      <c r="O282" s="795"/>
      <c r="P282" s="795"/>
      <c r="Q282" s="796"/>
    </row>
    <row r="283" spans="1:17" s="139" customFormat="1" ht="12.75" hidden="1">
      <c r="A283" s="268"/>
      <c r="B283" s="287" t="s">
        <v>227</v>
      </c>
      <c r="C283" s="34"/>
      <c r="D283" s="141" t="s">
        <v>447</v>
      </c>
      <c r="E283" s="140">
        <f>E311</f>
        <v>0</v>
      </c>
      <c r="F283" s="140">
        <f aca="true" t="shared" si="77" ref="F283:Q283">F311</f>
        <v>0</v>
      </c>
      <c r="G283" s="140">
        <f t="shared" si="77"/>
        <v>0</v>
      </c>
      <c r="H283" s="140">
        <f t="shared" si="77"/>
        <v>0</v>
      </c>
      <c r="I283" s="140">
        <f t="shared" si="77"/>
        <v>0</v>
      </c>
      <c r="J283" s="140">
        <f t="shared" si="77"/>
        <v>0</v>
      </c>
      <c r="K283" s="140">
        <f t="shared" si="77"/>
        <v>0</v>
      </c>
      <c r="L283" s="140">
        <f t="shared" si="77"/>
        <v>0</v>
      </c>
      <c r="M283" s="140">
        <f t="shared" si="77"/>
        <v>0</v>
      </c>
      <c r="N283" s="140">
        <f t="shared" si="77"/>
        <v>0</v>
      </c>
      <c r="O283" s="140">
        <f t="shared" si="77"/>
        <v>0</v>
      </c>
      <c r="P283" s="140">
        <f t="shared" si="77"/>
        <v>0</v>
      </c>
      <c r="Q283" s="140">
        <f t="shared" si="77"/>
        <v>0</v>
      </c>
    </row>
    <row r="284" spans="1:17" s="139" customFormat="1" ht="12.75" customHeight="1" hidden="1">
      <c r="A284" s="268"/>
      <c r="B284" s="134" t="s">
        <v>80</v>
      </c>
      <c r="C284" s="34"/>
      <c r="D284" s="141" t="s">
        <v>88</v>
      </c>
      <c r="E284" s="140"/>
      <c r="F284" s="140"/>
      <c r="G284" s="140"/>
      <c r="H284" s="140"/>
      <c r="I284" s="140"/>
      <c r="J284" s="140"/>
      <c r="K284" s="140"/>
      <c r="L284" s="140"/>
      <c r="M284" s="140"/>
      <c r="N284" s="140"/>
      <c r="O284" s="140"/>
      <c r="P284" s="140"/>
      <c r="Q284" s="117" t="e">
        <f>'[1]2'!G722</f>
        <v>#REF!</v>
      </c>
    </row>
    <row r="285" spans="1:17" s="139" customFormat="1" ht="22.5" customHeight="1" hidden="1">
      <c r="A285" s="268"/>
      <c r="B285" s="134" t="s">
        <v>81</v>
      </c>
      <c r="C285" s="34"/>
      <c r="D285" s="141" t="s">
        <v>89</v>
      </c>
      <c r="E285" s="140"/>
      <c r="F285" s="140"/>
      <c r="G285" s="140"/>
      <c r="H285" s="140"/>
      <c r="I285" s="140"/>
      <c r="J285" s="140"/>
      <c r="K285" s="140"/>
      <c r="L285" s="140"/>
      <c r="M285" s="140"/>
      <c r="N285" s="140"/>
      <c r="O285" s="140"/>
      <c r="P285" s="140"/>
      <c r="Q285" s="117"/>
    </row>
    <row r="286" spans="1:17" s="139" customFormat="1" ht="12.75" customHeight="1" hidden="1">
      <c r="A286" s="268"/>
      <c r="B286" s="134" t="s">
        <v>82</v>
      </c>
      <c r="C286" s="34"/>
      <c r="D286" s="141" t="s">
        <v>90</v>
      </c>
      <c r="E286" s="140"/>
      <c r="F286" s="140"/>
      <c r="G286" s="140"/>
      <c r="H286" s="140"/>
      <c r="I286" s="140"/>
      <c r="J286" s="140"/>
      <c r="K286" s="140"/>
      <c r="L286" s="140"/>
      <c r="M286" s="140"/>
      <c r="N286" s="140"/>
      <c r="O286" s="140"/>
      <c r="P286" s="140"/>
      <c r="Q286" s="117"/>
    </row>
    <row r="287" spans="1:17" s="139" customFormat="1" ht="22.5" customHeight="1" hidden="1">
      <c r="A287" s="268"/>
      <c r="B287" s="134" t="s">
        <v>83</v>
      </c>
      <c r="C287" s="34"/>
      <c r="D287" s="141" t="s">
        <v>91</v>
      </c>
      <c r="E287" s="140"/>
      <c r="F287" s="140"/>
      <c r="G287" s="140"/>
      <c r="H287" s="140"/>
      <c r="I287" s="140"/>
      <c r="J287" s="140"/>
      <c r="K287" s="140"/>
      <c r="L287" s="140"/>
      <c r="M287" s="140"/>
      <c r="N287" s="140"/>
      <c r="O287" s="140"/>
      <c r="P287" s="140"/>
      <c r="Q287" s="117"/>
    </row>
    <row r="288" spans="1:17" s="139" customFormat="1" ht="22.5" customHeight="1" hidden="1">
      <c r="A288" s="268"/>
      <c r="B288" s="134" t="s">
        <v>751</v>
      </c>
      <c r="C288" s="34"/>
      <c r="D288" s="141" t="s">
        <v>750</v>
      </c>
      <c r="E288" s="140"/>
      <c r="F288" s="140"/>
      <c r="G288" s="140"/>
      <c r="H288" s="140"/>
      <c r="I288" s="140"/>
      <c r="J288" s="140"/>
      <c r="K288" s="140"/>
      <c r="L288" s="140"/>
      <c r="M288" s="140"/>
      <c r="N288" s="140"/>
      <c r="O288" s="140"/>
      <c r="P288" s="140"/>
      <c r="Q288" s="117"/>
    </row>
    <row r="289" spans="1:17" s="139" customFormat="1" ht="33.75" customHeight="1" hidden="1">
      <c r="A289" s="268"/>
      <c r="B289" s="134" t="s">
        <v>84</v>
      </c>
      <c r="C289" s="34"/>
      <c r="D289" s="141" t="s">
        <v>92</v>
      </c>
      <c r="E289" s="140"/>
      <c r="F289" s="140"/>
      <c r="G289" s="140"/>
      <c r="H289" s="140"/>
      <c r="I289" s="140"/>
      <c r="J289" s="140"/>
      <c r="K289" s="140"/>
      <c r="L289" s="140"/>
      <c r="M289" s="140"/>
      <c r="N289" s="140"/>
      <c r="O289" s="140"/>
      <c r="P289" s="140"/>
      <c r="Q289" s="117" t="e">
        <f>'[1]2'!L749</f>
        <v>#REF!</v>
      </c>
    </row>
    <row r="290" spans="1:17" s="139" customFormat="1" ht="12.75" customHeight="1" hidden="1">
      <c r="A290" s="268"/>
      <c r="B290" s="287"/>
      <c r="C290" s="34"/>
      <c r="D290" s="141"/>
      <c r="E290" s="140"/>
      <c r="F290" s="137"/>
      <c r="G290" s="137"/>
      <c r="H290" s="133"/>
      <c r="I290" s="34"/>
      <c r="J290" s="137"/>
      <c r="K290" s="137"/>
      <c r="L290" s="137"/>
      <c r="M290" s="34"/>
      <c r="N290" s="137"/>
      <c r="O290" s="137"/>
      <c r="P290" s="137"/>
      <c r="Q290" s="137"/>
    </row>
    <row r="291" spans="1:17" s="138" customFormat="1" ht="22.5" hidden="1">
      <c r="A291" s="268"/>
      <c r="B291" s="79" t="s">
        <v>556</v>
      </c>
      <c r="C291" s="34"/>
      <c r="D291" s="270">
        <v>4118</v>
      </c>
      <c r="E291" s="140">
        <f aca="true" t="shared" si="78" ref="E291:E296">F291+G291</f>
        <v>0</v>
      </c>
      <c r="F291" s="140"/>
      <c r="G291" s="262">
        <f>Q291</f>
        <v>0</v>
      </c>
      <c r="H291" s="140">
        <f aca="true" t="shared" si="79" ref="H291:H296">I291+M291</f>
        <v>0</v>
      </c>
      <c r="I291" s="140">
        <f aca="true" t="shared" si="80" ref="I291:I296">SUM(J291:L291)</f>
        <v>0</v>
      </c>
      <c r="J291" s="140"/>
      <c r="K291" s="140"/>
      <c r="L291" s="140"/>
      <c r="M291" s="140">
        <f aca="true" t="shared" si="81" ref="M291:M296">SUM(N291:Q291)</f>
        <v>0</v>
      </c>
      <c r="N291" s="140"/>
      <c r="O291" s="140"/>
      <c r="P291" s="140"/>
      <c r="Q291" s="262"/>
    </row>
    <row r="292" spans="1:17" s="138" customFormat="1" ht="22.5" hidden="1">
      <c r="A292" s="268"/>
      <c r="B292" s="79" t="s">
        <v>556</v>
      </c>
      <c r="C292" s="34"/>
      <c r="D292" s="270">
        <v>4119</v>
      </c>
      <c r="E292" s="140">
        <f t="shared" si="78"/>
        <v>0</v>
      </c>
      <c r="F292" s="140">
        <f>L292</f>
        <v>0</v>
      </c>
      <c r="G292" s="262"/>
      <c r="H292" s="140">
        <f t="shared" si="79"/>
        <v>0</v>
      </c>
      <c r="I292" s="140">
        <f t="shared" si="80"/>
        <v>0</v>
      </c>
      <c r="J292" s="140"/>
      <c r="K292" s="140"/>
      <c r="L292" s="140"/>
      <c r="M292" s="140">
        <f t="shared" si="81"/>
        <v>0</v>
      </c>
      <c r="N292" s="140"/>
      <c r="O292" s="140"/>
      <c r="P292" s="140"/>
      <c r="Q292" s="262"/>
    </row>
    <row r="293" spans="1:17" s="138" customFormat="1" ht="12.75" hidden="1">
      <c r="A293" s="268"/>
      <c r="B293" s="79" t="s">
        <v>558</v>
      </c>
      <c r="C293" s="34"/>
      <c r="D293" s="270">
        <v>4128</v>
      </c>
      <c r="E293" s="140">
        <f t="shared" si="78"/>
        <v>0</v>
      </c>
      <c r="F293" s="140"/>
      <c r="G293" s="262">
        <f>Q293</f>
        <v>0</v>
      </c>
      <c r="H293" s="140">
        <f t="shared" si="79"/>
        <v>0</v>
      </c>
      <c r="I293" s="140">
        <f t="shared" si="80"/>
        <v>0</v>
      </c>
      <c r="J293" s="140"/>
      <c r="K293" s="140"/>
      <c r="L293" s="140"/>
      <c r="M293" s="140">
        <f t="shared" si="81"/>
        <v>0</v>
      </c>
      <c r="N293" s="140"/>
      <c r="O293" s="140"/>
      <c r="P293" s="140"/>
      <c r="Q293" s="262"/>
    </row>
    <row r="294" spans="1:17" s="138" customFormat="1" ht="12.75" hidden="1">
      <c r="A294" s="268"/>
      <c r="B294" s="79" t="s">
        <v>558</v>
      </c>
      <c r="C294" s="34"/>
      <c r="D294" s="270">
        <v>4129</v>
      </c>
      <c r="E294" s="140">
        <f t="shared" si="78"/>
        <v>0</v>
      </c>
      <c r="F294" s="140">
        <f>L294</f>
        <v>0</v>
      </c>
      <c r="G294" s="262"/>
      <c r="H294" s="140">
        <f t="shared" si="79"/>
        <v>0</v>
      </c>
      <c r="I294" s="140">
        <f t="shared" si="80"/>
        <v>0</v>
      </c>
      <c r="J294" s="140"/>
      <c r="K294" s="140"/>
      <c r="L294" s="140"/>
      <c r="M294" s="140">
        <f t="shared" si="81"/>
        <v>0</v>
      </c>
      <c r="N294" s="140"/>
      <c r="O294" s="140"/>
      <c r="P294" s="140"/>
      <c r="Q294" s="262"/>
    </row>
    <row r="295" spans="1:17" s="138" customFormat="1" ht="22.5" hidden="1">
      <c r="A295" s="268"/>
      <c r="B295" s="79" t="s">
        <v>2</v>
      </c>
      <c r="C295" s="34"/>
      <c r="D295" s="270">
        <v>4018</v>
      </c>
      <c r="E295" s="140">
        <f t="shared" si="78"/>
        <v>0</v>
      </c>
      <c r="F295" s="140"/>
      <c r="G295" s="262">
        <f>M295</f>
        <v>0</v>
      </c>
      <c r="H295" s="140">
        <f t="shared" si="79"/>
        <v>0</v>
      </c>
      <c r="I295" s="140">
        <f t="shared" si="80"/>
        <v>0</v>
      </c>
      <c r="J295" s="140"/>
      <c r="K295" s="140"/>
      <c r="L295" s="140"/>
      <c r="M295" s="140">
        <f t="shared" si="81"/>
        <v>0</v>
      </c>
      <c r="N295" s="140"/>
      <c r="O295" s="140"/>
      <c r="P295" s="140"/>
      <c r="Q295" s="262"/>
    </row>
    <row r="296" spans="1:17" s="138" customFormat="1" ht="22.5" hidden="1">
      <c r="A296" s="268"/>
      <c r="B296" s="79" t="s">
        <v>2</v>
      </c>
      <c r="C296" s="34"/>
      <c r="D296" s="270">
        <v>4019</v>
      </c>
      <c r="E296" s="140">
        <f t="shared" si="78"/>
        <v>0</v>
      </c>
      <c r="F296" s="140">
        <f>I296</f>
        <v>0</v>
      </c>
      <c r="G296" s="262"/>
      <c r="H296" s="140">
        <f t="shared" si="79"/>
        <v>0</v>
      </c>
      <c r="I296" s="140">
        <f t="shared" si="80"/>
        <v>0</v>
      </c>
      <c r="J296" s="140"/>
      <c r="K296" s="140"/>
      <c r="L296" s="140"/>
      <c r="M296" s="140">
        <f t="shared" si="81"/>
        <v>0</v>
      </c>
      <c r="N296" s="140"/>
      <c r="O296" s="140"/>
      <c r="P296" s="140"/>
      <c r="Q296" s="262"/>
    </row>
    <row r="297" spans="1:17" s="138" customFormat="1" ht="12.75" hidden="1">
      <c r="A297" s="268"/>
      <c r="B297" s="79" t="s">
        <v>4</v>
      </c>
      <c r="C297" s="34"/>
      <c r="D297" s="273">
        <v>3118</v>
      </c>
      <c r="E297" s="140">
        <f>F297+G297</f>
        <v>0</v>
      </c>
      <c r="F297" s="140"/>
      <c r="G297" s="262">
        <f>Q297</f>
        <v>0</v>
      </c>
      <c r="H297" s="140">
        <f>I297+M297</f>
        <v>0</v>
      </c>
      <c r="I297" s="140">
        <f>SUM(J297:L297)</f>
        <v>0</v>
      </c>
      <c r="J297" s="140"/>
      <c r="K297" s="140"/>
      <c r="L297" s="140"/>
      <c r="M297" s="140">
        <f>SUM(N297:Q297)</f>
        <v>0</v>
      </c>
      <c r="N297" s="140"/>
      <c r="O297" s="140"/>
      <c r="P297" s="140"/>
      <c r="Q297" s="262"/>
    </row>
    <row r="298" spans="1:17" s="138" customFormat="1" ht="12.75" hidden="1">
      <c r="A298" s="268"/>
      <c r="B298" s="79" t="s">
        <v>4</v>
      </c>
      <c r="C298" s="34"/>
      <c r="D298" s="273">
        <v>3119</v>
      </c>
      <c r="E298" s="140">
        <f>F298+G298</f>
        <v>0</v>
      </c>
      <c r="F298" s="140">
        <f>L298</f>
        <v>0</v>
      </c>
      <c r="G298" s="262"/>
      <c r="H298" s="140">
        <f>I298+M298</f>
        <v>0</v>
      </c>
      <c r="I298" s="140">
        <f>SUM(J298:L298)</f>
        <v>0</v>
      </c>
      <c r="J298" s="140"/>
      <c r="K298" s="140"/>
      <c r="L298" s="140"/>
      <c r="M298" s="140">
        <f>SUM(N298:Q298)</f>
        <v>0</v>
      </c>
      <c r="N298" s="140"/>
      <c r="O298" s="140"/>
      <c r="P298" s="140"/>
      <c r="Q298" s="262"/>
    </row>
    <row r="299" spans="1:17" s="138" customFormat="1" ht="56.25" hidden="1">
      <c r="A299" s="268"/>
      <c r="B299" s="79" t="s">
        <v>7</v>
      </c>
      <c r="C299" s="34"/>
      <c r="D299" s="270">
        <v>4408</v>
      </c>
      <c r="E299" s="140">
        <f aca="true" t="shared" si="82" ref="E299:E306">F299+G299</f>
        <v>0</v>
      </c>
      <c r="F299" s="140"/>
      <c r="G299" s="262">
        <f>M299</f>
        <v>0</v>
      </c>
      <c r="H299" s="140">
        <f aca="true" t="shared" si="83" ref="H299:H306">I299+M299</f>
        <v>0</v>
      </c>
      <c r="I299" s="140">
        <f aca="true" t="shared" si="84" ref="I299:I306">SUM(J299:L299)</f>
        <v>0</v>
      </c>
      <c r="J299" s="140"/>
      <c r="K299" s="140"/>
      <c r="L299" s="140"/>
      <c r="M299" s="140">
        <f aca="true" t="shared" si="85" ref="M299:M306">SUM(N299:Q299)</f>
        <v>0</v>
      </c>
      <c r="N299" s="140"/>
      <c r="O299" s="140"/>
      <c r="P299" s="140"/>
      <c r="Q299" s="262"/>
    </row>
    <row r="300" spans="1:17" s="138" customFormat="1" ht="56.25" hidden="1">
      <c r="A300" s="268"/>
      <c r="B300" s="79" t="s">
        <v>7</v>
      </c>
      <c r="C300" s="34"/>
      <c r="D300" s="270">
        <v>4409</v>
      </c>
      <c r="E300" s="140">
        <f t="shared" si="82"/>
        <v>0</v>
      </c>
      <c r="F300" s="140">
        <f>I300</f>
        <v>0</v>
      </c>
      <c r="G300" s="262"/>
      <c r="H300" s="140">
        <f t="shared" si="83"/>
        <v>0</v>
      </c>
      <c r="I300" s="140">
        <f t="shared" si="84"/>
        <v>0</v>
      </c>
      <c r="J300" s="140"/>
      <c r="K300" s="140"/>
      <c r="L300" s="140"/>
      <c r="M300" s="140">
        <f t="shared" si="85"/>
        <v>0</v>
      </c>
      <c r="N300" s="140"/>
      <c r="O300" s="140"/>
      <c r="P300" s="140"/>
      <c r="Q300" s="262"/>
    </row>
    <row r="301" spans="1:17" s="138" customFormat="1" ht="22.5" hidden="1">
      <c r="A301" s="268"/>
      <c r="B301" s="79" t="s">
        <v>422</v>
      </c>
      <c r="C301" s="34"/>
      <c r="D301" s="270">
        <v>4218</v>
      </c>
      <c r="E301" s="140">
        <f t="shared" si="82"/>
        <v>0</v>
      </c>
      <c r="F301" s="140"/>
      <c r="G301" s="262">
        <f>M301</f>
        <v>0</v>
      </c>
      <c r="H301" s="140">
        <f t="shared" si="83"/>
        <v>0</v>
      </c>
      <c r="I301" s="140">
        <f t="shared" si="84"/>
        <v>0</v>
      </c>
      <c r="J301" s="140"/>
      <c r="K301" s="140"/>
      <c r="L301" s="140"/>
      <c r="M301" s="140">
        <f t="shared" si="85"/>
        <v>0</v>
      </c>
      <c r="N301" s="140"/>
      <c r="O301" s="140"/>
      <c r="P301" s="140"/>
      <c r="Q301" s="262"/>
    </row>
    <row r="302" spans="1:17" s="138" customFormat="1" ht="22.5" hidden="1">
      <c r="A302" s="268"/>
      <c r="B302" s="79" t="s">
        <v>422</v>
      </c>
      <c r="C302" s="34"/>
      <c r="D302" s="270">
        <v>4219</v>
      </c>
      <c r="E302" s="140">
        <f t="shared" si="82"/>
        <v>0</v>
      </c>
      <c r="F302" s="140">
        <f>H302</f>
        <v>0</v>
      </c>
      <c r="G302" s="262"/>
      <c r="H302" s="140">
        <f t="shared" si="83"/>
        <v>0</v>
      </c>
      <c r="I302" s="140">
        <f t="shared" si="84"/>
        <v>0</v>
      </c>
      <c r="J302" s="140"/>
      <c r="K302" s="140"/>
      <c r="L302" s="140"/>
      <c r="M302" s="140">
        <f t="shared" si="85"/>
        <v>0</v>
      </c>
      <c r="N302" s="140"/>
      <c r="O302" s="140"/>
      <c r="P302" s="140"/>
      <c r="Q302" s="262"/>
    </row>
    <row r="303" spans="1:17" s="138" customFormat="1" ht="33.75" hidden="1">
      <c r="A303" s="268"/>
      <c r="B303" s="405" t="s">
        <v>561</v>
      </c>
      <c r="C303" s="34"/>
      <c r="D303" s="270">
        <v>4758</v>
      </c>
      <c r="E303" s="140">
        <f t="shared" si="82"/>
        <v>0</v>
      </c>
      <c r="F303" s="140"/>
      <c r="G303" s="262">
        <f>M303</f>
        <v>0</v>
      </c>
      <c r="H303" s="140">
        <f t="shared" si="83"/>
        <v>0</v>
      </c>
      <c r="I303" s="140">
        <f t="shared" si="84"/>
        <v>0</v>
      </c>
      <c r="J303" s="140"/>
      <c r="K303" s="140"/>
      <c r="L303" s="140"/>
      <c r="M303" s="140">
        <f t="shared" si="85"/>
        <v>0</v>
      </c>
      <c r="N303" s="140"/>
      <c r="O303" s="140"/>
      <c r="P303" s="140"/>
      <c r="Q303" s="262"/>
    </row>
    <row r="304" spans="1:17" s="138" customFormat="1" ht="33.75" hidden="1">
      <c r="A304" s="268"/>
      <c r="B304" s="405" t="s">
        <v>561</v>
      </c>
      <c r="C304" s="34"/>
      <c r="D304" s="270">
        <v>4759</v>
      </c>
      <c r="E304" s="140">
        <f t="shared" si="82"/>
        <v>0</v>
      </c>
      <c r="F304" s="140">
        <f>H304</f>
        <v>0</v>
      </c>
      <c r="G304" s="262"/>
      <c r="H304" s="140">
        <f t="shared" si="83"/>
        <v>0</v>
      </c>
      <c r="I304" s="140">
        <f t="shared" si="84"/>
        <v>0</v>
      </c>
      <c r="J304" s="140"/>
      <c r="K304" s="140"/>
      <c r="L304" s="140"/>
      <c r="M304" s="140">
        <f t="shared" si="85"/>
        <v>0</v>
      </c>
      <c r="N304" s="140"/>
      <c r="O304" s="140"/>
      <c r="P304" s="140"/>
      <c r="Q304" s="262"/>
    </row>
    <row r="305" spans="1:17" s="138" customFormat="1" ht="12.75" hidden="1">
      <c r="A305" s="268"/>
      <c r="B305" s="79" t="s">
        <v>405</v>
      </c>
      <c r="C305" s="34"/>
      <c r="D305" s="270">
        <v>4308</v>
      </c>
      <c r="E305" s="140">
        <f t="shared" si="82"/>
        <v>0</v>
      </c>
      <c r="F305" s="140"/>
      <c r="G305" s="262">
        <f>M305</f>
        <v>0</v>
      </c>
      <c r="H305" s="140">
        <f t="shared" si="83"/>
        <v>0</v>
      </c>
      <c r="I305" s="140">
        <f t="shared" si="84"/>
        <v>0</v>
      </c>
      <c r="J305" s="140"/>
      <c r="K305" s="140"/>
      <c r="L305" s="140"/>
      <c r="M305" s="140">
        <f t="shared" si="85"/>
        <v>0</v>
      </c>
      <c r="N305" s="140"/>
      <c r="O305" s="140"/>
      <c r="P305" s="140"/>
      <c r="Q305" s="262"/>
    </row>
    <row r="306" spans="1:17" s="138" customFormat="1" ht="12.75" hidden="1">
      <c r="A306" s="268"/>
      <c r="B306" s="79" t="s">
        <v>405</v>
      </c>
      <c r="C306" s="34"/>
      <c r="D306" s="270">
        <v>4309</v>
      </c>
      <c r="E306" s="140">
        <f t="shared" si="82"/>
        <v>0</v>
      </c>
      <c r="F306" s="140">
        <f>H306</f>
        <v>0</v>
      </c>
      <c r="G306" s="262"/>
      <c r="H306" s="140">
        <f t="shared" si="83"/>
        <v>0</v>
      </c>
      <c r="I306" s="140">
        <f t="shared" si="84"/>
        <v>0</v>
      </c>
      <c r="J306" s="140"/>
      <c r="K306" s="140"/>
      <c r="L306" s="140"/>
      <c r="M306" s="140">
        <f t="shared" si="85"/>
        <v>0</v>
      </c>
      <c r="N306" s="140"/>
      <c r="O306" s="140"/>
      <c r="P306" s="140"/>
      <c r="Q306" s="262"/>
    </row>
    <row r="307" spans="1:17" s="138" customFormat="1" ht="12.75" hidden="1">
      <c r="A307" s="268"/>
      <c r="B307" s="79" t="s">
        <v>5</v>
      </c>
      <c r="C307" s="34"/>
      <c r="D307" s="270">
        <v>4438</v>
      </c>
      <c r="E307" s="140">
        <f>F307+G307</f>
        <v>0</v>
      </c>
      <c r="F307" s="140"/>
      <c r="G307" s="262">
        <f>M307</f>
        <v>0</v>
      </c>
      <c r="H307" s="140">
        <f>I307+M307</f>
        <v>0</v>
      </c>
      <c r="I307" s="140">
        <f>SUM(J307:L307)</f>
        <v>0</v>
      </c>
      <c r="J307" s="140"/>
      <c r="K307" s="140"/>
      <c r="L307" s="140"/>
      <c r="M307" s="140">
        <f>SUM(N307:Q307)</f>
        <v>0</v>
      </c>
      <c r="N307" s="140"/>
      <c r="O307" s="140"/>
      <c r="P307" s="140"/>
      <c r="Q307" s="262"/>
    </row>
    <row r="308" spans="1:17" s="138" customFormat="1" ht="12.75" hidden="1">
      <c r="A308" s="268"/>
      <c r="B308" s="79" t="s">
        <v>5</v>
      </c>
      <c r="C308" s="34"/>
      <c r="D308" s="270">
        <v>4439</v>
      </c>
      <c r="E308" s="140">
        <f>F308+G308</f>
        <v>0</v>
      </c>
      <c r="F308" s="140">
        <f>H308</f>
        <v>0</v>
      </c>
      <c r="G308" s="262"/>
      <c r="H308" s="140">
        <f>I308+M308</f>
        <v>0</v>
      </c>
      <c r="I308" s="140">
        <f>SUM(J308:L308)</f>
        <v>0</v>
      </c>
      <c r="J308" s="140"/>
      <c r="K308" s="140"/>
      <c r="L308" s="140"/>
      <c r="M308" s="140">
        <f>SUM(N308:Q308)</f>
        <v>0</v>
      </c>
      <c r="N308" s="140"/>
      <c r="O308" s="140"/>
      <c r="P308" s="140"/>
      <c r="Q308" s="262"/>
    </row>
    <row r="309" spans="1:17" s="138" customFormat="1" ht="45" hidden="1">
      <c r="A309" s="268"/>
      <c r="B309" s="423" t="s">
        <v>521</v>
      </c>
      <c r="C309" s="34"/>
      <c r="D309" s="270">
        <v>4748</v>
      </c>
      <c r="E309" s="140">
        <f>F309+G309</f>
        <v>0</v>
      </c>
      <c r="F309" s="140"/>
      <c r="G309" s="262">
        <f>M309</f>
        <v>0</v>
      </c>
      <c r="H309" s="140">
        <f>I309+M309</f>
        <v>0</v>
      </c>
      <c r="I309" s="140">
        <f>SUM(J309:L309)</f>
        <v>0</v>
      </c>
      <c r="J309" s="140"/>
      <c r="K309" s="140"/>
      <c r="L309" s="140"/>
      <c r="M309" s="140">
        <f>SUM(N309:Q309)</f>
        <v>0</v>
      </c>
      <c r="N309" s="140"/>
      <c r="O309" s="140"/>
      <c r="P309" s="140"/>
      <c r="Q309" s="262"/>
    </row>
    <row r="310" spans="1:17" s="138" customFormat="1" ht="45" hidden="1">
      <c r="A310" s="268"/>
      <c r="B310" s="423" t="s">
        <v>521</v>
      </c>
      <c r="C310" s="34"/>
      <c r="D310" s="270">
        <v>4749</v>
      </c>
      <c r="E310" s="140">
        <f>F310+G310</f>
        <v>0</v>
      </c>
      <c r="F310" s="140">
        <f>H310</f>
        <v>0</v>
      </c>
      <c r="G310" s="262"/>
      <c r="H310" s="140">
        <f>I310+M310</f>
        <v>0</v>
      </c>
      <c r="I310" s="140">
        <f>SUM(J310:L310)</f>
        <v>0</v>
      </c>
      <c r="J310" s="140"/>
      <c r="K310" s="140"/>
      <c r="L310" s="140"/>
      <c r="M310" s="140">
        <f>SUM(N310:Q310)</f>
        <v>0</v>
      </c>
      <c r="N310" s="140"/>
      <c r="O310" s="140"/>
      <c r="P310" s="140"/>
      <c r="Q310" s="262"/>
    </row>
    <row r="311" spans="1:19" s="138" customFormat="1" ht="11.25" hidden="1">
      <c r="A311" s="268"/>
      <c r="B311" s="134">
        <v>2009</v>
      </c>
      <c r="C311" s="136"/>
      <c r="D311" s="136"/>
      <c r="E311" s="135">
        <f>F311+G311</f>
        <v>0</v>
      </c>
      <c r="F311" s="135">
        <f>SUM(F291:F310)</f>
        <v>0</v>
      </c>
      <c r="G311" s="135">
        <f>SUM(G291:G310)</f>
        <v>0</v>
      </c>
      <c r="H311" s="135">
        <f>I311+M311</f>
        <v>0</v>
      </c>
      <c r="I311" s="135">
        <f>SUM(I291:I310)</f>
        <v>0</v>
      </c>
      <c r="J311" s="135">
        <f>SUM(J291:J310)</f>
        <v>0</v>
      </c>
      <c r="K311" s="135">
        <f>SUM(K291:K310)</f>
        <v>0</v>
      </c>
      <c r="L311" s="135">
        <f>SUM(L291:L310)</f>
        <v>0</v>
      </c>
      <c r="M311" s="135">
        <f>N311+O311+P311+Q311</f>
        <v>0</v>
      </c>
      <c r="N311" s="135">
        <f>SUM(N291:N310)</f>
        <v>0</v>
      </c>
      <c r="O311" s="135">
        <f>SUM(O291:O310)</f>
        <v>0</v>
      </c>
      <c r="P311" s="135">
        <f>SUM(P291:P310)</f>
        <v>0</v>
      </c>
      <c r="Q311" s="135">
        <f>SUM(Q291:Q310)</f>
        <v>0</v>
      </c>
      <c r="S311" s="404"/>
    </row>
    <row r="312" spans="1:19" s="138" customFormat="1" ht="11.25" hidden="1">
      <c r="A312" s="275"/>
      <c r="B312" s="502"/>
      <c r="C312" s="503"/>
      <c r="D312" s="504"/>
      <c r="E312" s="505"/>
      <c r="F312" s="505"/>
      <c r="G312" s="505"/>
      <c r="H312" s="505"/>
      <c r="I312" s="505"/>
      <c r="J312" s="505"/>
      <c r="K312" s="505"/>
      <c r="L312" s="505"/>
      <c r="M312" s="505"/>
      <c r="N312" s="505"/>
      <c r="O312" s="505"/>
      <c r="P312" s="505"/>
      <c r="Q312" s="506"/>
      <c r="S312" s="404"/>
    </row>
    <row r="313" spans="1:19" s="138" customFormat="1" ht="11.25" hidden="1">
      <c r="A313" s="275"/>
      <c r="B313" s="502"/>
      <c r="C313" s="503"/>
      <c r="D313" s="504"/>
      <c r="E313" s="505"/>
      <c r="F313" s="505"/>
      <c r="G313" s="505"/>
      <c r="H313" s="505"/>
      <c r="I313" s="505"/>
      <c r="J313" s="505"/>
      <c r="K313" s="505"/>
      <c r="L313" s="505"/>
      <c r="M313" s="505"/>
      <c r="N313" s="505"/>
      <c r="O313" s="505"/>
      <c r="P313" s="505"/>
      <c r="Q313" s="506"/>
      <c r="S313" s="404"/>
    </row>
    <row r="314" spans="1:19" s="138" customFormat="1" ht="11.25" hidden="1">
      <c r="A314" s="275"/>
      <c r="B314" s="502"/>
      <c r="C314" s="503"/>
      <c r="D314" s="504"/>
      <c r="E314" s="505"/>
      <c r="F314" s="505"/>
      <c r="G314" s="505"/>
      <c r="H314" s="505"/>
      <c r="I314" s="505"/>
      <c r="J314" s="505"/>
      <c r="K314" s="505"/>
      <c r="L314" s="505"/>
      <c r="M314" s="505"/>
      <c r="N314" s="505"/>
      <c r="O314" s="505"/>
      <c r="P314" s="505"/>
      <c r="Q314" s="506"/>
      <c r="S314" s="404"/>
    </row>
    <row r="315" spans="1:19" s="138" customFormat="1" ht="11.25" hidden="1">
      <c r="A315" s="275"/>
      <c r="B315" s="502"/>
      <c r="C315" s="503"/>
      <c r="D315" s="504"/>
      <c r="E315" s="505"/>
      <c r="F315" s="505"/>
      <c r="G315" s="505"/>
      <c r="H315" s="505"/>
      <c r="I315" s="505"/>
      <c r="J315" s="505"/>
      <c r="K315" s="505"/>
      <c r="L315" s="505"/>
      <c r="M315" s="505"/>
      <c r="N315" s="505"/>
      <c r="O315" s="505"/>
      <c r="P315" s="505"/>
      <c r="Q315" s="506"/>
      <c r="S315" s="404"/>
    </row>
    <row r="316" spans="1:19" s="138" customFormat="1" ht="11.25" hidden="1">
      <c r="A316" s="275"/>
      <c r="B316" s="502"/>
      <c r="C316" s="503"/>
      <c r="D316" s="504"/>
      <c r="E316" s="505"/>
      <c r="F316" s="505"/>
      <c r="G316" s="505"/>
      <c r="H316" s="505"/>
      <c r="I316" s="505"/>
      <c r="J316" s="505"/>
      <c r="K316" s="505"/>
      <c r="L316" s="505"/>
      <c r="M316" s="505"/>
      <c r="N316" s="505"/>
      <c r="O316" s="505"/>
      <c r="P316" s="505"/>
      <c r="Q316" s="506"/>
      <c r="S316" s="404"/>
    </row>
    <row r="317" spans="1:19" s="138" customFormat="1" ht="11.25" hidden="1">
      <c r="A317" s="275"/>
      <c r="B317" s="502"/>
      <c r="C317" s="503"/>
      <c r="D317" s="504"/>
      <c r="E317" s="505"/>
      <c r="F317" s="505"/>
      <c r="G317" s="505"/>
      <c r="H317" s="505"/>
      <c r="I317" s="505"/>
      <c r="J317" s="505"/>
      <c r="K317" s="505"/>
      <c r="L317" s="505"/>
      <c r="M317" s="505"/>
      <c r="N317" s="505"/>
      <c r="O317" s="505"/>
      <c r="P317" s="505"/>
      <c r="Q317" s="506"/>
      <c r="S317" s="404"/>
    </row>
    <row r="318" spans="1:17" ht="15.75" customHeight="1">
      <c r="A318" s="798" t="s">
        <v>806</v>
      </c>
      <c r="B318" s="286" t="s">
        <v>223</v>
      </c>
      <c r="C318" s="791" t="s">
        <v>0</v>
      </c>
      <c r="D318" s="792"/>
      <c r="E318" s="792"/>
      <c r="F318" s="792"/>
      <c r="G318" s="792"/>
      <c r="H318" s="792"/>
      <c r="I318" s="792"/>
      <c r="J318" s="792"/>
      <c r="K318" s="792"/>
      <c r="L318" s="792"/>
      <c r="M318" s="792"/>
      <c r="N318" s="792"/>
      <c r="O318" s="792"/>
      <c r="P318" s="792"/>
      <c r="Q318" s="793"/>
    </row>
    <row r="319" spans="1:17" ht="12.75" customHeight="1">
      <c r="A319" s="799"/>
      <c r="B319" s="284" t="s">
        <v>224</v>
      </c>
      <c r="C319" s="791"/>
      <c r="D319" s="792"/>
      <c r="E319" s="792"/>
      <c r="F319" s="792"/>
      <c r="G319" s="792"/>
      <c r="H319" s="792"/>
      <c r="I319" s="792"/>
      <c r="J319" s="792"/>
      <c r="K319" s="792"/>
      <c r="L319" s="792"/>
      <c r="M319" s="792"/>
      <c r="N319" s="792"/>
      <c r="O319" s="792"/>
      <c r="P319" s="792"/>
      <c r="Q319" s="793"/>
    </row>
    <row r="320" spans="1:17" ht="12.75" customHeight="1">
      <c r="A320" s="799"/>
      <c r="B320" s="284" t="s">
        <v>225</v>
      </c>
      <c r="C320" s="791"/>
      <c r="D320" s="792"/>
      <c r="E320" s="792"/>
      <c r="F320" s="792"/>
      <c r="G320" s="792"/>
      <c r="H320" s="792"/>
      <c r="I320" s="792"/>
      <c r="J320" s="792"/>
      <c r="K320" s="792"/>
      <c r="L320" s="792"/>
      <c r="M320" s="792"/>
      <c r="N320" s="792"/>
      <c r="O320" s="792"/>
      <c r="P320" s="792"/>
      <c r="Q320" s="793"/>
    </row>
    <row r="321" spans="1:17" ht="12.75" customHeight="1">
      <c r="A321" s="799"/>
      <c r="B321" s="285" t="s">
        <v>226</v>
      </c>
      <c r="C321" s="794"/>
      <c r="D321" s="795"/>
      <c r="E321" s="795"/>
      <c r="F321" s="795"/>
      <c r="G321" s="795"/>
      <c r="H321" s="795"/>
      <c r="I321" s="795"/>
      <c r="J321" s="795"/>
      <c r="K321" s="795"/>
      <c r="L321" s="795"/>
      <c r="M321" s="795"/>
      <c r="N321" s="795"/>
      <c r="O321" s="795"/>
      <c r="P321" s="795"/>
      <c r="Q321" s="796"/>
    </row>
    <row r="322" spans="1:17" s="139" customFormat="1" ht="12.75">
      <c r="A322" s="799"/>
      <c r="B322" s="287" t="s">
        <v>227</v>
      </c>
      <c r="C322" s="34"/>
      <c r="D322" s="141" t="s">
        <v>448</v>
      </c>
      <c r="E322" s="140">
        <f>E338+E331</f>
        <v>9720</v>
      </c>
      <c r="F322" s="140">
        <f aca="true" t="shared" si="86" ref="F322:Q322">F338+F331</f>
        <v>9720</v>
      </c>
      <c r="G322" s="140">
        <f t="shared" si="86"/>
        <v>0</v>
      </c>
      <c r="H322" s="140">
        <f t="shared" si="86"/>
        <v>9720</v>
      </c>
      <c r="I322" s="140">
        <f t="shared" si="86"/>
        <v>9720</v>
      </c>
      <c r="J322" s="140">
        <f t="shared" si="86"/>
        <v>0</v>
      </c>
      <c r="K322" s="140">
        <f t="shared" si="86"/>
        <v>0</v>
      </c>
      <c r="L322" s="140">
        <f t="shared" si="86"/>
        <v>9720</v>
      </c>
      <c r="M322" s="140">
        <f t="shared" si="86"/>
        <v>0</v>
      </c>
      <c r="N322" s="140">
        <f t="shared" si="86"/>
        <v>0</v>
      </c>
      <c r="O322" s="140">
        <f t="shared" si="86"/>
        <v>0</v>
      </c>
      <c r="P322" s="140">
        <f t="shared" si="86"/>
        <v>0</v>
      </c>
      <c r="Q322" s="117">
        <f t="shared" si="86"/>
        <v>0</v>
      </c>
    </row>
    <row r="323" spans="1:17" s="139" customFormat="1" ht="12.75" hidden="1">
      <c r="A323" s="799"/>
      <c r="B323" s="134" t="s">
        <v>80</v>
      </c>
      <c r="C323" s="34"/>
      <c r="D323" s="141" t="s">
        <v>88</v>
      </c>
      <c r="E323" s="140"/>
      <c r="F323" s="140"/>
      <c r="G323" s="140"/>
      <c r="H323" s="140"/>
      <c r="I323" s="140"/>
      <c r="J323" s="140"/>
      <c r="K323" s="140"/>
      <c r="L323" s="140"/>
      <c r="M323" s="140"/>
      <c r="N323" s="140"/>
      <c r="O323" s="140"/>
      <c r="P323" s="140"/>
      <c r="Q323" s="117" t="e">
        <f>'[1]2'!G803</f>
        <v>#REF!</v>
      </c>
    </row>
    <row r="324" spans="1:17" s="139" customFormat="1" ht="22.5" hidden="1">
      <c r="A324" s="799"/>
      <c r="B324" s="134" t="s">
        <v>81</v>
      </c>
      <c r="C324" s="34"/>
      <c r="D324" s="141" t="s">
        <v>89</v>
      </c>
      <c r="E324" s="140"/>
      <c r="F324" s="140"/>
      <c r="G324" s="140"/>
      <c r="H324" s="140"/>
      <c r="I324" s="140"/>
      <c r="J324" s="140"/>
      <c r="K324" s="140"/>
      <c r="L324" s="140"/>
      <c r="M324" s="140"/>
      <c r="N324" s="140"/>
      <c r="O324" s="140"/>
      <c r="P324" s="140"/>
      <c r="Q324" s="117"/>
    </row>
    <row r="325" spans="1:17" s="139" customFormat="1" ht="12.75" hidden="1">
      <c r="A325" s="799"/>
      <c r="B325" s="134" t="s">
        <v>82</v>
      </c>
      <c r="C325" s="34"/>
      <c r="D325" s="141" t="s">
        <v>90</v>
      </c>
      <c r="E325" s="140"/>
      <c r="F325" s="140"/>
      <c r="G325" s="140"/>
      <c r="H325" s="140"/>
      <c r="I325" s="140"/>
      <c r="J325" s="140"/>
      <c r="K325" s="140"/>
      <c r="L325" s="140"/>
      <c r="M325" s="140"/>
      <c r="N325" s="140"/>
      <c r="O325" s="140"/>
      <c r="P325" s="140"/>
      <c r="Q325" s="117"/>
    </row>
    <row r="326" spans="1:17" s="139" customFormat="1" ht="22.5" hidden="1">
      <c r="A326" s="799"/>
      <c r="B326" s="134" t="s">
        <v>83</v>
      </c>
      <c r="C326" s="34"/>
      <c r="D326" s="141" t="s">
        <v>91</v>
      </c>
      <c r="E326" s="140"/>
      <c r="F326" s="140"/>
      <c r="G326" s="140"/>
      <c r="H326" s="140"/>
      <c r="I326" s="140"/>
      <c r="J326" s="140"/>
      <c r="K326" s="140"/>
      <c r="L326" s="140"/>
      <c r="M326" s="140"/>
      <c r="N326" s="140"/>
      <c r="O326" s="140"/>
      <c r="P326" s="140"/>
      <c r="Q326" s="117"/>
    </row>
    <row r="327" spans="1:17" s="139" customFormat="1" ht="22.5" hidden="1">
      <c r="A327" s="799"/>
      <c r="B327" s="134" t="s">
        <v>751</v>
      </c>
      <c r="C327" s="34"/>
      <c r="D327" s="141" t="s">
        <v>750</v>
      </c>
      <c r="E327" s="140"/>
      <c r="F327" s="140"/>
      <c r="G327" s="140"/>
      <c r="H327" s="140"/>
      <c r="I327" s="140"/>
      <c r="J327" s="140"/>
      <c r="K327" s="140"/>
      <c r="L327" s="140"/>
      <c r="M327" s="140"/>
      <c r="N327" s="140"/>
      <c r="O327" s="140"/>
      <c r="P327" s="140"/>
      <c r="Q327" s="117"/>
    </row>
    <row r="328" spans="1:17" s="139" customFormat="1" ht="33.75" hidden="1">
      <c r="A328" s="799"/>
      <c r="B328" s="134" t="s">
        <v>84</v>
      </c>
      <c r="C328" s="34"/>
      <c r="D328" s="141" t="s">
        <v>92</v>
      </c>
      <c r="E328" s="140"/>
      <c r="F328" s="140"/>
      <c r="G328" s="140"/>
      <c r="H328" s="140"/>
      <c r="I328" s="140"/>
      <c r="J328" s="140"/>
      <c r="K328" s="140"/>
      <c r="L328" s="140"/>
      <c r="M328" s="140"/>
      <c r="N328" s="140"/>
      <c r="O328" s="140"/>
      <c r="P328" s="140"/>
      <c r="Q328" s="117" t="e">
        <f>'[1]2'!L830</f>
        <v>#REF!</v>
      </c>
    </row>
    <row r="329" spans="1:17" s="139" customFormat="1" ht="12.75" hidden="1">
      <c r="A329" s="799"/>
      <c r="B329" s="287"/>
      <c r="C329" s="34"/>
      <c r="D329" s="141"/>
      <c r="E329" s="140"/>
      <c r="F329" s="137"/>
      <c r="G329" s="137"/>
      <c r="H329" s="133"/>
      <c r="I329" s="34"/>
      <c r="J329" s="137"/>
      <c r="K329" s="137"/>
      <c r="L329" s="137"/>
      <c r="M329" s="34"/>
      <c r="N329" s="137"/>
      <c r="O329" s="137"/>
      <c r="P329" s="137"/>
      <c r="Q329" s="137"/>
    </row>
    <row r="330" spans="1:17" s="138" customFormat="1" ht="12.75">
      <c r="A330" s="799"/>
      <c r="B330" s="134"/>
      <c r="C330" s="136"/>
      <c r="D330" s="136"/>
      <c r="E330" s="135"/>
      <c r="F330" s="135"/>
      <c r="G330" s="135"/>
      <c r="H330" s="135">
        <f>I330+M330</f>
        <v>0</v>
      </c>
      <c r="I330" s="135">
        <f>J330+K330+L330</f>
        <v>0</v>
      </c>
      <c r="J330" s="135"/>
      <c r="K330" s="135"/>
      <c r="L330" s="135"/>
      <c r="M330" s="140"/>
      <c r="N330" s="135"/>
      <c r="O330" s="135"/>
      <c r="P330" s="135"/>
      <c r="Q330" s="135"/>
    </row>
    <row r="331" spans="1:17" s="138" customFormat="1" ht="12.75">
      <c r="A331" s="799"/>
      <c r="B331" s="134">
        <v>2010</v>
      </c>
      <c r="C331" s="136"/>
      <c r="D331" s="136"/>
      <c r="E331" s="135">
        <f aca="true" t="shared" si="87" ref="E331:E338">F331+G331</f>
        <v>9720</v>
      </c>
      <c r="F331" s="135">
        <f>H331</f>
        <v>9720</v>
      </c>
      <c r="G331" s="140">
        <f aca="true" t="shared" si="88" ref="G331:L331">SUM(G332:G337)</f>
        <v>0</v>
      </c>
      <c r="H331" s="140">
        <f t="shared" si="88"/>
        <v>9720</v>
      </c>
      <c r="I331" s="140">
        <f t="shared" si="88"/>
        <v>9720</v>
      </c>
      <c r="J331" s="140">
        <f t="shared" si="88"/>
        <v>0</v>
      </c>
      <c r="K331" s="140">
        <f t="shared" si="88"/>
        <v>0</v>
      </c>
      <c r="L331" s="140">
        <f t="shared" si="88"/>
        <v>9720</v>
      </c>
      <c r="M331" s="140">
        <f>SUM(M332:M337)</f>
        <v>0</v>
      </c>
      <c r="N331" s="140">
        <f>SUM(N332:N337)</f>
        <v>0</v>
      </c>
      <c r="O331" s="140">
        <f>SUM(O332:O337)</f>
        <v>0</v>
      </c>
      <c r="P331" s="140">
        <f>SUM(P332:P337)</f>
        <v>0</v>
      </c>
      <c r="Q331" s="117"/>
    </row>
    <row r="332" spans="1:17" s="139" customFormat="1" ht="22.5">
      <c r="A332" s="799"/>
      <c r="B332" s="134" t="s">
        <v>791</v>
      </c>
      <c r="C332" s="34"/>
      <c r="D332" s="141">
        <v>4048</v>
      </c>
      <c r="E332" s="135">
        <f t="shared" si="87"/>
        <v>0</v>
      </c>
      <c r="F332" s="140"/>
      <c r="G332" s="140">
        <f aca="true" t="shared" si="89" ref="G332:G338">M332</f>
        <v>0</v>
      </c>
      <c r="H332" s="135">
        <f>I332+M332</f>
        <v>8270</v>
      </c>
      <c r="I332" s="135">
        <f>J332+K332+L332</f>
        <v>8270</v>
      </c>
      <c r="J332" s="140"/>
      <c r="K332" s="140"/>
      <c r="L332" s="140">
        <v>8270</v>
      </c>
      <c r="M332" s="140">
        <f aca="true" t="shared" si="90" ref="M332:M338">SUM(N332:Q332)</f>
        <v>0</v>
      </c>
      <c r="N332" s="140"/>
      <c r="O332" s="140"/>
      <c r="P332" s="140"/>
      <c r="Q332" s="117"/>
    </row>
    <row r="333" spans="1:17" s="139" customFormat="1" ht="12.75">
      <c r="A333" s="799"/>
      <c r="B333" s="134" t="s">
        <v>6</v>
      </c>
      <c r="C333" s="34"/>
      <c r="D333" s="141"/>
      <c r="E333" s="135">
        <f t="shared" si="87"/>
        <v>0</v>
      </c>
      <c r="F333" s="140"/>
      <c r="G333" s="140">
        <f t="shared" si="89"/>
        <v>0</v>
      </c>
      <c r="H333" s="135"/>
      <c r="I333" s="135"/>
      <c r="J333" s="140"/>
      <c r="K333" s="140"/>
      <c r="L333" s="140"/>
      <c r="M333" s="140">
        <f t="shared" si="90"/>
        <v>0</v>
      </c>
      <c r="N333" s="140"/>
      <c r="O333" s="140"/>
      <c r="P333" s="140"/>
      <c r="Q333" s="117"/>
    </row>
    <row r="334" spans="1:17" s="139" customFormat="1" ht="22.5">
      <c r="A334" s="799"/>
      <c r="B334" s="134" t="s">
        <v>81</v>
      </c>
      <c r="C334" s="34"/>
      <c r="D334" s="141">
        <v>4118</v>
      </c>
      <c r="E334" s="135">
        <f t="shared" si="87"/>
        <v>1250</v>
      </c>
      <c r="F334" s="140">
        <f>L334</f>
        <v>1250</v>
      </c>
      <c r="G334" s="140">
        <f t="shared" si="89"/>
        <v>0</v>
      </c>
      <c r="H334" s="135">
        <f>I334+M334</f>
        <v>1250</v>
      </c>
      <c r="I334" s="135">
        <f>J334+K334+L334</f>
        <v>1250</v>
      </c>
      <c r="J334" s="140"/>
      <c r="K334" s="140"/>
      <c r="L334" s="140">
        <v>1250</v>
      </c>
      <c r="M334" s="140">
        <f t="shared" si="90"/>
        <v>0</v>
      </c>
      <c r="N334" s="140"/>
      <c r="O334" s="140"/>
      <c r="P334" s="140"/>
      <c r="Q334" s="117"/>
    </row>
    <row r="335" spans="1:17" s="139" customFormat="1" ht="12.75">
      <c r="A335" s="799"/>
      <c r="B335" s="134" t="s">
        <v>82</v>
      </c>
      <c r="C335" s="34"/>
      <c r="D335" s="141">
        <v>4128</v>
      </c>
      <c r="E335" s="135">
        <f t="shared" si="87"/>
        <v>200</v>
      </c>
      <c r="F335" s="140">
        <f>L335</f>
        <v>200</v>
      </c>
      <c r="G335" s="140">
        <f t="shared" si="89"/>
        <v>0</v>
      </c>
      <c r="H335" s="135">
        <f>I335+M335</f>
        <v>200</v>
      </c>
      <c r="I335" s="135">
        <f>J335+K335+L335</f>
        <v>200</v>
      </c>
      <c r="J335" s="140"/>
      <c r="K335" s="140"/>
      <c r="L335" s="140">
        <v>200</v>
      </c>
      <c r="M335" s="140">
        <f t="shared" si="90"/>
        <v>0</v>
      </c>
      <c r="N335" s="140"/>
      <c r="O335" s="140"/>
      <c r="P335" s="140"/>
      <c r="Q335" s="117"/>
    </row>
    <row r="336" spans="1:17" s="139" customFormat="1" ht="12.75">
      <c r="A336" s="799"/>
      <c r="B336" s="134" t="s">
        <v>8</v>
      </c>
      <c r="C336" s="34"/>
      <c r="D336" s="141"/>
      <c r="E336" s="135">
        <f>F336+G336</f>
        <v>0</v>
      </c>
      <c r="F336" s="140">
        <f>H336</f>
        <v>0</v>
      </c>
      <c r="G336" s="140">
        <f>M336</f>
        <v>0</v>
      </c>
      <c r="H336" s="135">
        <f>I336+M336</f>
        <v>0</v>
      </c>
      <c r="I336" s="135">
        <f>J336+K336+L336</f>
        <v>0</v>
      </c>
      <c r="J336" s="140"/>
      <c r="K336" s="140"/>
      <c r="L336" s="140"/>
      <c r="M336" s="140"/>
      <c r="N336" s="140"/>
      <c r="O336" s="140"/>
      <c r="P336" s="140"/>
      <c r="Q336" s="117"/>
    </row>
    <row r="337" spans="1:17" s="139" customFormat="1" ht="12.75">
      <c r="A337" s="799"/>
      <c r="B337" s="134" t="s">
        <v>796</v>
      </c>
      <c r="C337" s="34"/>
      <c r="D337" s="141">
        <v>4308</v>
      </c>
      <c r="E337" s="135">
        <f t="shared" si="87"/>
        <v>0</v>
      </c>
      <c r="F337" s="140"/>
      <c r="G337" s="140">
        <f t="shared" si="89"/>
        <v>0</v>
      </c>
      <c r="H337" s="135"/>
      <c r="I337" s="135">
        <f>J337+K337+L337</f>
        <v>0</v>
      </c>
      <c r="J337" s="140"/>
      <c r="K337" s="140"/>
      <c r="L337" s="140"/>
      <c r="M337" s="140">
        <f t="shared" si="90"/>
        <v>0</v>
      </c>
      <c r="N337" s="140"/>
      <c r="O337" s="140"/>
      <c r="P337" s="140"/>
      <c r="Q337" s="117"/>
    </row>
    <row r="338" spans="1:19" s="138" customFormat="1" ht="11.25">
      <c r="A338" s="275"/>
      <c r="B338" s="134">
        <v>2009</v>
      </c>
      <c r="C338" s="136"/>
      <c r="D338" s="136"/>
      <c r="E338" s="135">
        <f t="shared" si="87"/>
        <v>0</v>
      </c>
      <c r="F338" s="135"/>
      <c r="G338" s="135">
        <f t="shared" si="89"/>
        <v>0</v>
      </c>
      <c r="H338" s="135"/>
      <c r="I338" s="135"/>
      <c r="J338" s="135"/>
      <c r="K338" s="135"/>
      <c r="L338" s="135"/>
      <c r="M338" s="135">
        <f t="shared" si="90"/>
        <v>0</v>
      </c>
      <c r="N338" s="135"/>
      <c r="O338" s="135"/>
      <c r="P338" s="135"/>
      <c r="Q338" s="135"/>
      <c r="S338" s="404"/>
    </row>
    <row r="339" spans="1:17" s="138" customFormat="1" ht="11.25" customHeight="1" hidden="1">
      <c r="A339" s="275" t="s">
        <v>514</v>
      </c>
      <c r="B339" s="286" t="s">
        <v>223</v>
      </c>
      <c r="C339" s="800" t="s">
        <v>825</v>
      </c>
      <c r="D339" s="801"/>
      <c r="E339" s="801"/>
      <c r="F339" s="801"/>
      <c r="G339" s="801"/>
      <c r="H339" s="801"/>
      <c r="I339" s="801"/>
      <c r="J339" s="801"/>
      <c r="K339" s="801"/>
      <c r="L339" s="801"/>
      <c r="M339" s="801"/>
      <c r="N339" s="801"/>
      <c r="O339" s="801"/>
      <c r="P339" s="801"/>
      <c r="Q339" s="802"/>
    </row>
    <row r="340" spans="1:17" s="138" customFormat="1" ht="11.25" customHeight="1" hidden="1">
      <c r="A340" s="275"/>
      <c r="B340" s="284" t="s">
        <v>224</v>
      </c>
      <c r="C340" s="803"/>
      <c r="D340" s="804"/>
      <c r="E340" s="804"/>
      <c r="F340" s="804"/>
      <c r="G340" s="804"/>
      <c r="H340" s="804"/>
      <c r="I340" s="804"/>
      <c r="J340" s="804"/>
      <c r="K340" s="804"/>
      <c r="L340" s="804"/>
      <c r="M340" s="804"/>
      <c r="N340" s="804"/>
      <c r="O340" s="804"/>
      <c r="P340" s="804"/>
      <c r="Q340" s="805"/>
    </row>
    <row r="341" spans="1:17" s="138" customFormat="1" ht="11.25" customHeight="1" hidden="1">
      <c r="A341" s="275"/>
      <c r="B341" s="284" t="s">
        <v>225</v>
      </c>
      <c r="C341" s="803"/>
      <c r="D341" s="804"/>
      <c r="E341" s="804"/>
      <c r="F341" s="804"/>
      <c r="G341" s="804"/>
      <c r="H341" s="804"/>
      <c r="I341" s="804"/>
      <c r="J341" s="804"/>
      <c r="K341" s="804"/>
      <c r="L341" s="804"/>
      <c r="M341" s="804"/>
      <c r="N341" s="804"/>
      <c r="O341" s="804"/>
      <c r="P341" s="804"/>
      <c r="Q341" s="805"/>
    </row>
    <row r="342" spans="1:17" s="138" customFormat="1" ht="11.25" customHeight="1" hidden="1">
      <c r="A342" s="275"/>
      <c r="B342" s="285" t="s">
        <v>226</v>
      </c>
      <c r="C342" s="806"/>
      <c r="D342" s="807"/>
      <c r="E342" s="807"/>
      <c r="F342" s="807"/>
      <c r="G342" s="807"/>
      <c r="H342" s="807"/>
      <c r="I342" s="807"/>
      <c r="J342" s="807"/>
      <c r="K342" s="807"/>
      <c r="L342" s="807"/>
      <c r="M342" s="807"/>
      <c r="N342" s="807"/>
      <c r="O342" s="807"/>
      <c r="P342" s="807"/>
      <c r="Q342" s="808"/>
    </row>
    <row r="343" spans="1:17" s="138" customFormat="1" ht="12.75" hidden="1">
      <c r="A343" s="275"/>
      <c r="B343" s="287" t="s">
        <v>227</v>
      </c>
      <c r="C343" s="34"/>
      <c r="D343" s="141" t="s">
        <v>832</v>
      </c>
      <c r="E343" s="117">
        <f>SUM(E344:E348)</f>
        <v>0</v>
      </c>
      <c r="F343" s="117">
        <f>SUM(F344:F348)</f>
        <v>0</v>
      </c>
      <c r="G343" s="117">
        <f>SUM(G344:G348)</f>
        <v>0</v>
      </c>
      <c r="H343" s="117">
        <f>SUM(H344:H348)</f>
        <v>0</v>
      </c>
      <c r="I343" s="117">
        <f>SUM(I344:I347)</f>
        <v>0</v>
      </c>
      <c r="J343" s="117">
        <f>SUM(J344:J347)</f>
        <v>0</v>
      </c>
      <c r="K343" s="117">
        <f>SUM(K344:K347)</f>
        <v>0</v>
      </c>
      <c r="L343" s="117">
        <f>SUM(L344:L347)</f>
        <v>0</v>
      </c>
      <c r="M343" s="117">
        <f>SUM(M344:M347)</f>
        <v>0</v>
      </c>
      <c r="N343" s="117">
        <f>N344+N346</f>
        <v>0</v>
      </c>
      <c r="O343" s="117">
        <f>O344+O346</f>
        <v>0</v>
      </c>
      <c r="P343" s="117">
        <f>P344+P346</f>
        <v>0</v>
      </c>
      <c r="Q343" s="117">
        <f>SUM(Q344:Q347)</f>
        <v>0</v>
      </c>
    </row>
    <row r="344" spans="1:17" s="138" customFormat="1" ht="22.5" hidden="1">
      <c r="A344" s="275"/>
      <c r="B344" s="79" t="s">
        <v>422</v>
      </c>
      <c r="C344" s="34"/>
      <c r="D344" s="270">
        <v>4218</v>
      </c>
      <c r="E344" s="140">
        <f>F344+G344</f>
        <v>0</v>
      </c>
      <c r="F344" s="140"/>
      <c r="G344" s="262">
        <f>Q344</f>
        <v>0</v>
      </c>
      <c r="H344" s="140">
        <f>I344+M344</f>
        <v>0</v>
      </c>
      <c r="I344" s="140">
        <f>SUM(J344:L344)</f>
        <v>0</v>
      </c>
      <c r="J344" s="140"/>
      <c r="K344" s="140"/>
      <c r="L344" s="140"/>
      <c r="M344" s="140">
        <f>SUM(N344:Q344)</f>
        <v>0</v>
      </c>
      <c r="N344" s="140"/>
      <c r="O344" s="140"/>
      <c r="P344" s="140"/>
      <c r="Q344" s="262"/>
    </row>
    <row r="345" spans="1:17" s="138" customFormat="1" ht="22.5" hidden="1">
      <c r="A345" s="275"/>
      <c r="B345" s="79" t="s">
        <v>422</v>
      </c>
      <c r="C345" s="34"/>
      <c r="D345" s="270">
        <v>4219</v>
      </c>
      <c r="E345" s="140">
        <f>F345+G345</f>
        <v>0</v>
      </c>
      <c r="F345" s="140">
        <f>L345</f>
        <v>0</v>
      </c>
      <c r="G345" s="262"/>
      <c r="H345" s="140">
        <f>I345+M345</f>
        <v>0</v>
      </c>
      <c r="I345" s="140">
        <f>SUM(J345:L345)</f>
        <v>0</v>
      </c>
      <c r="J345" s="140"/>
      <c r="K345" s="140"/>
      <c r="L345" s="140"/>
      <c r="M345" s="140">
        <f>SUM(N345:Q345)</f>
        <v>0</v>
      </c>
      <c r="N345" s="140"/>
      <c r="O345" s="140"/>
      <c r="P345" s="140"/>
      <c r="Q345" s="262"/>
    </row>
    <row r="346" spans="1:17" s="138" customFormat="1" ht="12.75" hidden="1">
      <c r="A346" s="275"/>
      <c r="B346" s="79" t="s">
        <v>405</v>
      </c>
      <c r="C346" s="34"/>
      <c r="D346" s="270">
        <v>4308</v>
      </c>
      <c r="E346" s="140">
        <f>F346+G346</f>
        <v>0</v>
      </c>
      <c r="F346" s="140"/>
      <c r="G346" s="262">
        <f>Q346</f>
        <v>0</v>
      </c>
      <c r="H346" s="140">
        <f>I346+M346</f>
        <v>0</v>
      </c>
      <c r="I346" s="140">
        <f>SUM(J346:L346)</f>
        <v>0</v>
      </c>
      <c r="J346" s="140"/>
      <c r="K346" s="140"/>
      <c r="L346" s="140"/>
      <c r="M346" s="140">
        <f>SUM(N346:Q346)</f>
        <v>0</v>
      </c>
      <c r="N346" s="140"/>
      <c r="O346" s="140"/>
      <c r="P346" s="140"/>
      <c r="Q346" s="262"/>
    </row>
    <row r="347" spans="1:17" s="138" customFormat="1" ht="12.75" hidden="1">
      <c r="A347" s="275"/>
      <c r="B347" s="79" t="s">
        <v>405</v>
      </c>
      <c r="C347" s="34"/>
      <c r="D347" s="270">
        <v>4309</v>
      </c>
      <c r="E347" s="140">
        <f>F347+G347</f>
        <v>0</v>
      </c>
      <c r="F347" s="140">
        <f>L347</f>
        <v>0</v>
      </c>
      <c r="G347" s="262"/>
      <c r="H347" s="140">
        <f>I347+M347</f>
        <v>0</v>
      </c>
      <c r="I347" s="140">
        <f>SUM(J347:L347)</f>
        <v>0</v>
      </c>
      <c r="J347" s="140"/>
      <c r="K347" s="140"/>
      <c r="L347" s="140"/>
      <c r="M347" s="140">
        <f>SUM(N347:Q347)</f>
        <v>0</v>
      </c>
      <c r="N347" s="140"/>
      <c r="O347" s="140"/>
      <c r="P347" s="140"/>
      <c r="Q347" s="262"/>
    </row>
    <row r="348" spans="1:19" s="138" customFormat="1" ht="11.25" hidden="1">
      <c r="A348" s="275"/>
      <c r="B348" s="134"/>
      <c r="C348" s="136"/>
      <c r="D348" s="136"/>
      <c r="E348" s="135"/>
      <c r="F348" s="135"/>
      <c r="G348" s="135"/>
      <c r="H348" s="135"/>
      <c r="I348" s="135"/>
      <c r="J348" s="135"/>
      <c r="K348" s="135"/>
      <c r="L348" s="135"/>
      <c r="M348" s="135"/>
      <c r="N348" s="135"/>
      <c r="O348" s="135"/>
      <c r="P348" s="135"/>
      <c r="Q348" s="135"/>
      <c r="S348" s="404"/>
    </row>
    <row r="349" spans="1:19" s="138" customFormat="1" ht="11.25" hidden="1">
      <c r="A349" s="275"/>
      <c r="B349" s="134"/>
      <c r="C349" s="682"/>
      <c r="D349" s="682"/>
      <c r="E349" s="683"/>
      <c r="F349" s="683"/>
      <c r="G349" s="683"/>
      <c r="H349" s="683"/>
      <c r="I349" s="683"/>
      <c r="J349" s="683"/>
      <c r="K349" s="683"/>
      <c r="L349" s="683"/>
      <c r="M349" s="683"/>
      <c r="N349" s="683"/>
      <c r="O349" s="683"/>
      <c r="P349" s="683"/>
      <c r="Q349" s="683"/>
      <c r="S349" s="404"/>
    </row>
    <row r="350" spans="1:17" s="138" customFormat="1" ht="11.25" customHeight="1">
      <c r="A350" s="275"/>
      <c r="B350" s="680" t="s">
        <v>224</v>
      </c>
      <c r="C350" s="503"/>
      <c r="D350" s="504"/>
      <c r="E350" s="505"/>
      <c r="F350" s="505"/>
      <c r="G350" s="505"/>
      <c r="H350" s="505"/>
      <c r="I350" s="505"/>
      <c r="J350" s="505"/>
      <c r="K350" s="505"/>
      <c r="L350" s="505"/>
      <c r="M350" s="505"/>
      <c r="N350" s="505"/>
      <c r="O350" s="505"/>
      <c r="P350" s="505"/>
      <c r="Q350" s="506"/>
    </row>
    <row r="351" spans="1:17" s="138" customFormat="1" ht="18">
      <c r="A351" s="275" t="s">
        <v>806</v>
      </c>
      <c r="B351" s="680" t="s">
        <v>225</v>
      </c>
      <c r="C351" s="695"/>
      <c r="D351" s="696"/>
      <c r="E351" s="404"/>
      <c r="F351" s="404"/>
      <c r="G351" s="404"/>
      <c r="H351" s="404"/>
      <c r="I351" s="404"/>
      <c r="J351" s="404"/>
      <c r="K351" s="404"/>
      <c r="L351" s="404"/>
      <c r="M351" s="404"/>
      <c r="N351" s="404"/>
      <c r="O351" s="404"/>
      <c r="P351" s="404"/>
      <c r="Q351" s="690"/>
    </row>
    <row r="352" spans="1:17" s="138" customFormat="1" ht="18">
      <c r="A352" s="275"/>
      <c r="B352" s="681" t="s">
        <v>226</v>
      </c>
      <c r="C352" s="698" t="s">
        <v>851</v>
      </c>
      <c r="D352" s="697"/>
      <c r="E352" s="693"/>
      <c r="F352" s="693"/>
      <c r="G352" s="693"/>
      <c r="H352" s="693"/>
      <c r="I352" s="693"/>
      <c r="J352" s="693"/>
      <c r="K352" s="693"/>
      <c r="L352" s="693"/>
      <c r="M352" s="693"/>
      <c r="N352" s="693"/>
      <c r="O352" s="693"/>
      <c r="P352" s="693"/>
      <c r="Q352" s="694"/>
    </row>
    <row r="353" spans="1:17" s="138" customFormat="1" ht="12.75">
      <c r="A353" s="275"/>
      <c r="B353" s="686" t="s">
        <v>227</v>
      </c>
      <c r="C353" s="34"/>
      <c r="D353" s="141" t="s">
        <v>808</v>
      </c>
      <c r="E353" s="127">
        <f>E374+E375</f>
        <v>49994</v>
      </c>
      <c r="F353" s="127">
        <f aca="true" t="shared" si="91" ref="F353:Q353">F374+F375</f>
        <v>7498</v>
      </c>
      <c r="G353" s="127">
        <f t="shared" si="91"/>
        <v>42496</v>
      </c>
      <c r="H353" s="127">
        <f t="shared" si="91"/>
        <v>49994</v>
      </c>
      <c r="I353" s="127">
        <f t="shared" si="91"/>
        <v>7498</v>
      </c>
      <c r="J353" s="127">
        <f t="shared" si="91"/>
        <v>0</v>
      </c>
      <c r="K353" s="127">
        <f t="shared" si="91"/>
        <v>0</v>
      </c>
      <c r="L353" s="127">
        <f t="shared" si="91"/>
        <v>7498</v>
      </c>
      <c r="M353" s="127">
        <f t="shared" si="91"/>
        <v>42496</v>
      </c>
      <c r="N353" s="127">
        <f t="shared" si="91"/>
        <v>0</v>
      </c>
      <c r="O353" s="127">
        <f t="shared" si="91"/>
        <v>0</v>
      </c>
      <c r="P353" s="127">
        <f t="shared" si="91"/>
        <v>0</v>
      </c>
      <c r="Q353" s="718">
        <f t="shared" si="91"/>
        <v>42496</v>
      </c>
    </row>
    <row r="354" spans="1:17" s="138" customFormat="1" ht="22.5">
      <c r="A354" s="275"/>
      <c r="B354" s="79" t="s">
        <v>556</v>
      </c>
      <c r="C354" s="684"/>
      <c r="D354" s="687">
        <v>4117</v>
      </c>
      <c r="E354" s="140">
        <f aca="true" t="shared" si="92" ref="E354:E374">F354+G354</f>
        <v>1716</v>
      </c>
      <c r="F354" s="140"/>
      <c r="G354" s="685">
        <f>Q354</f>
        <v>1716</v>
      </c>
      <c r="H354" s="140">
        <f aca="true" t="shared" si="93" ref="H354:H374">I354+M354</f>
        <v>1716</v>
      </c>
      <c r="I354" s="140">
        <f aca="true" t="shared" si="94" ref="I354:I374">SUM(J354:L354)</f>
        <v>0</v>
      </c>
      <c r="J354" s="140"/>
      <c r="K354" s="140"/>
      <c r="L354" s="140"/>
      <c r="M354" s="140">
        <f aca="true" t="shared" si="95" ref="M354:M373">SUM(N354:Q354)</f>
        <v>1716</v>
      </c>
      <c r="N354" s="140"/>
      <c r="O354" s="140"/>
      <c r="P354" s="140"/>
      <c r="Q354" s="688">
        <v>1716</v>
      </c>
    </row>
    <row r="355" spans="1:17" s="138" customFormat="1" ht="22.5">
      <c r="A355" s="275"/>
      <c r="B355" s="79" t="s">
        <v>556</v>
      </c>
      <c r="C355" s="34"/>
      <c r="D355" s="270">
        <v>4119</v>
      </c>
      <c r="E355" s="140">
        <f t="shared" si="92"/>
        <v>303</v>
      </c>
      <c r="F355" s="140">
        <f>L355</f>
        <v>303</v>
      </c>
      <c r="G355" s="262"/>
      <c r="H355" s="140">
        <f t="shared" si="93"/>
        <v>303</v>
      </c>
      <c r="I355" s="140">
        <f t="shared" si="94"/>
        <v>303</v>
      </c>
      <c r="J355" s="140"/>
      <c r="K355" s="140"/>
      <c r="L355" s="593">
        <v>303</v>
      </c>
      <c r="M355" s="140">
        <f t="shared" si="95"/>
        <v>0</v>
      </c>
      <c r="N355" s="140"/>
      <c r="O355" s="140"/>
      <c r="P355" s="140"/>
      <c r="Q355" s="262"/>
    </row>
    <row r="356" spans="1:17" s="138" customFormat="1" ht="12.75">
      <c r="A356" s="275"/>
      <c r="B356" s="79" t="s">
        <v>558</v>
      </c>
      <c r="C356" s="34"/>
      <c r="D356" s="270">
        <v>4127</v>
      </c>
      <c r="E356" s="140">
        <f t="shared" si="92"/>
        <v>211</v>
      </c>
      <c r="F356" s="140"/>
      <c r="G356" s="262">
        <f>Q356</f>
        <v>211</v>
      </c>
      <c r="H356" s="140">
        <f t="shared" si="93"/>
        <v>211</v>
      </c>
      <c r="I356" s="140">
        <f t="shared" si="94"/>
        <v>0</v>
      </c>
      <c r="J356" s="140"/>
      <c r="K356" s="140"/>
      <c r="L356" s="140"/>
      <c r="M356" s="140">
        <f t="shared" si="95"/>
        <v>211</v>
      </c>
      <c r="N356" s="140"/>
      <c r="O356" s="140"/>
      <c r="P356" s="140"/>
      <c r="Q356" s="593">
        <v>211</v>
      </c>
    </row>
    <row r="357" spans="1:17" s="138" customFormat="1" ht="12.75">
      <c r="A357" s="275"/>
      <c r="B357" s="79" t="s">
        <v>558</v>
      </c>
      <c r="C357" s="34"/>
      <c r="D357" s="270">
        <v>4129</v>
      </c>
      <c r="E357" s="140">
        <f t="shared" si="92"/>
        <v>37</v>
      </c>
      <c r="F357" s="140">
        <f>L357</f>
        <v>37</v>
      </c>
      <c r="G357" s="262"/>
      <c r="H357" s="140">
        <f t="shared" si="93"/>
        <v>37</v>
      </c>
      <c r="I357" s="140">
        <f t="shared" si="94"/>
        <v>37</v>
      </c>
      <c r="J357" s="140"/>
      <c r="K357" s="140"/>
      <c r="L357" s="593">
        <v>37</v>
      </c>
      <c r="M357" s="140">
        <f t="shared" si="95"/>
        <v>0</v>
      </c>
      <c r="N357" s="140"/>
      <c r="O357" s="140"/>
      <c r="P357" s="140"/>
      <c r="Q357" s="262"/>
    </row>
    <row r="358" spans="1:17" s="138" customFormat="1" ht="22.5">
      <c r="A358" s="275"/>
      <c r="B358" s="79" t="s">
        <v>2</v>
      </c>
      <c r="C358" s="34"/>
      <c r="D358" s="270">
        <v>4017</v>
      </c>
      <c r="E358" s="140">
        <f t="shared" si="92"/>
        <v>7168</v>
      </c>
      <c r="F358" s="140"/>
      <c r="G358" s="262">
        <f>M358</f>
        <v>7168</v>
      </c>
      <c r="H358" s="140">
        <f t="shared" si="93"/>
        <v>7168</v>
      </c>
      <c r="I358" s="140">
        <f t="shared" si="94"/>
        <v>0</v>
      </c>
      <c r="J358" s="140"/>
      <c r="K358" s="140"/>
      <c r="L358" s="140"/>
      <c r="M358" s="140">
        <f t="shared" si="95"/>
        <v>7168</v>
      </c>
      <c r="N358" s="140"/>
      <c r="O358" s="140"/>
      <c r="P358" s="140"/>
      <c r="Q358" s="593">
        <v>7168</v>
      </c>
    </row>
    <row r="359" spans="1:17" s="138" customFormat="1" ht="22.5">
      <c r="A359" s="275"/>
      <c r="B359" s="79" t="s">
        <v>2</v>
      </c>
      <c r="C359" s="34"/>
      <c r="D359" s="270">
        <v>4019</v>
      </c>
      <c r="E359" s="140">
        <f t="shared" si="92"/>
        <v>1265</v>
      </c>
      <c r="F359" s="140">
        <f>I359</f>
        <v>1265</v>
      </c>
      <c r="G359" s="262"/>
      <c r="H359" s="140">
        <f t="shared" si="93"/>
        <v>1265</v>
      </c>
      <c r="I359" s="140">
        <f t="shared" si="94"/>
        <v>1265</v>
      </c>
      <c r="J359" s="140"/>
      <c r="K359" s="140"/>
      <c r="L359" s="593">
        <v>1265</v>
      </c>
      <c r="M359" s="140">
        <f t="shared" si="95"/>
        <v>0</v>
      </c>
      <c r="N359" s="140"/>
      <c r="O359" s="140"/>
      <c r="P359" s="140"/>
      <c r="Q359" s="262"/>
    </row>
    <row r="360" spans="1:17" s="138" customFormat="1" ht="22.5">
      <c r="A360" s="275"/>
      <c r="B360" s="79" t="s">
        <v>518</v>
      </c>
      <c r="C360" s="34"/>
      <c r="D360" s="270">
        <v>4177</v>
      </c>
      <c r="E360" s="140">
        <f t="shared" si="92"/>
        <v>27166</v>
      </c>
      <c r="F360" s="140"/>
      <c r="G360" s="262">
        <f>M360</f>
        <v>27166</v>
      </c>
      <c r="H360" s="140">
        <f t="shared" si="93"/>
        <v>27166</v>
      </c>
      <c r="I360" s="140">
        <f t="shared" si="94"/>
        <v>0</v>
      </c>
      <c r="J360" s="140"/>
      <c r="K360" s="140"/>
      <c r="L360" s="140"/>
      <c r="M360" s="140">
        <f t="shared" si="95"/>
        <v>27166</v>
      </c>
      <c r="N360" s="140"/>
      <c r="O360" s="140"/>
      <c r="P360" s="140"/>
      <c r="Q360" s="593">
        <v>27166</v>
      </c>
    </row>
    <row r="361" spans="1:17" s="138" customFormat="1" ht="22.5">
      <c r="A361" s="275"/>
      <c r="B361" s="79" t="s">
        <v>518</v>
      </c>
      <c r="C361" s="34"/>
      <c r="D361" s="270">
        <v>4179</v>
      </c>
      <c r="E361" s="140">
        <f t="shared" si="92"/>
        <v>4794</v>
      </c>
      <c r="F361" s="140">
        <f>I361</f>
        <v>4794</v>
      </c>
      <c r="G361" s="262"/>
      <c r="H361" s="140">
        <f t="shared" si="93"/>
        <v>4794</v>
      </c>
      <c r="I361" s="140">
        <f t="shared" si="94"/>
        <v>4794</v>
      </c>
      <c r="J361" s="140"/>
      <c r="K361" s="140"/>
      <c r="L361" s="593">
        <v>4794</v>
      </c>
      <c r="M361" s="140">
        <f t="shared" si="95"/>
        <v>0</v>
      </c>
      <c r="N361" s="140"/>
      <c r="O361" s="140"/>
      <c r="P361" s="140"/>
      <c r="Q361" s="262"/>
    </row>
    <row r="362" spans="1:17" s="138" customFormat="1" ht="22.5">
      <c r="A362" s="275"/>
      <c r="B362" s="79" t="s">
        <v>422</v>
      </c>
      <c r="C362" s="34"/>
      <c r="D362" s="270">
        <v>4217</v>
      </c>
      <c r="E362" s="140">
        <f t="shared" si="92"/>
        <v>4955</v>
      </c>
      <c r="F362" s="140"/>
      <c r="G362" s="262">
        <f>M362</f>
        <v>4955</v>
      </c>
      <c r="H362" s="140">
        <f t="shared" si="93"/>
        <v>4955</v>
      </c>
      <c r="I362" s="140">
        <f t="shared" si="94"/>
        <v>0</v>
      </c>
      <c r="J362" s="140"/>
      <c r="K362" s="140"/>
      <c r="L362" s="140"/>
      <c r="M362" s="140">
        <f t="shared" si="95"/>
        <v>4955</v>
      </c>
      <c r="N362" s="140"/>
      <c r="O362" s="140"/>
      <c r="P362" s="140"/>
      <c r="Q362" s="593">
        <v>4955</v>
      </c>
    </row>
    <row r="363" spans="1:17" s="138" customFormat="1" ht="22.5">
      <c r="A363" s="275"/>
      <c r="B363" s="79" t="s">
        <v>422</v>
      </c>
      <c r="C363" s="34"/>
      <c r="D363" s="270">
        <v>4219</v>
      </c>
      <c r="E363" s="140">
        <f t="shared" si="92"/>
        <v>874</v>
      </c>
      <c r="F363" s="140">
        <f>H363</f>
        <v>874</v>
      </c>
      <c r="G363" s="262"/>
      <c r="H363" s="140">
        <f t="shared" si="93"/>
        <v>874</v>
      </c>
      <c r="I363" s="140">
        <f t="shared" si="94"/>
        <v>874</v>
      </c>
      <c r="J363" s="140"/>
      <c r="K363" s="140"/>
      <c r="L363" s="593">
        <v>874</v>
      </c>
      <c r="M363" s="140">
        <f t="shared" si="95"/>
        <v>0</v>
      </c>
      <c r="N363" s="140"/>
      <c r="O363" s="140"/>
      <c r="P363" s="140"/>
      <c r="Q363" s="262"/>
    </row>
    <row r="364" spans="1:17" s="138" customFormat="1" ht="33.75">
      <c r="A364" s="275"/>
      <c r="B364" s="405" t="s">
        <v>561</v>
      </c>
      <c r="C364" s="34"/>
      <c r="D364" s="270">
        <v>4757</v>
      </c>
      <c r="E364" s="140">
        <f t="shared" si="92"/>
        <v>0</v>
      </c>
      <c r="F364" s="140"/>
      <c r="G364" s="262">
        <f>M364</f>
        <v>0</v>
      </c>
      <c r="H364" s="140">
        <f t="shared" si="93"/>
        <v>0</v>
      </c>
      <c r="I364" s="140">
        <f t="shared" si="94"/>
        <v>0</v>
      </c>
      <c r="J364" s="140"/>
      <c r="K364" s="140"/>
      <c r="L364" s="140"/>
      <c r="M364" s="140">
        <f t="shared" si="95"/>
        <v>0</v>
      </c>
      <c r="N364" s="140"/>
      <c r="O364" s="140"/>
      <c r="P364" s="140"/>
      <c r="Q364" s="262"/>
    </row>
    <row r="365" spans="1:17" s="138" customFormat="1" ht="33.75">
      <c r="A365" s="275"/>
      <c r="B365" s="405" t="s">
        <v>561</v>
      </c>
      <c r="C365" s="34"/>
      <c r="D365" s="270">
        <v>4759</v>
      </c>
      <c r="E365" s="140">
        <f t="shared" si="92"/>
        <v>0</v>
      </c>
      <c r="F365" s="140">
        <f>H365</f>
        <v>0</v>
      </c>
      <c r="G365" s="262"/>
      <c r="H365" s="140">
        <f t="shared" si="93"/>
        <v>0</v>
      </c>
      <c r="I365" s="140">
        <f t="shared" si="94"/>
        <v>0</v>
      </c>
      <c r="J365" s="140"/>
      <c r="K365" s="140"/>
      <c r="L365" s="140"/>
      <c r="M365" s="140">
        <f t="shared" si="95"/>
        <v>0</v>
      </c>
      <c r="N365" s="140"/>
      <c r="O365" s="140"/>
      <c r="P365" s="140"/>
      <c r="Q365" s="262"/>
    </row>
    <row r="366" spans="1:17" s="138" customFormat="1" ht="12.75">
      <c r="A366" s="275"/>
      <c r="B366" s="79" t="s">
        <v>405</v>
      </c>
      <c r="C366" s="34"/>
      <c r="D366" s="270">
        <v>4307</v>
      </c>
      <c r="E366" s="140">
        <f t="shared" si="92"/>
        <v>897</v>
      </c>
      <c r="F366" s="140"/>
      <c r="G366" s="262">
        <f>M366</f>
        <v>897</v>
      </c>
      <c r="H366" s="140">
        <f t="shared" si="93"/>
        <v>897</v>
      </c>
      <c r="I366" s="140">
        <f t="shared" si="94"/>
        <v>0</v>
      </c>
      <c r="J366" s="140"/>
      <c r="K366" s="140"/>
      <c r="L366" s="140"/>
      <c r="M366" s="140">
        <f t="shared" si="95"/>
        <v>897</v>
      </c>
      <c r="N366" s="140"/>
      <c r="O366" s="140"/>
      <c r="P366" s="140"/>
      <c r="Q366" s="593">
        <v>897</v>
      </c>
    </row>
    <row r="367" spans="1:17" s="138" customFormat="1" ht="12.75">
      <c r="A367" s="275"/>
      <c r="B367" s="79" t="s">
        <v>405</v>
      </c>
      <c r="C367" s="34"/>
      <c r="D367" s="270">
        <v>4309</v>
      </c>
      <c r="E367" s="140">
        <f t="shared" si="92"/>
        <v>158</v>
      </c>
      <c r="F367" s="140">
        <f>H367</f>
        <v>158</v>
      </c>
      <c r="G367" s="262"/>
      <c r="H367" s="140">
        <f t="shared" si="93"/>
        <v>158</v>
      </c>
      <c r="I367" s="140">
        <f t="shared" si="94"/>
        <v>158</v>
      </c>
      <c r="J367" s="140"/>
      <c r="K367" s="140"/>
      <c r="L367" s="593">
        <v>158</v>
      </c>
      <c r="M367" s="140">
        <f t="shared" si="95"/>
        <v>0</v>
      </c>
      <c r="N367" s="140"/>
      <c r="O367" s="140"/>
      <c r="P367" s="140"/>
      <c r="Q367" s="262"/>
    </row>
    <row r="368" spans="1:17" s="138" customFormat="1" ht="33.75">
      <c r="A368" s="275"/>
      <c r="B368" s="79" t="s">
        <v>567</v>
      </c>
      <c r="C368" s="34"/>
      <c r="D368" s="270">
        <v>4367</v>
      </c>
      <c r="E368" s="140">
        <f t="shared" si="92"/>
        <v>170</v>
      </c>
      <c r="F368" s="140"/>
      <c r="G368" s="262">
        <f>M368</f>
        <v>170</v>
      </c>
      <c r="H368" s="140">
        <f t="shared" si="93"/>
        <v>170</v>
      </c>
      <c r="I368" s="140">
        <f t="shared" si="94"/>
        <v>0</v>
      </c>
      <c r="J368" s="140"/>
      <c r="K368" s="140"/>
      <c r="L368" s="140"/>
      <c r="M368" s="140">
        <f t="shared" si="95"/>
        <v>170</v>
      </c>
      <c r="N368" s="140"/>
      <c r="O368" s="140"/>
      <c r="P368" s="140"/>
      <c r="Q368" s="593">
        <v>170</v>
      </c>
    </row>
    <row r="369" spans="1:17" s="138" customFormat="1" ht="33.75">
      <c r="A369" s="275"/>
      <c r="B369" s="79" t="s">
        <v>567</v>
      </c>
      <c r="C369" s="34"/>
      <c r="D369" s="270">
        <v>4369</v>
      </c>
      <c r="E369" s="140">
        <f t="shared" si="92"/>
        <v>30</v>
      </c>
      <c r="F369" s="140">
        <f>H369</f>
        <v>30</v>
      </c>
      <c r="G369" s="262"/>
      <c r="H369" s="140">
        <f t="shared" si="93"/>
        <v>30</v>
      </c>
      <c r="I369" s="140">
        <f t="shared" si="94"/>
        <v>30</v>
      </c>
      <c r="J369" s="140"/>
      <c r="K369" s="140"/>
      <c r="L369" s="593">
        <v>30</v>
      </c>
      <c r="M369" s="140">
        <f t="shared" si="95"/>
        <v>0</v>
      </c>
      <c r="N369" s="140"/>
      <c r="O369" s="140"/>
      <c r="P369" s="140"/>
      <c r="Q369" s="262"/>
    </row>
    <row r="370" spans="1:17" s="138" customFormat="1" ht="45">
      <c r="A370" s="275"/>
      <c r="B370" s="79" t="s">
        <v>521</v>
      </c>
      <c r="C370" s="34"/>
      <c r="D370" s="270">
        <v>4747</v>
      </c>
      <c r="E370" s="140">
        <f t="shared" si="92"/>
        <v>213</v>
      </c>
      <c r="F370" s="140"/>
      <c r="G370" s="262">
        <f>M370</f>
        <v>213</v>
      </c>
      <c r="H370" s="140">
        <f t="shared" si="93"/>
        <v>213</v>
      </c>
      <c r="I370" s="140">
        <f t="shared" si="94"/>
        <v>0</v>
      </c>
      <c r="J370" s="140"/>
      <c r="K370" s="140"/>
      <c r="L370" s="140"/>
      <c r="M370" s="140">
        <f t="shared" si="95"/>
        <v>213</v>
      </c>
      <c r="N370" s="140"/>
      <c r="O370" s="140"/>
      <c r="P370" s="140"/>
      <c r="Q370" s="262">
        <v>213</v>
      </c>
    </row>
    <row r="371" spans="1:17" s="138" customFormat="1" ht="45">
      <c r="A371" s="275"/>
      <c r="B371" s="79" t="s">
        <v>521</v>
      </c>
      <c r="C371" s="34"/>
      <c r="D371" s="270">
        <v>4749</v>
      </c>
      <c r="E371" s="140">
        <f t="shared" si="92"/>
        <v>37</v>
      </c>
      <c r="F371" s="140">
        <f>H371</f>
        <v>37</v>
      </c>
      <c r="G371" s="262"/>
      <c r="H371" s="140">
        <f t="shared" si="93"/>
        <v>37</v>
      </c>
      <c r="I371" s="140">
        <f t="shared" si="94"/>
        <v>37</v>
      </c>
      <c r="J371" s="140"/>
      <c r="K371" s="140"/>
      <c r="L371" s="140">
        <v>37</v>
      </c>
      <c r="M371" s="140">
        <f t="shared" si="95"/>
        <v>0</v>
      </c>
      <c r="N371" s="140"/>
      <c r="O371" s="140"/>
      <c r="P371" s="140"/>
      <c r="Q371" s="262"/>
    </row>
    <row r="372" spans="1:17" s="138" customFormat="1" ht="22.5">
      <c r="A372" s="275"/>
      <c r="B372" s="422" t="s">
        <v>430</v>
      </c>
      <c r="C372" s="34"/>
      <c r="D372" s="270">
        <v>4417</v>
      </c>
      <c r="E372" s="140">
        <f t="shared" si="92"/>
        <v>0</v>
      </c>
      <c r="F372" s="140"/>
      <c r="G372" s="262">
        <f>M372</f>
        <v>0</v>
      </c>
      <c r="H372" s="140">
        <f t="shared" si="93"/>
        <v>0</v>
      </c>
      <c r="I372" s="140">
        <f t="shared" si="94"/>
        <v>0</v>
      </c>
      <c r="J372" s="140"/>
      <c r="K372" s="140"/>
      <c r="L372" s="140"/>
      <c r="M372" s="140">
        <f t="shared" si="95"/>
        <v>0</v>
      </c>
      <c r="N372" s="140"/>
      <c r="O372" s="140"/>
      <c r="P372" s="140"/>
      <c r="Q372" s="593"/>
    </row>
    <row r="373" spans="1:17" s="138" customFormat="1" ht="22.5">
      <c r="A373" s="275"/>
      <c r="B373" s="422" t="s">
        <v>430</v>
      </c>
      <c r="C373" s="34"/>
      <c r="D373" s="270">
        <v>4419</v>
      </c>
      <c r="E373" s="140">
        <f t="shared" si="92"/>
        <v>0</v>
      </c>
      <c r="F373" s="140">
        <f>H373</f>
        <v>0</v>
      </c>
      <c r="G373" s="262"/>
      <c r="H373" s="140">
        <f t="shared" si="93"/>
        <v>0</v>
      </c>
      <c r="I373" s="140">
        <f t="shared" si="94"/>
        <v>0</v>
      </c>
      <c r="J373" s="140"/>
      <c r="K373" s="140"/>
      <c r="L373" s="593"/>
      <c r="M373" s="140">
        <f t="shared" si="95"/>
        <v>0</v>
      </c>
      <c r="N373" s="140"/>
      <c r="O373" s="140"/>
      <c r="P373" s="140"/>
      <c r="Q373" s="262"/>
    </row>
    <row r="374" spans="1:19" s="139" customFormat="1" ht="11.25">
      <c r="A374" s="595"/>
      <c r="B374" s="287">
        <v>2010</v>
      </c>
      <c r="C374" s="596"/>
      <c r="D374" s="596"/>
      <c r="E374" s="137">
        <f t="shared" si="92"/>
        <v>49994</v>
      </c>
      <c r="F374" s="137">
        <f>SUM(F354:F373)</f>
        <v>7498</v>
      </c>
      <c r="G374" s="137">
        <f>SUM(G354:G373)</f>
        <v>42496</v>
      </c>
      <c r="H374" s="137">
        <f t="shared" si="93"/>
        <v>49994</v>
      </c>
      <c r="I374" s="137">
        <f t="shared" si="94"/>
        <v>7498</v>
      </c>
      <c r="J374" s="137">
        <f>SUM(J354:J373)</f>
        <v>0</v>
      </c>
      <c r="K374" s="137">
        <f>SUM(K354:K373)</f>
        <v>0</v>
      </c>
      <c r="L374" s="137">
        <f>SUM(L354:L373)</f>
        <v>7498</v>
      </c>
      <c r="M374" s="137">
        <f>N374+O374+P374+Q374</f>
        <v>42496</v>
      </c>
      <c r="N374" s="137">
        <f>SUM(N354:N373)</f>
        <v>0</v>
      </c>
      <c r="O374" s="137">
        <f>SUM(O354:O373)</f>
        <v>0</v>
      </c>
      <c r="P374" s="137">
        <f>SUM(P354:P373)</f>
        <v>0</v>
      </c>
      <c r="Q374" s="137">
        <f>SUM(Q354:Q373)</f>
        <v>42496</v>
      </c>
      <c r="S374" s="597"/>
    </row>
    <row r="375" spans="1:17" s="138" customFormat="1" ht="11.25">
      <c r="A375" s="275"/>
      <c r="B375" s="134"/>
      <c r="C375" s="136"/>
      <c r="D375" s="136"/>
      <c r="E375" s="135"/>
      <c r="F375" s="135"/>
      <c r="G375" s="133"/>
      <c r="H375" s="135"/>
      <c r="I375" s="135"/>
      <c r="J375" s="136"/>
      <c r="K375" s="136"/>
      <c r="L375" s="250"/>
      <c r="M375" s="135"/>
      <c r="N375" s="136"/>
      <c r="O375" s="136"/>
      <c r="P375" s="136"/>
      <c r="Q375" s="136"/>
    </row>
    <row r="376" spans="1:17" s="138" customFormat="1" ht="15.75">
      <c r="A376" s="275" t="s">
        <v>824</v>
      </c>
      <c r="B376" s="701"/>
      <c r="C376" s="703" t="s">
        <v>855</v>
      </c>
      <c r="D376" s="504"/>
      <c r="E376" s="505"/>
      <c r="F376" s="505"/>
      <c r="G376" s="505"/>
      <c r="H376" s="505"/>
      <c r="I376" s="505"/>
      <c r="J376" s="505"/>
      <c r="K376" s="505"/>
      <c r="L376" s="505"/>
      <c r="M376" s="505"/>
      <c r="N376" s="505"/>
      <c r="O376" s="505"/>
      <c r="P376" s="505"/>
      <c r="Q376" s="506"/>
    </row>
    <row r="377" spans="1:17" s="138" customFormat="1" ht="15">
      <c r="A377" s="275"/>
      <c r="B377" s="699"/>
      <c r="C377" s="704" t="s">
        <v>856</v>
      </c>
      <c r="D377" s="427"/>
      <c r="E377" s="404"/>
      <c r="F377" s="404"/>
      <c r="G377" s="404"/>
      <c r="H377" s="404"/>
      <c r="I377" s="404"/>
      <c r="J377" s="404"/>
      <c r="K377" s="404"/>
      <c r="L377" s="404"/>
      <c r="M377" s="404"/>
      <c r="N377" s="404"/>
      <c r="O377" s="404"/>
      <c r="P377" s="404"/>
      <c r="Q377" s="690"/>
    </row>
    <row r="378" spans="1:17" s="138" customFormat="1" ht="15">
      <c r="A378" s="275"/>
      <c r="B378" s="702"/>
      <c r="C378" s="705" t="s">
        <v>857</v>
      </c>
      <c r="D378" s="692"/>
      <c r="E378" s="693"/>
      <c r="F378" s="693"/>
      <c r="G378" s="693"/>
      <c r="H378" s="693"/>
      <c r="I378" s="693"/>
      <c r="J378" s="693"/>
      <c r="K378" s="693"/>
      <c r="L378" s="693"/>
      <c r="M378" s="693"/>
      <c r="N378" s="693"/>
      <c r="O378" s="693"/>
      <c r="P378" s="693"/>
      <c r="Q378" s="694"/>
    </row>
    <row r="379" spans="1:17" s="138" customFormat="1" ht="18">
      <c r="A379" s="275"/>
      <c r="B379" s="681" t="s">
        <v>226</v>
      </c>
      <c r="C379" s="698" t="s">
        <v>852</v>
      </c>
      <c r="D379" s="697"/>
      <c r="E379" s="693"/>
      <c r="F379" s="693"/>
      <c r="G379" s="693"/>
      <c r="H379" s="693"/>
      <c r="I379" s="693"/>
      <c r="J379" s="693"/>
      <c r="K379" s="693"/>
      <c r="L379" s="693"/>
      <c r="M379" s="693"/>
      <c r="N379" s="693"/>
      <c r="O379" s="693"/>
      <c r="P379" s="693"/>
      <c r="Q379" s="694"/>
    </row>
    <row r="380" spans="1:17" s="138" customFormat="1" ht="12.75">
      <c r="A380" s="275"/>
      <c r="B380" s="686" t="s">
        <v>227</v>
      </c>
      <c r="C380" s="133"/>
      <c r="D380" s="141" t="s">
        <v>808</v>
      </c>
      <c r="E380" s="127">
        <f>E410+E411</f>
        <v>175766</v>
      </c>
      <c r="F380" s="127">
        <f aca="true" t="shared" si="96" ref="F380:Q380">F410+F411</f>
        <v>30661</v>
      </c>
      <c r="G380" s="127">
        <f t="shared" si="96"/>
        <v>145105</v>
      </c>
      <c r="H380" s="127">
        <f t="shared" si="96"/>
        <v>175766</v>
      </c>
      <c r="I380" s="127">
        <f t="shared" si="96"/>
        <v>26364</v>
      </c>
      <c r="J380" s="127">
        <f t="shared" si="96"/>
        <v>0</v>
      </c>
      <c r="K380" s="127">
        <f t="shared" si="96"/>
        <v>0</v>
      </c>
      <c r="L380" s="127">
        <f t="shared" si="96"/>
        <v>26364</v>
      </c>
      <c r="M380" s="127">
        <f t="shared" si="96"/>
        <v>149402</v>
      </c>
      <c r="N380" s="127">
        <f t="shared" si="96"/>
        <v>0</v>
      </c>
      <c r="O380" s="127">
        <f t="shared" si="96"/>
        <v>0</v>
      </c>
      <c r="P380" s="127">
        <f t="shared" si="96"/>
        <v>0</v>
      </c>
      <c r="Q380" s="718">
        <f t="shared" si="96"/>
        <v>149402</v>
      </c>
    </row>
    <row r="381" spans="1:17" s="138" customFormat="1" ht="22.5">
      <c r="A381" s="275"/>
      <c r="B381" s="79" t="s">
        <v>556</v>
      </c>
      <c r="C381" s="684"/>
      <c r="D381" s="687">
        <v>4117</v>
      </c>
      <c r="E381" s="140">
        <f aca="true" t="shared" si="97" ref="E381:E410">F381+G381</f>
        <v>4301</v>
      </c>
      <c r="F381" s="140"/>
      <c r="G381" s="685">
        <f>Q381</f>
        <v>4301</v>
      </c>
      <c r="H381" s="140">
        <f aca="true" t="shared" si="98" ref="H381:H410">I381+M381</f>
        <v>4301</v>
      </c>
      <c r="I381" s="140">
        <f aca="true" t="shared" si="99" ref="I381:I410">SUM(J381:L381)</f>
        <v>0</v>
      </c>
      <c r="J381" s="140"/>
      <c r="K381" s="140"/>
      <c r="L381" s="140"/>
      <c r="M381" s="140">
        <f aca="true" t="shared" si="100" ref="M381:M409">SUM(N381:Q381)</f>
        <v>4301</v>
      </c>
      <c r="N381" s="140"/>
      <c r="O381" s="140"/>
      <c r="P381" s="140"/>
      <c r="Q381" s="688">
        <v>4301</v>
      </c>
    </row>
    <row r="382" spans="1:17" s="138" customFormat="1" ht="22.5">
      <c r="A382" s="275"/>
      <c r="B382" s="79" t="s">
        <v>556</v>
      </c>
      <c r="C382" s="34"/>
      <c r="D382" s="270">
        <v>4119</v>
      </c>
      <c r="E382" s="140">
        <f t="shared" si="97"/>
        <v>228</v>
      </c>
      <c r="F382" s="140">
        <f>L382</f>
        <v>228</v>
      </c>
      <c r="G382" s="262"/>
      <c r="H382" s="140">
        <f t="shared" si="98"/>
        <v>228</v>
      </c>
      <c r="I382" s="140">
        <f t="shared" si="99"/>
        <v>228</v>
      </c>
      <c r="J382" s="140"/>
      <c r="K382" s="140"/>
      <c r="L382" s="593">
        <v>228</v>
      </c>
      <c r="M382" s="140">
        <f t="shared" si="100"/>
        <v>0</v>
      </c>
      <c r="N382" s="140"/>
      <c r="O382" s="140"/>
      <c r="P382" s="140"/>
      <c r="Q382" s="262"/>
    </row>
    <row r="383" spans="1:17" s="138" customFormat="1" ht="12.75">
      <c r="A383" s="275"/>
      <c r="B383" s="79" t="s">
        <v>558</v>
      </c>
      <c r="C383" s="34"/>
      <c r="D383" s="270">
        <v>4127</v>
      </c>
      <c r="E383" s="140">
        <f t="shared" si="97"/>
        <v>694</v>
      </c>
      <c r="F383" s="140"/>
      <c r="G383" s="262">
        <f>Q383</f>
        <v>694</v>
      </c>
      <c r="H383" s="140">
        <f t="shared" si="98"/>
        <v>694</v>
      </c>
      <c r="I383" s="140">
        <f t="shared" si="99"/>
        <v>0</v>
      </c>
      <c r="J383" s="140"/>
      <c r="K383" s="140"/>
      <c r="L383" s="140"/>
      <c r="M383" s="140">
        <f t="shared" si="100"/>
        <v>694</v>
      </c>
      <c r="N383" s="140"/>
      <c r="O383" s="140"/>
      <c r="P383" s="140"/>
      <c r="Q383" s="593">
        <v>694</v>
      </c>
    </row>
    <row r="384" spans="1:17" s="138" customFormat="1" ht="12.75">
      <c r="A384" s="275"/>
      <c r="B384" s="79" t="s">
        <v>558</v>
      </c>
      <c r="C384" s="34"/>
      <c r="D384" s="270">
        <v>4129</v>
      </c>
      <c r="E384" s="140">
        <f t="shared" si="97"/>
        <v>37</v>
      </c>
      <c r="F384" s="140">
        <f>L384</f>
        <v>37</v>
      </c>
      <c r="G384" s="262"/>
      <c r="H384" s="140">
        <f t="shared" si="98"/>
        <v>37</v>
      </c>
      <c r="I384" s="140">
        <f t="shared" si="99"/>
        <v>37</v>
      </c>
      <c r="J384" s="140"/>
      <c r="K384" s="140"/>
      <c r="L384" s="593">
        <v>37</v>
      </c>
      <c r="M384" s="140">
        <f t="shared" si="100"/>
        <v>0</v>
      </c>
      <c r="N384" s="140"/>
      <c r="O384" s="140"/>
      <c r="P384" s="140"/>
      <c r="Q384" s="262"/>
    </row>
    <row r="385" spans="1:17" s="138" customFormat="1" ht="22.5">
      <c r="A385" s="275"/>
      <c r="B385" s="79" t="s">
        <v>2</v>
      </c>
      <c r="C385" s="34"/>
      <c r="D385" s="270">
        <v>4018</v>
      </c>
      <c r="E385" s="140">
        <f t="shared" si="97"/>
        <v>26972</v>
      </c>
      <c r="F385" s="140"/>
      <c r="G385" s="262">
        <f>M385</f>
        <v>26972</v>
      </c>
      <c r="H385" s="140">
        <f t="shared" si="98"/>
        <v>26972</v>
      </c>
      <c r="I385" s="140">
        <f t="shared" si="99"/>
        <v>0</v>
      </c>
      <c r="J385" s="140"/>
      <c r="K385" s="140"/>
      <c r="L385" s="140"/>
      <c r="M385" s="140">
        <f t="shared" si="100"/>
        <v>26972</v>
      </c>
      <c r="N385" s="140"/>
      <c r="O385" s="140"/>
      <c r="P385" s="140"/>
      <c r="Q385" s="593">
        <v>26972</v>
      </c>
    </row>
    <row r="386" spans="1:17" s="138" customFormat="1" ht="22.5">
      <c r="A386" s="275"/>
      <c r="B386" s="79" t="s">
        <v>2</v>
      </c>
      <c r="C386" s="34"/>
      <c r="D386" s="270">
        <v>4019</v>
      </c>
      <c r="E386" s="140">
        <f t="shared" si="97"/>
        <v>1428</v>
      </c>
      <c r="F386" s="140">
        <f>I386</f>
        <v>1428</v>
      </c>
      <c r="G386" s="262"/>
      <c r="H386" s="140">
        <f t="shared" si="98"/>
        <v>1428</v>
      </c>
      <c r="I386" s="140">
        <f t="shared" si="99"/>
        <v>1428</v>
      </c>
      <c r="J386" s="140"/>
      <c r="K386" s="140"/>
      <c r="L386" s="593">
        <v>1428</v>
      </c>
      <c r="M386" s="140">
        <f t="shared" si="100"/>
        <v>0</v>
      </c>
      <c r="N386" s="140"/>
      <c r="O386" s="140"/>
      <c r="P386" s="140"/>
      <c r="Q386" s="262"/>
    </row>
    <row r="387" spans="1:17" s="138" customFormat="1" ht="22.5">
      <c r="A387" s="275"/>
      <c r="B387" s="79" t="s">
        <v>518</v>
      </c>
      <c r="C387" s="34"/>
      <c r="D387" s="270">
        <v>4177</v>
      </c>
      <c r="E387" s="140">
        <f t="shared" si="97"/>
        <v>950</v>
      </c>
      <c r="F387" s="140"/>
      <c r="G387" s="262">
        <f>M387</f>
        <v>950</v>
      </c>
      <c r="H387" s="140">
        <f t="shared" si="98"/>
        <v>950</v>
      </c>
      <c r="I387" s="140">
        <f t="shared" si="99"/>
        <v>0</v>
      </c>
      <c r="J387" s="140"/>
      <c r="K387" s="140"/>
      <c r="L387" s="140"/>
      <c r="M387" s="140">
        <f t="shared" si="100"/>
        <v>950</v>
      </c>
      <c r="N387" s="140"/>
      <c r="O387" s="140"/>
      <c r="P387" s="140"/>
      <c r="Q387" s="593">
        <v>950</v>
      </c>
    </row>
    <row r="388" spans="1:17" s="138" customFormat="1" ht="22.5">
      <c r="A388" s="275"/>
      <c r="B388" s="79" t="s">
        <v>518</v>
      </c>
      <c r="C388" s="34"/>
      <c r="D388" s="270">
        <v>4179</v>
      </c>
      <c r="E388" s="140">
        <f t="shared" si="97"/>
        <v>50</v>
      </c>
      <c r="F388" s="140">
        <f>I388</f>
        <v>50</v>
      </c>
      <c r="G388" s="262"/>
      <c r="H388" s="140">
        <f t="shared" si="98"/>
        <v>50</v>
      </c>
      <c r="I388" s="140">
        <f t="shared" si="99"/>
        <v>50</v>
      </c>
      <c r="J388" s="140"/>
      <c r="K388" s="140"/>
      <c r="L388" s="593">
        <v>50</v>
      </c>
      <c r="M388" s="140">
        <f t="shared" si="100"/>
        <v>0</v>
      </c>
      <c r="N388" s="140"/>
      <c r="O388" s="140"/>
      <c r="P388" s="140"/>
      <c r="Q388" s="262"/>
    </row>
    <row r="389" spans="1:17" s="138" customFormat="1" ht="22.5">
      <c r="A389" s="275"/>
      <c r="B389" s="79" t="s">
        <v>422</v>
      </c>
      <c r="C389" s="34"/>
      <c r="D389" s="270">
        <v>4217</v>
      </c>
      <c r="E389" s="140">
        <f t="shared" si="97"/>
        <v>3666</v>
      </c>
      <c r="F389" s="140"/>
      <c r="G389" s="262">
        <f>M389</f>
        <v>3666</v>
      </c>
      <c r="H389" s="140">
        <f t="shared" si="98"/>
        <v>3666</v>
      </c>
      <c r="I389" s="140">
        <f t="shared" si="99"/>
        <v>0</v>
      </c>
      <c r="J389" s="140"/>
      <c r="K389" s="140"/>
      <c r="L389" s="140"/>
      <c r="M389" s="140">
        <f t="shared" si="100"/>
        <v>3666</v>
      </c>
      <c r="N389" s="140"/>
      <c r="O389" s="140"/>
      <c r="P389" s="140"/>
      <c r="Q389" s="593">
        <v>3666</v>
      </c>
    </row>
    <row r="390" spans="1:17" s="138" customFormat="1" ht="22.5">
      <c r="A390" s="275"/>
      <c r="B390" s="79" t="s">
        <v>422</v>
      </c>
      <c r="C390" s="34"/>
      <c r="D390" s="270">
        <v>4219</v>
      </c>
      <c r="E390" s="140">
        <f t="shared" si="97"/>
        <v>194</v>
      </c>
      <c r="F390" s="140">
        <f>H390</f>
        <v>194</v>
      </c>
      <c r="G390" s="262"/>
      <c r="H390" s="140">
        <f t="shared" si="98"/>
        <v>194</v>
      </c>
      <c r="I390" s="140">
        <f t="shared" si="99"/>
        <v>194</v>
      </c>
      <c r="J390" s="140"/>
      <c r="K390" s="140"/>
      <c r="L390" s="593">
        <v>194</v>
      </c>
      <c r="M390" s="140">
        <f t="shared" si="100"/>
        <v>0</v>
      </c>
      <c r="N390" s="140"/>
      <c r="O390" s="140"/>
      <c r="P390" s="140"/>
      <c r="Q390" s="262"/>
    </row>
    <row r="391" spans="1:17" s="138" customFormat="1" ht="33.75">
      <c r="A391" s="275"/>
      <c r="B391" s="405" t="s">
        <v>561</v>
      </c>
      <c r="C391" s="34"/>
      <c r="D391" s="270">
        <v>4757</v>
      </c>
      <c r="E391" s="140">
        <f t="shared" si="97"/>
        <v>0</v>
      </c>
      <c r="F391" s="140"/>
      <c r="G391" s="262">
        <f>M391</f>
        <v>0</v>
      </c>
      <c r="H391" s="140">
        <f t="shared" si="98"/>
        <v>0</v>
      </c>
      <c r="I391" s="140">
        <f t="shared" si="99"/>
        <v>0</v>
      </c>
      <c r="J391" s="140"/>
      <c r="K391" s="140"/>
      <c r="L391" s="140"/>
      <c r="M391" s="140">
        <f t="shared" si="100"/>
        <v>0</v>
      </c>
      <c r="N391" s="140"/>
      <c r="O391" s="140"/>
      <c r="P391" s="140"/>
      <c r="Q391" s="262"/>
    </row>
    <row r="392" spans="1:17" s="138" customFormat="1" ht="33.75">
      <c r="A392" s="275"/>
      <c r="B392" s="405" t="s">
        <v>561</v>
      </c>
      <c r="C392" s="34"/>
      <c r="D392" s="270">
        <v>4759</v>
      </c>
      <c r="E392" s="140">
        <f t="shared" si="97"/>
        <v>0</v>
      </c>
      <c r="F392" s="140">
        <f>H392</f>
        <v>0</v>
      </c>
      <c r="G392" s="262"/>
      <c r="H392" s="140">
        <f t="shared" si="98"/>
        <v>0</v>
      </c>
      <c r="I392" s="140">
        <f t="shared" si="99"/>
        <v>0</v>
      </c>
      <c r="J392" s="140"/>
      <c r="K392" s="140"/>
      <c r="L392" s="140"/>
      <c r="M392" s="140">
        <f t="shared" si="100"/>
        <v>0</v>
      </c>
      <c r="N392" s="140"/>
      <c r="O392" s="140"/>
      <c r="P392" s="140"/>
      <c r="Q392" s="262"/>
    </row>
    <row r="393" spans="1:17" s="138" customFormat="1" ht="22.5">
      <c r="A393" s="275"/>
      <c r="B393" s="79" t="s">
        <v>854</v>
      </c>
      <c r="C393" s="34"/>
      <c r="D393" s="270">
        <v>4307</v>
      </c>
      <c r="E393" s="140">
        <f>F393+G393</f>
        <v>104</v>
      </c>
      <c r="F393" s="140"/>
      <c r="G393" s="262">
        <f>M393</f>
        <v>104</v>
      </c>
      <c r="H393" s="140">
        <f>I393+M393</f>
        <v>104</v>
      </c>
      <c r="I393" s="140">
        <f>SUM(J393:L393)</f>
        <v>0</v>
      </c>
      <c r="J393" s="140"/>
      <c r="K393" s="140"/>
      <c r="L393" s="140"/>
      <c r="M393" s="140">
        <f>SUM(N393:Q393)</f>
        <v>104</v>
      </c>
      <c r="N393" s="140"/>
      <c r="O393" s="140"/>
      <c r="P393" s="140"/>
      <c r="Q393" s="593">
        <v>104</v>
      </c>
    </row>
    <row r="394" spans="1:17" s="138" customFormat="1" ht="22.5">
      <c r="A394" s="275"/>
      <c r="B394" s="79" t="s">
        <v>854</v>
      </c>
      <c r="C394" s="34"/>
      <c r="D394" s="270">
        <v>4309</v>
      </c>
      <c r="E394" s="140">
        <f>F394+G394</f>
        <v>6</v>
      </c>
      <c r="F394" s="140">
        <f>H394</f>
        <v>6</v>
      </c>
      <c r="G394" s="262"/>
      <c r="H394" s="140">
        <f>I394+M394</f>
        <v>6</v>
      </c>
      <c r="I394" s="140">
        <f>SUM(J394:L394)</f>
        <v>6</v>
      </c>
      <c r="J394" s="140"/>
      <c r="K394" s="140"/>
      <c r="L394" s="593">
        <v>6</v>
      </c>
      <c r="M394" s="140">
        <f>SUM(N394:Q394)</f>
        <v>0</v>
      </c>
      <c r="N394" s="140"/>
      <c r="O394" s="140"/>
      <c r="P394" s="140"/>
      <c r="Q394" s="262"/>
    </row>
    <row r="395" spans="1:17" s="138" customFormat="1" ht="12.75">
      <c r="A395" s="275"/>
      <c r="B395" s="79" t="s">
        <v>405</v>
      </c>
      <c r="C395" s="34"/>
      <c r="D395" s="270">
        <v>4307</v>
      </c>
      <c r="E395" s="140">
        <f t="shared" si="97"/>
        <v>107525</v>
      </c>
      <c r="F395" s="140"/>
      <c r="G395" s="262">
        <f>M395</f>
        <v>107525</v>
      </c>
      <c r="H395" s="140">
        <f t="shared" si="98"/>
        <v>107525</v>
      </c>
      <c r="I395" s="140">
        <f t="shared" si="99"/>
        <v>0</v>
      </c>
      <c r="J395" s="140"/>
      <c r="K395" s="140"/>
      <c r="L395" s="140"/>
      <c r="M395" s="140">
        <f t="shared" si="100"/>
        <v>107525</v>
      </c>
      <c r="N395" s="140"/>
      <c r="O395" s="140"/>
      <c r="P395" s="140"/>
      <c r="Q395" s="593">
        <v>107525</v>
      </c>
    </row>
    <row r="396" spans="1:17" s="138" customFormat="1" ht="12.75">
      <c r="A396" s="275"/>
      <c r="B396" s="79" t="s">
        <v>405</v>
      </c>
      <c r="C396" s="34"/>
      <c r="D396" s="270">
        <v>4309</v>
      </c>
      <c r="E396" s="140">
        <f t="shared" si="97"/>
        <v>5692</v>
      </c>
      <c r="F396" s="140">
        <f>H396</f>
        <v>5692</v>
      </c>
      <c r="G396" s="262"/>
      <c r="H396" s="140">
        <f t="shared" si="98"/>
        <v>5692</v>
      </c>
      <c r="I396" s="140">
        <f t="shared" si="99"/>
        <v>5692</v>
      </c>
      <c r="J396" s="140"/>
      <c r="K396" s="140"/>
      <c r="L396" s="593">
        <v>5692</v>
      </c>
      <c r="M396" s="140">
        <f t="shared" si="100"/>
        <v>0</v>
      </c>
      <c r="N396" s="140"/>
      <c r="O396" s="140"/>
      <c r="P396" s="140"/>
      <c r="Q396" s="262"/>
    </row>
    <row r="397" spans="1:17" s="138" customFormat="1" ht="33.75">
      <c r="A397" s="275"/>
      <c r="B397" s="79" t="s">
        <v>567</v>
      </c>
      <c r="C397" s="34"/>
      <c r="D397" s="270">
        <v>4367</v>
      </c>
      <c r="E397" s="140">
        <f t="shared" si="97"/>
        <v>0</v>
      </c>
      <c r="F397" s="140"/>
      <c r="G397" s="262">
        <f>M397</f>
        <v>0</v>
      </c>
      <c r="H397" s="140">
        <f t="shared" si="98"/>
        <v>0</v>
      </c>
      <c r="I397" s="140">
        <f t="shared" si="99"/>
        <v>0</v>
      </c>
      <c r="J397" s="140"/>
      <c r="K397" s="140"/>
      <c r="L397" s="140"/>
      <c r="M397" s="140">
        <f t="shared" si="100"/>
        <v>0</v>
      </c>
      <c r="N397" s="140"/>
      <c r="O397" s="140"/>
      <c r="P397" s="140"/>
      <c r="Q397" s="593"/>
    </row>
    <row r="398" spans="1:17" s="138" customFormat="1" ht="33.75">
      <c r="A398" s="275"/>
      <c r="B398" s="79" t="s">
        <v>567</v>
      </c>
      <c r="C398" s="34"/>
      <c r="D398" s="270">
        <v>4369</v>
      </c>
      <c r="E398" s="140">
        <f t="shared" si="97"/>
        <v>0</v>
      </c>
      <c r="F398" s="140">
        <f>H398</f>
        <v>0</v>
      </c>
      <c r="G398" s="262"/>
      <c r="H398" s="140">
        <f t="shared" si="98"/>
        <v>0</v>
      </c>
      <c r="I398" s="140">
        <f t="shared" si="99"/>
        <v>0</v>
      </c>
      <c r="J398" s="140"/>
      <c r="K398" s="140"/>
      <c r="L398" s="593"/>
      <c r="M398" s="140">
        <f t="shared" si="100"/>
        <v>0</v>
      </c>
      <c r="N398" s="140"/>
      <c r="O398" s="140"/>
      <c r="P398" s="140"/>
      <c r="Q398" s="262"/>
    </row>
    <row r="399" spans="1:17" s="138" customFormat="1" ht="45">
      <c r="A399" s="275"/>
      <c r="B399" s="79" t="s">
        <v>521</v>
      </c>
      <c r="C399" s="34"/>
      <c r="D399" s="270">
        <v>4747</v>
      </c>
      <c r="E399" s="140">
        <f t="shared" si="97"/>
        <v>228</v>
      </c>
      <c r="F399" s="140"/>
      <c r="G399" s="262">
        <f>M399</f>
        <v>228</v>
      </c>
      <c r="H399" s="140">
        <f t="shared" si="98"/>
        <v>228</v>
      </c>
      <c r="I399" s="140">
        <f t="shared" si="99"/>
        <v>0</v>
      </c>
      <c r="J399" s="140"/>
      <c r="K399" s="140"/>
      <c r="L399" s="140"/>
      <c r="M399" s="140">
        <f t="shared" si="100"/>
        <v>228</v>
      </c>
      <c r="N399" s="140"/>
      <c r="O399" s="140"/>
      <c r="P399" s="140"/>
      <c r="Q399" s="262">
        <v>228</v>
      </c>
    </row>
    <row r="400" spans="1:17" s="138" customFormat="1" ht="45">
      <c r="A400" s="275"/>
      <c r="B400" s="79" t="s">
        <v>521</v>
      </c>
      <c r="C400" s="34"/>
      <c r="D400" s="270">
        <v>4749</v>
      </c>
      <c r="E400" s="140">
        <f t="shared" si="97"/>
        <v>12</v>
      </c>
      <c r="F400" s="140">
        <f>H400</f>
        <v>12</v>
      </c>
      <c r="G400" s="262"/>
      <c r="H400" s="140">
        <f t="shared" si="98"/>
        <v>12</v>
      </c>
      <c r="I400" s="140">
        <f t="shared" si="99"/>
        <v>12</v>
      </c>
      <c r="J400" s="140"/>
      <c r="K400" s="140"/>
      <c r="L400" s="140">
        <v>12</v>
      </c>
      <c r="M400" s="140">
        <f t="shared" si="100"/>
        <v>0</v>
      </c>
      <c r="N400" s="140"/>
      <c r="O400" s="140"/>
      <c r="P400" s="140"/>
      <c r="Q400" s="262"/>
    </row>
    <row r="401" spans="1:17" s="138" customFormat="1" ht="12.75">
      <c r="A401" s="275"/>
      <c r="B401" s="79" t="s">
        <v>4</v>
      </c>
      <c r="C401" s="34"/>
      <c r="D401" s="270">
        <v>3119</v>
      </c>
      <c r="E401" s="140">
        <f>F401+G401</f>
        <v>18455</v>
      </c>
      <c r="F401" s="140">
        <f>H401</f>
        <v>18455</v>
      </c>
      <c r="G401" s="262"/>
      <c r="H401" s="140">
        <f>I401+M401</f>
        <v>18455</v>
      </c>
      <c r="I401" s="140">
        <f>SUM(J401:L401)</f>
        <v>18455</v>
      </c>
      <c r="J401" s="140"/>
      <c r="K401" s="140"/>
      <c r="L401" s="140">
        <v>18455</v>
      </c>
      <c r="M401" s="140">
        <f>SUM(N401:Q401)</f>
        <v>0</v>
      </c>
      <c r="N401" s="140"/>
      <c r="O401" s="140"/>
      <c r="P401" s="140"/>
      <c r="Q401" s="262"/>
    </row>
    <row r="402" spans="1:17" s="138" customFormat="1" ht="22.5">
      <c r="A402" s="275"/>
      <c r="B402" s="79" t="s">
        <v>853</v>
      </c>
      <c r="C402" s="34"/>
      <c r="D402" s="270">
        <v>4047</v>
      </c>
      <c r="E402" s="140">
        <f aca="true" t="shared" si="101" ref="E402:E407">F402+G402</f>
        <v>1102</v>
      </c>
      <c r="F402" s="140">
        <f aca="true" t="shared" si="102" ref="F402:F407">H402</f>
        <v>1102</v>
      </c>
      <c r="G402" s="262"/>
      <c r="H402" s="140">
        <f aca="true" t="shared" si="103" ref="H402:H407">I402+M402</f>
        <v>1102</v>
      </c>
      <c r="I402" s="140">
        <f aca="true" t="shared" si="104" ref="I402:I407">SUM(J402:L402)</f>
        <v>0</v>
      </c>
      <c r="J402" s="140"/>
      <c r="K402" s="140"/>
      <c r="L402" s="140"/>
      <c r="M402" s="140">
        <f aca="true" t="shared" si="105" ref="M402:M407">SUM(N402:Q402)</f>
        <v>1102</v>
      </c>
      <c r="N402" s="140"/>
      <c r="O402" s="140"/>
      <c r="P402" s="140"/>
      <c r="Q402" s="262">
        <v>1102</v>
      </c>
    </row>
    <row r="403" spans="1:17" s="138" customFormat="1" ht="22.5">
      <c r="A403" s="275"/>
      <c r="B403" s="79" t="s">
        <v>853</v>
      </c>
      <c r="C403" s="34"/>
      <c r="D403" s="270">
        <v>4049</v>
      </c>
      <c r="E403" s="140">
        <f t="shared" si="101"/>
        <v>58</v>
      </c>
      <c r="F403" s="140">
        <f t="shared" si="102"/>
        <v>58</v>
      </c>
      <c r="G403" s="262"/>
      <c r="H403" s="140">
        <f t="shared" si="103"/>
        <v>58</v>
      </c>
      <c r="I403" s="140">
        <f t="shared" si="104"/>
        <v>58</v>
      </c>
      <c r="J403" s="140"/>
      <c r="K403" s="140"/>
      <c r="L403" s="140">
        <v>58</v>
      </c>
      <c r="M403" s="140">
        <f t="shared" si="105"/>
        <v>0</v>
      </c>
      <c r="N403" s="140"/>
      <c r="O403" s="140"/>
      <c r="P403" s="140"/>
      <c r="Q403" s="262"/>
    </row>
    <row r="404" spans="1:17" s="138" customFormat="1" ht="12.75">
      <c r="A404" s="275"/>
      <c r="B404" s="79"/>
      <c r="C404" s="34"/>
      <c r="D404" s="270">
        <v>4477</v>
      </c>
      <c r="E404" s="140">
        <f>F404+G404</f>
        <v>627</v>
      </c>
      <c r="F404" s="140">
        <f>H404</f>
        <v>627</v>
      </c>
      <c r="G404" s="262"/>
      <c r="H404" s="140">
        <f>I404+M404</f>
        <v>627</v>
      </c>
      <c r="I404" s="140">
        <f>SUM(J404:L404)</f>
        <v>0</v>
      </c>
      <c r="J404" s="140"/>
      <c r="K404" s="140"/>
      <c r="L404" s="140"/>
      <c r="M404" s="140">
        <f t="shared" si="105"/>
        <v>627</v>
      </c>
      <c r="N404" s="140"/>
      <c r="O404" s="140"/>
      <c r="P404" s="140"/>
      <c r="Q404" s="262">
        <v>627</v>
      </c>
    </row>
    <row r="405" spans="1:17" s="138" customFormat="1" ht="12.75">
      <c r="A405" s="275"/>
      <c r="B405" s="79"/>
      <c r="C405" s="34"/>
      <c r="D405" s="270">
        <v>4779</v>
      </c>
      <c r="E405" s="140">
        <f>F405+G405</f>
        <v>33</v>
      </c>
      <c r="F405" s="140">
        <f>H405</f>
        <v>33</v>
      </c>
      <c r="G405" s="262"/>
      <c r="H405" s="140">
        <f>I405+M405</f>
        <v>33</v>
      </c>
      <c r="I405" s="140">
        <f>SUM(J405:L405)</f>
        <v>33</v>
      </c>
      <c r="J405" s="140"/>
      <c r="K405" s="140"/>
      <c r="L405" s="140">
        <v>33</v>
      </c>
      <c r="M405" s="140"/>
      <c r="N405" s="140"/>
      <c r="O405" s="140"/>
      <c r="P405" s="140"/>
      <c r="Q405" s="262"/>
    </row>
    <row r="406" spans="1:17" s="138" customFormat="1" ht="12.75">
      <c r="A406" s="275"/>
      <c r="B406" s="79"/>
      <c r="C406" s="34"/>
      <c r="D406" s="270">
        <v>4757</v>
      </c>
      <c r="E406" s="140">
        <f t="shared" si="101"/>
        <v>2568</v>
      </c>
      <c r="F406" s="140">
        <f t="shared" si="102"/>
        <v>2568</v>
      </c>
      <c r="G406" s="262"/>
      <c r="H406" s="140">
        <f t="shared" si="103"/>
        <v>2568</v>
      </c>
      <c r="I406" s="140">
        <f t="shared" si="104"/>
        <v>0</v>
      </c>
      <c r="J406" s="140"/>
      <c r="K406" s="140"/>
      <c r="L406" s="140"/>
      <c r="M406" s="140">
        <f t="shared" si="105"/>
        <v>2568</v>
      </c>
      <c r="N406" s="140"/>
      <c r="O406" s="140"/>
      <c r="P406" s="140"/>
      <c r="Q406" s="262">
        <v>2568</v>
      </c>
    </row>
    <row r="407" spans="1:17" s="138" customFormat="1" ht="12.75">
      <c r="A407" s="275"/>
      <c r="B407" s="79"/>
      <c r="C407" s="34"/>
      <c r="D407" s="270">
        <v>4759</v>
      </c>
      <c r="E407" s="140">
        <f t="shared" si="101"/>
        <v>136</v>
      </c>
      <c r="F407" s="140">
        <f t="shared" si="102"/>
        <v>136</v>
      </c>
      <c r="G407" s="262"/>
      <c r="H407" s="140">
        <f t="shared" si="103"/>
        <v>136</v>
      </c>
      <c r="I407" s="140">
        <f t="shared" si="104"/>
        <v>136</v>
      </c>
      <c r="J407" s="140"/>
      <c r="K407" s="140"/>
      <c r="L407" s="140">
        <v>136</v>
      </c>
      <c r="M407" s="140">
        <f t="shared" si="105"/>
        <v>0</v>
      </c>
      <c r="N407" s="140"/>
      <c r="O407" s="140"/>
      <c r="P407" s="140"/>
      <c r="Q407" s="262"/>
    </row>
    <row r="408" spans="1:17" s="138" customFormat="1" ht="22.5">
      <c r="A408" s="275"/>
      <c r="B408" s="422" t="s">
        <v>430</v>
      </c>
      <c r="C408" s="34"/>
      <c r="D408" s="270">
        <v>4417</v>
      </c>
      <c r="E408" s="140">
        <f t="shared" si="97"/>
        <v>665</v>
      </c>
      <c r="F408" s="140"/>
      <c r="G408" s="262">
        <f>M408</f>
        <v>665</v>
      </c>
      <c r="H408" s="140">
        <f t="shared" si="98"/>
        <v>665</v>
      </c>
      <c r="I408" s="140">
        <f t="shared" si="99"/>
        <v>0</v>
      </c>
      <c r="J408" s="140"/>
      <c r="K408" s="140"/>
      <c r="L408" s="140"/>
      <c r="M408" s="140">
        <f t="shared" si="100"/>
        <v>665</v>
      </c>
      <c r="N408" s="140"/>
      <c r="O408" s="140"/>
      <c r="P408" s="140"/>
      <c r="Q408" s="593">
        <v>665</v>
      </c>
    </row>
    <row r="409" spans="1:17" s="138" customFormat="1" ht="22.5">
      <c r="A409" s="275"/>
      <c r="B409" s="422" t="s">
        <v>430</v>
      </c>
      <c r="C409" s="34"/>
      <c r="D409" s="270">
        <v>4419</v>
      </c>
      <c r="E409" s="140">
        <f t="shared" si="97"/>
        <v>35</v>
      </c>
      <c r="F409" s="140">
        <f>H409</f>
        <v>35</v>
      </c>
      <c r="G409" s="262"/>
      <c r="H409" s="140">
        <f t="shared" si="98"/>
        <v>35</v>
      </c>
      <c r="I409" s="140">
        <f t="shared" si="99"/>
        <v>35</v>
      </c>
      <c r="J409" s="140"/>
      <c r="K409" s="140"/>
      <c r="L409" s="593">
        <v>35</v>
      </c>
      <c r="M409" s="140">
        <f t="shared" si="100"/>
        <v>0</v>
      </c>
      <c r="N409" s="140"/>
      <c r="O409" s="140"/>
      <c r="P409" s="140"/>
      <c r="Q409" s="262"/>
    </row>
    <row r="410" spans="1:19" s="139" customFormat="1" ht="11.25">
      <c r="A410" s="595"/>
      <c r="B410" s="707">
        <v>2010</v>
      </c>
      <c r="C410" s="709"/>
      <c r="D410" s="709"/>
      <c r="E410" s="710">
        <f t="shared" si="97"/>
        <v>175766</v>
      </c>
      <c r="F410" s="710">
        <f>SUM(F381:F409)</f>
        <v>30661</v>
      </c>
      <c r="G410" s="710">
        <f>SUM(G381:G409)</f>
        <v>145105</v>
      </c>
      <c r="H410" s="710">
        <f t="shared" si="98"/>
        <v>175766</v>
      </c>
      <c r="I410" s="710">
        <f t="shared" si="99"/>
        <v>26364</v>
      </c>
      <c r="J410" s="710">
        <f>SUM(J381:J409)</f>
        <v>0</v>
      </c>
      <c r="K410" s="710">
        <f>SUM(K381:K409)</f>
        <v>0</v>
      </c>
      <c r="L410" s="710">
        <f>SUM(L381:L409)</f>
        <v>26364</v>
      </c>
      <c r="M410" s="710">
        <f>N410+O410+P410+Q410</f>
        <v>149402</v>
      </c>
      <c r="N410" s="710">
        <f>SUM(N381:N409)</f>
        <v>0</v>
      </c>
      <c r="O410" s="710">
        <f>SUM(O381:O409)</f>
        <v>0</v>
      </c>
      <c r="P410" s="710">
        <f>SUM(P381:P409)</f>
        <v>0</v>
      </c>
      <c r="Q410" s="710">
        <f>SUM(Q381:Q409)</f>
        <v>149402</v>
      </c>
      <c r="S410" s="597"/>
    </row>
    <row r="411" spans="1:19" s="138" customFormat="1" ht="11.25">
      <c r="A411" s="706"/>
      <c r="B411" s="134"/>
      <c r="C411" s="136"/>
      <c r="D411" s="136"/>
      <c r="E411" s="135"/>
      <c r="F411" s="135"/>
      <c r="G411" s="135"/>
      <c r="H411" s="135"/>
      <c r="I411" s="135"/>
      <c r="J411" s="135"/>
      <c r="K411" s="135"/>
      <c r="L411" s="135"/>
      <c r="M411" s="135"/>
      <c r="N411" s="135"/>
      <c r="O411" s="135"/>
      <c r="P411" s="135"/>
      <c r="Q411" s="135"/>
      <c r="S411" s="404"/>
    </row>
    <row r="412" spans="1:19" s="138" customFormat="1" ht="13.5" customHeight="1">
      <c r="A412" s="706"/>
      <c r="B412" s="711" t="s">
        <v>858</v>
      </c>
      <c r="C412" s="816" t="s">
        <v>859</v>
      </c>
      <c r="D412" s="816"/>
      <c r="E412" s="816"/>
      <c r="F412" s="816"/>
      <c r="G412" s="816"/>
      <c r="H412" s="816"/>
      <c r="I412" s="816"/>
      <c r="J412" s="816"/>
      <c r="K412" s="816"/>
      <c r="L412" s="816"/>
      <c r="M412" s="816"/>
      <c r="N412" s="816"/>
      <c r="O412" s="816"/>
      <c r="P412" s="816"/>
      <c r="Q412" s="817"/>
      <c r="S412" s="404"/>
    </row>
    <row r="413" spans="1:19" s="138" customFormat="1" ht="13.5" customHeight="1">
      <c r="A413" s="706"/>
      <c r="B413" s="711" t="s">
        <v>860</v>
      </c>
      <c r="C413" s="713"/>
      <c r="D413" s="818" t="s">
        <v>861</v>
      </c>
      <c r="E413" s="818"/>
      <c r="F413" s="818"/>
      <c r="G413" s="818"/>
      <c r="H413" s="818"/>
      <c r="I413" s="818"/>
      <c r="J413" s="818"/>
      <c r="K413" s="818"/>
      <c r="L413" s="818"/>
      <c r="M413" s="818"/>
      <c r="N413" s="818"/>
      <c r="O413" s="818"/>
      <c r="P413" s="818"/>
      <c r="Q413" s="819"/>
      <c r="S413" s="404"/>
    </row>
    <row r="414" spans="1:19" s="138" customFormat="1" ht="13.5" customHeight="1">
      <c r="A414" s="706"/>
      <c r="B414" s="712" t="s">
        <v>862</v>
      </c>
      <c r="C414" s="816" t="s">
        <v>863</v>
      </c>
      <c r="D414" s="816"/>
      <c r="E414" s="816"/>
      <c r="F414" s="816"/>
      <c r="G414" s="816"/>
      <c r="H414" s="816"/>
      <c r="I414" s="816"/>
      <c r="J414" s="816"/>
      <c r="K414" s="816"/>
      <c r="L414" s="816"/>
      <c r="M414" s="816"/>
      <c r="N414" s="816"/>
      <c r="O414" s="816"/>
      <c r="P414" s="816"/>
      <c r="Q414" s="817"/>
      <c r="S414" s="404"/>
    </row>
    <row r="415" spans="1:17" s="138" customFormat="1" ht="30.75" customHeight="1">
      <c r="A415" s="706"/>
      <c r="B415" s="700" t="s">
        <v>226</v>
      </c>
      <c r="C415" s="714"/>
      <c r="D415" s="714" t="s">
        <v>864</v>
      </c>
      <c r="E415" s="715"/>
      <c r="F415" s="715"/>
      <c r="G415" s="715"/>
      <c r="H415" s="715"/>
      <c r="I415" s="715"/>
      <c r="J415" s="715"/>
      <c r="K415" s="715"/>
      <c r="L415" s="715"/>
      <c r="M415" s="715"/>
      <c r="N415" s="715"/>
      <c r="O415" s="715"/>
      <c r="P415" s="715"/>
      <c r="Q415" s="716"/>
    </row>
    <row r="416" spans="1:17" s="138" customFormat="1" ht="11.25">
      <c r="A416" s="275"/>
      <c r="B416" s="708" t="s">
        <v>227</v>
      </c>
      <c r="C416" s="691"/>
      <c r="D416" s="141" t="s">
        <v>808</v>
      </c>
      <c r="E416" s="717">
        <f>E446+E447+E448+E449</f>
        <v>3320220</v>
      </c>
      <c r="F416" s="717">
        <f aca="true" t="shared" si="106" ref="F416:Q416">F446+F447+F448+F449</f>
        <v>2841431</v>
      </c>
      <c r="G416" s="717">
        <f t="shared" si="106"/>
        <v>478789</v>
      </c>
      <c r="H416" s="717">
        <f t="shared" si="106"/>
        <v>3320220</v>
      </c>
      <c r="I416" s="717">
        <f t="shared" si="106"/>
        <v>498031</v>
      </c>
      <c r="J416" s="717">
        <f t="shared" si="106"/>
        <v>0</v>
      </c>
      <c r="K416" s="717">
        <f t="shared" si="106"/>
        <v>0</v>
      </c>
      <c r="L416" s="717">
        <f t="shared" si="106"/>
        <v>498031</v>
      </c>
      <c r="M416" s="717">
        <f t="shared" si="106"/>
        <v>2822189</v>
      </c>
      <c r="N416" s="717">
        <f t="shared" si="106"/>
        <v>0</v>
      </c>
      <c r="O416" s="717">
        <f t="shared" si="106"/>
        <v>0</v>
      </c>
      <c r="P416" s="717">
        <f t="shared" si="106"/>
        <v>0</v>
      </c>
      <c r="Q416" s="717">
        <f t="shared" si="106"/>
        <v>2822189</v>
      </c>
    </row>
    <row r="417" spans="1:17" s="138" customFormat="1" ht="22.5">
      <c r="A417" s="275"/>
      <c r="B417" s="79" t="s">
        <v>556</v>
      </c>
      <c r="C417" s="684"/>
      <c r="D417" s="687">
        <v>4117</v>
      </c>
      <c r="E417" s="140">
        <f aca="true" t="shared" si="107" ref="E417:E446">F417+G417</f>
        <v>13124</v>
      </c>
      <c r="F417" s="140"/>
      <c r="G417" s="685">
        <f>Q417</f>
        <v>13124</v>
      </c>
      <c r="H417" s="140">
        <f aca="true" t="shared" si="108" ref="H417:H446">I417+M417</f>
        <v>13124</v>
      </c>
      <c r="I417" s="140">
        <f aca="true" t="shared" si="109" ref="I417:I446">SUM(J417:L417)</f>
        <v>0</v>
      </c>
      <c r="J417" s="140"/>
      <c r="K417" s="140"/>
      <c r="L417" s="140"/>
      <c r="M417" s="140">
        <f aca="true" t="shared" si="110" ref="M417:M440">SUM(N417:Q417)</f>
        <v>13124</v>
      </c>
      <c r="N417" s="140"/>
      <c r="O417" s="140"/>
      <c r="P417" s="140"/>
      <c r="Q417" s="688">
        <v>13124</v>
      </c>
    </row>
    <row r="418" spans="1:17" s="138" customFormat="1" ht="22.5">
      <c r="A418" s="275"/>
      <c r="B418" s="79" t="s">
        <v>556</v>
      </c>
      <c r="C418" s="34"/>
      <c r="D418" s="270">
        <v>4119</v>
      </c>
      <c r="E418" s="140">
        <f t="shared" si="107"/>
        <v>2315</v>
      </c>
      <c r="F418" s="140">
        <f>L418</f>
        <v>2315</v>
      </c>
      <c r="G418" s="262"/>
      <c r="H418" s="140">
        <f t="shared" si="108"/>
        <v>2315</v>
      </c>
      <c r="I418" s="140">
        <f t="shared" si="109"/>
        <v>2315</v>
      </c>
      <c r="J418" s="140"/>
      <c r="K418" s="140"/>
      <c r="L418" s="593">
        <v>2315</v>
      </c>
      <c r="M418" s="140">
        <f t="shared" si="110"/>
        <v>0</v>
      </c>
      <c r="N418" s="140"/>
      <c r="O418" s="140"/>
      <c r="P418" s="140"/>
      <c r="Q418" s="262"/>
    </row>
    <row r="419" spans="1:17" s="138" customFormat="1" ht="12.75">
      <c r="A419" s="275"/>
      <c r="B419" s="79" t="s">
        <v>558</v>
      </c>
      <c r="C419" s="34"/>
      <c r="D419" s="270">
        <v>4127</v>
      </c>
      <c r="E419" s="140">
        <f t="shared" si="107"/>
        <v>2130</v>
      </c>
      <c r="F419" s="140"/>
      <c r="G419" s="262">
        <f>Q419</f>
        <v>2130</v>
      </c>
      <c r="H419" s="140">
        <f t="shared" si="108"/>
        <v>2130</v>
      </c>
      <c r="I419" s="140">
        <f t="shared" si="109"/>
        <v>0</v>
      </c>
      <c r="J419" s="140"/>
      <c r="K419" s="140"/>
      <c r="L419" s="140"/>
      <c r="M419" s="140">
        <f t="shared" si="110"/>
        <v>2130</v>
      </c>
      <c r="N419" s="140"/>
      <c r="O419" s="140"/>
      <c r="P419" s="140"/>
      <c r="Q419" s="593">
        <v>2130</v>
      </c>
    </row>
    <row r="420" spans="1:17" s="138" customFormat="1" ht="12.75">
      <c r="A420" s="275"/>
      <c r="B420" s="79" t="s">
        <v>558</v>
      </c>
      <c r="C420" s="34"/>
      <c r="D420" s="270">
        <v>4129</v>
      </c>
      <c r="E420" s="140">
        <f t="shared" si="107"/>
        <v>375</v>
      </c>
      <c r="F420" s="140">
        <f>L420</f>
        <v>375</v>
      </c>
      <c r="G420" s="262"/>
      <c r="H420" s="140">
        <f t="shared" si="108"/>
        <v>375</v>
      </c>
      <c r="I420" s="140">
        <f t="shared" si="109"/>
        <v>375</v>
      </c>
      <c r="J420" s="140"/>
      <c r="K420" s="140"/>
      <c r="L420" s="593">
        <v>375</v>
      </c>
      <c r="M420" s="140">
        <f t="shared" si="110"/>
        <v>0</v>
      </c>
      <c r="N420" s="140"/>
      <c r="O420" s="140"/>
      <c r="P420" s="140"/>
      <c r="Q420" s="262"/>
    </row>
    <row r="421" spans="1:17" s="138" customFormat="1" ht="22.5">
      <c r="A421" s="275"/>
      <c r="B421" s="79" t="s">
        <v>2</v>
      </c>
      <c r="C421" s="34"/>
      <c r="D421" s="270">
        <v>4017</v>
      </c>
      <c r="E421" s="140">
        <f t="shared" si="107"/>
        <v>30371</v>
      </c>
      <c r="F421" s="140"/>
      <c r="G421" s="262">
        <f>M421</f>
        <v>30371</v>
      </c>
      <c r="H421" s="140">
        <f t="shared" si="108"/>
        <v>30371</v>
      </c>
      <c r="I421" s="140">
        <f t="shared" si="109"/>
        <v>0</v>
      </c>
      <c r="J421" s="140"/>
      <c r="K421" s="140"/>
      <c r="L421" s="140"/>
      <c r="M421" s="140">
        <f t="shared" si="110"/>
        <v>30371</v>
      </c>
      <c r="N421" s="140"/>
      <c r="O421" s="140"/>
      <c r="P421" s="140"/>
      <c r="Q421" s="593">
        <v>30371</v>
      </c>
    </row>
    <row r="422" spans="1:17" s="138" customFormat="1" ht="22.5">
      <c r="A422" s="275"/>
      <c r="B422" s="79" t="s">
        <v>2</v>
      </c>
      <c r="C422" s="34"/>
      <c r="D422" s="270">
        <v>4019</v>
      </c>
      <c r="E422" s="140">
        <f t="shared" si="107"/>
        <v>5360</v>
      </c>
      <c r="F422" s="140">
        <f>I422</f>
        <v>5360</v>
      </c>
      <c r="G422" s="262"/>
      <c r="H422" s="140">
        <f t="shared" si="108"/>
        <v>5360</v>
      </c>
      <c r="I422" s="140">
        <f t="shared" si="109"/>
        <v>5360</v>
      </c>
      <c r="J422" s="140"/>
      <c r="K422" s="140"/>
      <c r="L422" s="593">
        <v>5360</v>
      </c>
      <c r="M422" s="140">
        <f t="shared" si="110"/>
        <v>0</v>
      </c>
      <c r="N422" s="140"/>
      <c r="O422" s="140"/>
      <c r="P422" s="140"/>
      <c r="Q422" s="262"/>
    </row>
    <row r="423" spans="1:17" s="138" customFormat="1" ht="22.5">
      <c r="A423" s="275"/>
      <c r="B423" s="79" t="s">
        <v>518</v>
      </c>
      <c r="C423" s="34"/>
      <c r="D423" s="270">
        <v>4178</v>
      </c>
      <c r="E423" s="140">
        <f t="shared" si="107"/>
        <v>282629</v>
      </c>
      <c r="F423" s="140"/>
      <c r="G423" s="262">
        <f>M423</f>
        <v>282629</v>
      </c>
      <c r="H423" s="140">
        <f t="shared" si="108"/>
        <v>282629</v>
      </c>
      <c r="I423" s="140">
        <f t="shared" si="109"/>
        <v>0</v>
      </c>
      <c r="J423" s="140"/>
      <c r="K423" s="140"/>
      <c r="L423" s="140"/>
      <c r="M423" s="140">
        <f t="shared" si="110"/>
        <v>282629</v>
      </c>
      <c r="N423" s="140"/>
      <c r="O423" s="140"/>
      <c r="P423" s="140"/>
      <c r="Q423" s="593">
        <v>282629</v>
      </c>
    </row>
    <row r="424" spans="1:17" s="138" customFormat="1" ht="22.5">
      <c r="A424" s="275"/>
      <c r="B424" s="79" t="s">
        <v>518</v>
      </c>
      <c r="C424" s="34"/>
      <c r="D424" s="270">
        <v>4179</v>
      </c>
      <c r="E424" s="140">
        <f t="shared" si="107"/>
        <v>49876</v>
      </c>
      <c r="F424" s="140">
        <f>I424</f>
        <v>49876</v>
      </c>
      <c r="G424" s="262"/>
      <c r="H424" s="140">
        <f t="shared" si="108"/>
        <v>49876</v>
      </c>
      <c r="I424" s="140">
        <f t="shared" si="109"/>
        <v>49876</v>
      </c>
      <c r="J424" s="140"/>
      <c r="K424" s="140"/>
      <c r="L424" s="593">
        <v>49876</v>
      </c>
      <c r="M424" s="140">
        <f t="shared" si="110"/>
        <v>0</v>
      </c>
      <c r="N424" s="140"/>
      <c r="O424" s="140"/>
      <c r="P424" s="140"/>
      <c r="Q424" s="262"/>
    </row>
    <row r="425" spans="1:17" s="138" customFormat="1" ht="22.5">
      <c r="A425" s="275"/>
      <c r="B425" s="79" t="s">
        <v>422</v>
      </c>
      <c r="C425" s="34"/>
      <c r="D425" s="270">
        <v>4217</v>
      </c>
      <c r="E425" s="140">
        <f t="shared" si="107"/>
        <v>56780</v>
      </c>
      <c r="F425" s="140"/>
      <c r="G425" s="262">
        <f>M425</f>
        <v>56780</v>
      </c>
      <c r="H425" s="140">
        <f t="shared" si="108"/>
        <v>56780</v>
      </c>
      <c r="I425" s="140">
        <f t="shared" si="109"/>
        <v>0</v>
      </c>
      <c r="J425" s="140"/>
      <c r="K425" s="140"/>
      <c r="L425" s="140"/>
      <c r="M425" s="140">
        <f t="shared" si="110"/>
        <v>56780</v>
      </c>
      <c r="N425" s="140"/>
      <c r="O425" s="140"/>
      <c r="P425" s="140"/>
      <c r="Q425" s="593">
        <v>56780</v>
      </c>
    </row>
    <row r="426" spans="1:17" s="138" customFormat="1" ht="22.5">
      <c r="A426" s="275"/>
      <c r="B426" s="79" t="s">
        <v>422</v>
      </c>
      <c r="C426" s="34"/>
      <c r="D426" s="270">
        <v>4219</v>
      </c>
      <c r="E426" s="140">
        <f t="shared" si="107"/>
        <v>10020</v>
      </c>
      <c r="F426" s="140">
        <f>H426</f>
        <v>10020</v>
      </c>
      <c r="G426" s="262"/>
      <c r="H426" s="140">
        <f t="shared" si="108"/>
        <v>10020</v>
      </c>
      <c r="I426" s="140">
        <f t="shared" si="109"/>
        <v>10020</v>
      </c>
      <c r="J426" s="140"/>
      <c r="K426" s="140"/>
      <c r="L426" s="593">
        <v>10020</v>
      </c>
      <c r="M426" s="140">
        <f t="shared" si="110"/>
        <v>0</v>
      </c>
      <c r="N426" s="140"/>
      <c r="O426" s="140"/>
      <c r="P426" s="140"/>
      <c r="Q426" s="262"/>
    </row>
    <row r="427" spans="1:17" s="138" customFormat="1" ht="33.75">
      <c r="A427" s="275"/>
      <c r="B427" s="405" t="s">
        <v>561</v>
      </c>
      <c r="C427" s="34"/>
      <c r="D427" s="270">
        <v>4757</v>
      </c>
      <c r="E427" s="140">
        <f t="shared" si="107"/>
        <v>0</v>
      </c>
      <c r="F427" s="140"/>
      <c r="G427" s="262">
        <f>M427</f>
        <v>0</v>
      </c>
      <c r="H427" s="140">
        <f t="shared" si="108"/>
        <v>0</v>
      </c>
      <c r="I427" s="140">
        <f t="shared" si="109"/>
        <v>0</v>
      </c>
      <c r="J427" s="140"/>
      <c r="K427" s="140"/>
      <c r="L427" s="140"/>
      <c r="M427" s="140">
        <f t="shared" si="110"/>
        <v>0</v>
      </c>
      <c r="N427" s="140"/>
      <c r="O427" s="140"/>
      <c r="P427" s="140"/>
      <c r="Q427" s="262"/>
    </row>
    <row r="428" spans="1:17" s="138" customFormat="1" ht="33.75">
      <c r="A428" s="275"/>
      <c r="B428" s="405" t="s">
        <v>561</v>
      </c>
      <c r="C428" s="34"/>
      <c r="D428" s="270">
        <v>4759</v>
      </c>
      <c r="E428" s="140">
        <f t="shared" si="107"/>
        <v>0</v>
      </c>
      <c r="F428" s="140">
        <f>H428</f>
        <v>0</v>
      </c>
      <c r="G428" s="262"/>
      <c r="H428" s="140">
        <f t="shared" si="108"/>
        <v>0</v>
      </c>
      <c r="I428" s="140">
        <f t="shared" si="109"/>
        <v>0</v>
      </c>
      <c r="J428" s="140"/>
      <c r="K428" s="140"/>
      <c r="L428" s="140"/>
      <c r="M428" s="140">
        <f t="shared" si="110"/>
        <v>0</v>
      </c>
      <c r="N428" s="140"/>
      <c r="O428" s="140"/>
      <c r="P428" s="140"/>
      <c r="Q428" s="262"/>
    </row>
    <row r="429" spans="1:17" s="138" customFormat="1" ht="22.5">
      <c r="A429" s="275"/>
      <c r="B429" s="79" t="s">
        <v>854</v>
      </c>
      <c r="C429" s="34"/>
      <c r="D429" s="270">
        <v>4307</v>
      </c>
      <c r="E429" s="140">
        <f t="shared" si="107"/>
        <v>0</v>
      </c>
      <c r="F429" s="140"/>
      <c r="G429" s="262">
        <f>M429</f>
        <v>0</v>
      </c>
      <c r="H429" s="140">
        <f t="shared" si="108"/>
        <v>0</v>
      </c>
      <c r="I429" s="140">
        <f t="shared" si="109"/>
        <v>0</v>
      </c>
      <c r="J429" s="140"/>
      <c r="K429" s="140"/>
      <c r="L429" s="140"/>
      <c r="M429" s="140">
        <f t="shared" si="110"/>
        <v>0</v>
      </c>
      <c r="N429" s="140"/>
      <c r="O429" s="140"/>
      <c r="P429" s="140"/>
      <c r="Q429" s="593"/>
    </row>
    <row r="430" spans="1:17" s="138" customFormat="1" ht="22.5">
      <c r="A430" s="275"/>
      <c r="B430" s="79" t="s">
        <v>854</v>
      </c>
      <c r="C430" s="34"/>
      <c r="D430" s="270">
        <v>4309</v>
      </c>
      <c r="E430" s="140">
        <f t="shared" si="107"/>
        <v>0</v>
      </c>
      <c r="F430" s="140">
        <f>H430</f>
        <v>0</v>
      </c>
      <c r="G430" s="262"/>
      <c r="H430" s="140">
        <f t="shared" si="108"/>
        <v>0</v>
      </c>
      <c r="I430" s="140">
        <f t="shared" si="109"/>
        <v>0</v>
      </c>
      <c r="J430" s="140"/>
      <c r="K430" s="140"/>
      <c r="L430" s="593"/>
      <c r="M430" s="140">
        <f t="shared" si="110"/>
        <v>0</v>
      </c>
      <c r="N430" s="140"/>
      <c r="O430" s="140"/>
      <c r="P430" s="140"/>
      <c r="Q430" s="262"/>
    </row>
    <row r="431" spans="1:17" s="138" customFormat="1" ht="12.75">
      <c r="A431" s="275"/>
      <c r="B431" s="79" t="s">
        <v>405</v>
      </c>
      <c r="C431" s="34"/>
      <c r="D431" s="270">
        <v>4307</v>
      </c>
      <c r="E431" s="140">
        <f t="shared" si="107"/>
        <v>83555</v>
      </c>
      <c r="F431" s="140"/>
      <c r="G431" s="262">
        <f>M431</f>
        <v>83555</v>
      </c>
      <c r="H431" s="140">
        <f t="shared" si="108"/>
        <v>83555</v>
      </c>
      <c r="I431" s="140">
        <f t="shared" si="109"/>
        <v>0</v>
      </c>
      <c r="J431" s="140"/>
      <c r="K431" s="140"/>
      <c r="L431" s="140"/>
      <c r="M431" s="140">
        <f t="shared" si="110"/>
        <v>83555</v>
      </c>
      <c r="N431" s="140"/>
      <c r="O431" s="140"/>
      <c r="P431" s="140"/>
      <c r="Q431" s="593">
        <v>83555</v>
      </c>
    </row>
    <row r="432" spans="1:17" s="138" customFormat="1" ht="12.75">
      <c r="A432" s="275"/>
      <c r="B432" s="79" t="s">
        <v>405</v>
      </c>
      <c r="C432" s="34"/>
      <c r="D432" s="270">
        <v>4309</v>
      </c>
      <c r="E432" s="140">
        <f t="shared" si="107"/>
        <v>14745</v>
      </c>
      <c r="F432" s="140">
        <f>H432</f>
        <v>14745</v>
      </c>
      <c r="G432" s="262"/>
      <c r="H432" s="140">
        <f t="shared" si="108"/>
        <v>14745</v>
      </c>
      <c r="I432" s="140">
        <f t="shared" si="109"/>
        <v>14745</v>
      </c>
      <c r="J432" s="140"/>
      <c r="K432" s="140"/>
      <c r="L432" s="593">
        <v>14745</v>
      </c>
      <c r="M432" s="140">
        <f t="shared" si="110"/>
        <v>0</v>
      </c>
      <c r="N432" s="140"/>
      <c r="O432" s="140"/>
      <c r="P432" s="140"/>
      <c r="Q432" s="262"/>
    </row>
    <row r="433" spans="1:17" s="138" customFormat="1" ht="33.75">
      <c r="A433" s="275"/>
      <c r="B433" s="79" t="s">
        <v>567</v>
      </c>
      <c r="C433" s="34"/>
      <c r="D433" s="270">
        <v>4367</v>
      </c>
      <c r="E433" s="140">
        <f t="shared" si="107"/>
        <v>0</v>
      </c>
      <c r="F433" s="140"/>
      <c r="G433" s="262">
        <f>M433</f>
        <v>0</v>
      </c>
      <c r="H433" s="140">
        <f t="shared" si="108"/>
        <v>0</v>
      </c>
      <c r="I433" s="140">
        <f t="shared" si="109"/>
        <v>0</v>
      </c>
      <c r="J433" s="140"/>
      <c r="K433" s="140"/>
      <c r="L433" s="140"/>
      <c r="M433" s="140">
        <f t="shared" si="110"/>
        <v>0</v>
      </c>
      <c r="N433" s="140"/>
      <c r="O433" s="140"/>
      <c r="P433" s="140"/>
      <c r="Q433" s="593"/>
    </row>
    <row r="434" spans="1:17" s="138" customFormat="1" ht="33.75">
      <c r="A434" s="275"/>
      <c r="B434" s="79" t="s">
        <v>567</v>
      </c>
      <c r="C434" s="34"/>
      <c r="D434" s="270">
        <v>4369</v>
      </c>
      <c r="E434" s="140">
        <f t="shared" si="107"/>
        <v>0</v>
      </c>
      <c r="F434" s="140">
        <f>H434</f>
        <v>0</v>
      </c>
      <c r="G434" s="262"/>
      <c r="H434" s="140">
        <f t="shared" si="108"/>
        <v>0</v>
      </c>
      <c r="I434" s="140">
        <f t="shared" si="109"/>
        <v>0</v>
      </c>
      <c r="J434" s="140"/>
      <c r="K434" s="140"/>
      <c r="L434" s="593"/>
      <c r="M434" s="140">
        <f t="shared" si="110"/>
        <v>0</v>
      </c>
      <c r="N434" s="140"/>
      <c r="O434" s="140"/>
      <c r="P434" s="140"/>
      <c r="Q434" s="262"/>
    </row>
    <row r="435" spans="1:17" s="138" customFormat="1" ht="45">
      <c r="A435" s="275"/>
      <c r="B435" s="79" t="s">
        <v>521</v>
      </c>
      <c r="C435" s="34"/>
      <c r="D435" s="270">
        <v>4747</v>
      </c>
      <c r="E435" s="140">
        <f t="shared" si="107"/>
        <v>8500</v>
      </c>
      <c r="F435" s="140"/>
      <c r="G435" s="262">
        <f>M435</f>
        <v>8500</v>
      </c>
      <c r="H435" s="140">
        <f t="shared" si="108"/>
        <v>8500</v>
      </c>
      <c r="I435" s="140">
        <f t="shared" si="109"/>
        <v>0</v>
      </c>
      <c r="J435" s="140"/>
      <c r="K435" s="140"/>
      <c r="L435" s="140"/>
      <c r="M435" s="140">
        <f t="shared" si="110"/>
        <v>8500</v>
      </c>
      <c r="N435" s="140"/>
      <c r="O435" s="140"/>
      <c r="P435" s="140"/>
      <c r="Q435" s="262">
        <v>8500</v>
      </c>
    </row>
    <row r="436" spans="1:17" s="138" customFormat="1" ht="45">
      <c r="A436" s="275"/>
      <c r="B436" s="79" t="s">
        <v>521</v>
      </c>
      <c r="C436" s="34"/>
      <c r="D436" s="270">
        <v>4749</v>
      </c>
      <c r="E436" s="140">
        <f t="shared" si="107"/>
        <v>1500</v>
      </c>
      <c r="F436" s="140">
        <f>H436</f>
        <v>1500</v>
      </c>
      <c r="G436" s="262"/>
      <c r="H436" s="140">
        <f t="shared" si="108"/>
        <v>1500</v>
      </c>
      <c r="I436" s="140">
        <f t="shared" si="109"/>
        <v>1500</v>
      </c>
      <c r="J436" s="140"/>
      <c r="K436" s="140"/>
      <c r="L436" s="140">
        <v>1500</v>
      </c>
      <c r="M436" s="140">
        <f t="shared" si="110"/>
        <v>0</v>
      </c>
      <c r="N436" s="140"/>
      <c r="O436" s="140"/>
      <c r="P436" s="140"/>
      <c r="Q436" s="262"/>
    </row>
    <row r="437" spans="1:17" s="138" customFormat="1" ht="12.75">
      <c r="A437" s="275"/>
      <c r="B437" s="79" t="s">
        <v>4</v>
      </c>
      <c r="C437" s="34"/>
      <c r="D437" s="270">
        <v>3119</v>
      </c>
      <c r="E437" s="140">
        <f t="shared" si="107"/>
        <v>0</v>
      </c>
      <c r="F437" s="140">
        <f>H437</f>
        <v>0</v>
      </c>
      <c r="G437" s="262"/>
      <c r="H437" s="140">
        <f t="shared" si="108"/>
        <v>0</v>
      </c>
      <c r="I437" s="140">
        <f t="shared" si="109"/>
        <v>0</v>
      </c>
      <c r="J437" s="140"/>
      <c r="K437" s="140"/>
      <c r="L437" s="140"/>
      <c r="M437" s="140">
        <f t="shared" si="110"/>
        <v>0</v>
      </c>
      <c r="N437" s="140"/>
      <c r="O437" s="140"/>
      <c r="P437" s="140"/>
      <c r="Q437" s="262"/>
    </row>
    <row r="438" spans="1:17" s="138" customFormat="1" ht="22.5">
      <c r="A438" s="275"/>
      <c r="B438" s="79" t="s">
        <v>853</v>
      </c>
      <c r="C438" s="34"/>
      <c r="D438" s="270">
        <v>4047</v>
      </c>
      <c r="E438" s="140">
        <f t="shared" si="107"/>
        <v>0</v>
      </c>
      <c r="F438" s="140">
        <f aca="true" t="shared" si="111" ref="F438:F443">H438</f>
        <v>0</v>
      </c>
      <c r="G438" s="262"/>
      <c r="H438" s="140">
        <f t="shared" si="108"/>
        <v>0</v>
      </c>
      <c r="I438" s="140">
        <f t="shared" si="109"/>
        <v>0</v>
      </c>
      <c r="J438" s="140"/>
      <c r="K438" s="140"/>
      <c r="L438" s="140"/>
      <c r="M438" s="140">
        <f t="shared" si="110"/>
        <v>0</v>
      </c>
      <c r="N438" s="140"/>
      <c r="O438" s="140"/>
      <c r="P438" s="140"/>
      <c r="Q438" s="262"/>
    </row>
    <row r="439" spans="1:17" s="138" customFormat="1" ht="22.5">
      <c r="A439" s="275"/>
      <c r="B439" s="79" t="s">
        <v>853</v>
      </c>
      <c r="C439" s="34"/>
      <c r="D439" s="270">
        <v>4049</v>
      </c>
      <c r="E439" s="140">
        <f t="shared" si="107"/>
        <v>0</v>
      </c>
      <c r="F439" s="140">
        <f t="shared" si="111"/>
        <v>0</v>
      </c>
      <c r="G439" s="262"/>
      <c r="H439" s="140">
        <f t="shared" si="108"/>
        <v>0</v>
      </c>
      <c r="I439" s="140">
        <f t="shared" si="109"/>
        <v>0</v>
      </c>
      <c r="J439" s="140"/>
      <c r="K439" s="140"/>
      <c r="L439" s="140"/>
      <c r="M439" s="140">
        <f t="shared" si="110"/>
        <v>0</v>
      </c>
      <c r="N439" s="140"/>
      <c r="O439" s="140"/>
      <c r="P439" s="140"/>
      <c r="Q439" s="262"/>
    </row>
    <row r="440" spans="1:17" s="138" customFormat="1" ht="12.75">
      <c r="A440" s="275"/>
      <c r="B440" s="79"/>
      <c r="C440" s="34"/>
      <c r="D440" s="270">
        <v>4377</v>
      </c>
      <c r="E440" s="140">
        <f t="shared" si="107"/>
        <v>1700</v>
      </c>
      <c r="F440" s="140">
        <f t="shared" si="111"/>
        <v>1700</v>
      </c>
      <c r="G440" s="262"/>
      <c r="H440" s="140">
        <f t="shared" si="108"/>
        <v>1700</v>
      </c>
      <c r="I440" s="140">
        <f t="shared" si="109"/>
        <v>0</v>
      </c>
      <c r="J440" s="140"/>
      <c r="K440" s="140"/>
      <c r="L440" s="140"/>
      <c r="M440" s="140">
        <f t="shared" si="110"/>
        <v>1700</v>
      </c>
      <c r="N440" s="140"/>
      <c r="O440" s="140"/>
      <c r="P440" s="140"/>
      <c r="Q440" s="262">
        <v>1700</v>
      </c>
    </row>
    <row r="441" spans="1:17" s="138" customFormat="1" ht="12.75">
      <c r="A441" s="275"/>
      <c r="B441" s="79"/>
      <c r="C441" s="34"/>
      <c r="D441" s="270">
        <v>4379</v>
      </c>
      <c r="E441" s="140">
        <f t="shared" si="107"/>
        <v>300</v>
      </c>
      <c r="F441" s="140">
        <f t="shared" si="111"/>
        <v>300</v>
      </c>
      <c r="G441" s="262"/>
      <c r="H441" s="140">
        <f t="shared" si="108"/>
        <v>300</v>
      </c>
      <c r="I441" s="140">
        <f t="shared" si="109"/>
        <v>300</v>
      </c>
      <c r="J441" s="140"/>
      <c r="K441" s="140"/>
      <c r="L441" s="140">
        <v>300</v>
      </c>
      <c r="M441" s="140"/>
      <c r="N441" s="140"/>
      <c r="O441" s="140"/>
      <c r="P441" s="140"/>
      <c r="Q441" s="262"/>
    </row>
    <row r="442" spans="1:17" s="138" customFormat="1" ht="12.75">
      <c r="A442" s="275"/>
      <c r="B442" s="79"/>
      <c r="C442" s="34"/>
      <c r="D442" s="270">
        <v>4757</v>
      </c>
      <c r="E442" s="140">
        <f t="shared" si="107"/>
        <v>7727</v>
      </c>
      <c r="F442" s="140">
        <f t="shared" si="111"/>
        <v>7727</v>
      </c>
      <c r="G442" s="262"/>
      <c r="H442" s="140">
        <f t="shared" si="108"/>
        <v>7727</v>
      </c>
      <c r="I442" s="140">
        <f t="shared" si="109"/>
        <v>0</v>
      </c>
      <c r="J442" s="140"/>
      <c r="K442" s="140"/>
      <c r="L442" s="140"/>
      <c r="M442" s="140">
        <f>SUM(N442:Q442)</f>
        <v>7727</v>
      </c>
      <c r="N442" s="140"/>
      <c r="O442" s="140"/>
      <c r="P442" s="140"/>
      <c r="Q442" s="262">
        <v>7727</v>
      </c>
    </row>
    <row r="443" spans="1:17" s="138" customFormat="1" ht="12.75">
      <c r="A443" s="275"/>
      <c r="B443" s="79"/>
      <c r="C443" s="34"/>
      <c r="D443" s="270">
        <v>4759</v>
      </c>
      <c r="E443" s="140">
        <f t="shared" si="107"/>
        <v>1363</v>
      </c>
      <c r="F443" s="140">
        <f t="shared" si="111"/>
        <v>1363</v>
      </c>
      <c r="G443" s="262"/>
      <c r="H443" s="140">
        <f t="shared" si="108"/>
        <v>1363</v>
      </c>
      <c r="I443" s="140">
        <f t="shared" si="109"/>
        <v>1363</v>
      </c>
      <c r="J443" s="140"/>
      <c r="K443" s="140"/>
      <c r="L443" s="140">
        <v>1363</v>
      </c>
      <c r="M443" s="140">
        <f>SUM(N443:Q443)</f>
        <v>0</v>
      </c>
      <c r="N443" s="140"/>
      <c r="O443" s="140"/>
      <c r="P443" s="140"/>
      <c r="Q443" s="262"/>
    </row>
    <row r="444" spans="1:17" s="138" customFormat="1" ht="22.5">
      <c r="A444" s="275"/>
      <c r="B444" s="422" t="s">
        <v>430</v>
      </c>
      <c r="C444" s="34"/>
      <c r="D444" s="270">
        <v>4417</v>
      </c>
      <c r="E444" s="140">
        <f t="shared" si="107"/>
        <v>1700</v>
      </c>
      <c r="F444" s="140"/>
      <c r="G444" s="262">
        <f>M444</f>
        <v>1700</v>
      </c>
      <c r="H444" s="140">
        <f t="shared" si="108"/>
        <v>1700</v>
      </c>
      <c r="I444" s="140">
        <f t="shared" si="109"/>
        <v>0</v>
      </c>
      <c r="J444" s="140"/>
      <c r="K444" s="140"/>
      <c r="L444" s="140"/>
      <c r="M444" s="140">
        <f>SUM(N444:Q444)</f>
        <v>1700</v>
      </c>
      <c r="N444" s="140"/>
      <c r="O444" s="140"/>
      <c r="P444" s="140"/>
      <c r="Q444" s="593">
        <v>1700</v>
      </c>
    </row>
    <row r="445" spans="1:17" s="138" customFormat="1" ht="22.5">
      <c r="A445" s="275"/>
      <c r="B445" s="422" t="s">
        <v>430</v>
      </c>
      <c r="C445" s="34"/>
      <c r="D445" s="270">
        <v>4419</v>
      </c>
      <c r="E445" s="140">
        <f t="shared" si="107"/>
        <v>300</v>
      </c>
      <c r="F445" s="140">
        <f>H445</f>
        <v>300</v>
      </c>
      <c r="G445" s="262"/>
      <c r="H445" s="140">
        <f t="shared" si="108"/>
        <v>300</v>
      </c>
      <c r="I445" s="140">
        <f t="shared" si="109"/>
        <v>300</v>
      </c>
      <c r="J445" s="140"/>
      <c r="K445" s="140"/>
      <c r="L445" s="593">
        <v>300</v>
      </c>
      <c r="M445" s="140">
        <f>SUM(N445:Q445)</f>
        <v>0</v>
      </c>
      <c r="N445" s="140"/>
      <c r="O445" s="140"/>
      <c r="P445" s="140"/>
      <c r="Q445" s="262"/>
    </row>
    <row r="446" spans="1:19" s="139" customFormat="1" ht="11.25">
      <c r="A446" s="595"/>
      <c r="B446" s="287">
        <v>2010</v>
      </c>
      <c r="C446" s="596"/>
      <c r="D446" s="596"/>
      <c r="E446" s="137">
        <f t="shared" si="107"/>
        <v>574370</v>
      </c>
      <c r="F446" s="137">
        <f>SUM(F417:F445)</f>
        <v>95581</v>
      </c>
      <c r="G446" s="137">
        <f>SUM(G417:G445)</f>
        <v>478789</v>
      </c>
      <c r="H446" s="137">
        <f t="shared" si="108"/>
        <v>574370</v>
      </c>
      <c r="I446" s="137">
        <f t="shared" si="109"/>
        <v>86154</v>
      </c>
      <c r="J446" s="137">
        <f>SUM(J417:J445)</f>
        <v>0</v>
      </c>
      <c r="K446" s="137">
        <f>SUM(K417:K445)</f>
        <v>0</v>
      </c>
      <c r="L446" s="137">
        <f>SUM(L417:L445)</f>
        <v>86154</v>
      </c>
      <c r="M446" s="137">
        <f>N446+O446+P446+Q446</f>
        <v>488216</v>
      </c>
      <c r="N446" s="137">
        <f>SUM(N417:N445)</f>
        <v>0</v>
      </c>
      <c r="O446" s="137">
        <f>SUM(O417:O445)</f>
        <v>0</v>
      </c>
      <c r="P446" s="137">
        <f>SUM(P417:P445)</f>
        <v>0</v>
      </c>
      <c r="Q446" s="137">
        <f>SUM(Q417:Q445)</f>
        <v>488216</v>
      </c>
      <c r="S446" s="597"/>
    </row>
    <row r="447" spans="1:19" s="139" customFormat="1" ht="12.75">
      <c r="A447" s="595"/>
      <c r="B447" s="287">
        <v>2011</v>
      </c>
      <c r="C447" s="596"/>
      <c r="D447" s="596"/>
      <c r="E447" s="140">
        <f>F447+G447</f>
        <v>1395600</v>
      </c>
      <c r="F447" s="140">
        <f>H447</f>
        <v>1395600</v>
      </c>
      <c r="G447" s="262"/>
      <c r="H447" s="140">
        <f>I447+M447</f>
        <v>1395600</v>
      </c>
      <c r="I447" s="140">
        <f>SUM(J447:L447)</f>
        <v>209340</v>
      </c>
      <c r="J447" s="140"/>
      <c r="K447" s="140"/>
      <c r="L447" s="593">
        <v>209340</v>
      </c>
      <c r="M447" s="140">
        <f>SUM(N447:Q447)</f>
        <v>1186260</v>
      </c>
      <c r="N447" s="140"/>
      <c r="O447" s="140"/>
      <c r="P447" s="140"/>
      <c r="Q447" s="262">
        <v>1186260</v>
      </c>
      <c r="S447" s="597"/>
    </row>
    <row r="448" spans="1:19" s="138" customFormat="1" ht="12.75">
      <c r="A448" s="275"/>
      <c r="B448" s="134">
        <v>2012</v>
      </c>
      <c r="C448" s="136"/>
      <c r="D448" s="136"/>
      <c r="E448" s="140">
        <f>F448+G448</f>
        <v>966700</v>
      </c>
      <c r="F448" s="140">
        <f>H448</f>
        <v>966700</v>
      </c>
      <c r="G448" s="262"/>
      <c r="H448" s="140">
        <f>I448+M448</f>
        <v>966700</v>
      </c>
      <c r="I448" s="140">
        <f>SUM(J448:L448)</f>
        <v>145005</v>
      </c>
      <c r="J448" s="140"/>
      <c r="K448" s="140"/>
      <c r="L448" s="593">
        <v>145005</v>
      </c>
      <c r="M448" s="140">
        <f>SUM(N448:Q448)</f>
        <v>821695</v>
      </c>
      <c r="N448" s="140"/>
      <c r="O448" s="140"/>
      <c r="P448" s="140"/>
      <c r="Q448" s="262">
        <v>821695</v>
      </c>
      <c r="S448" s="404"/>
    </row>
    <row r="449" spans="1:19" s="138" customFormat="1" ht="12.75">
      <c r="A449" s="275"/>
      <c r="B449" s="134">
        <v>2013</v>
      </c>
      <c r="C449" s="136"/>
      <c r="D449" s="136"/>
      <c r="E449" s="140">
        <f>F449+G449</f>
        <v>383550</v>
      </c>
      <c r="F449" s="140">
        <f>H449</f>
        <v>383550</v>
      </c>
      <c r="G449" s="262"/>
      <c r="H449" s="140">
        <f>I449+M449</f>
        <v>383550</v>
      </c>
      <c r="I449" s="140">
        <f>SUM(J449:L449)</f>
        <v>57532</v>
      </c>
      <c r="J449" s="140"/>
      <c r="K449" s="140"/>
      <c r="L449" s="593">
        <v>57532</v>
      </c>
      <c r="M449" s="140">
        <f>SUM(N449:Q449)</f>
        <v>326018</v>
      </c>
      <c r="N449" s="140"/>
      <c r="O449" s="140"/>
      <c r="P449" s="140"/>
      <c r="Q449" s="262">
        <v>326018</v>
      </c>
      <c r="S449" s="404"/>
    </row>
    <row r="450" spans="1:17" s="55" customFormat="1" ht="15" customHeight="1">
      <c r="A450" s="787" t="s">
        <v>233</v>
      </c>
      <c r="B450" s="787"/>
      <c r="C450" s="787" t="s">
        <v>184</v>
      </c>
      <c r="D450" s="787"/>
      <c r="E450" s="276">
        <f aca="true" t="shared" si="112" ref="E450:Q450">E10+E91</f>
        <v>48935930.51</v>
      </c>
      <c r="F450" s="276">
        <f t="shared" si="112"/>
        <v>22614290</v>
      </c>
      <c r="G450" s="277">
        <f t="shared" si="112"/>
        <v>24594548</v>
      </c>
      <c r="H450" s="277">
        <f t="shared" si="112"/>
        <v>47208838</v>
      </c>
      <c r="I450" s="276">
        <f t="shared" si="112"/>
        <v>17033734</v>
      </c>
      <c r="J450" s="276">
        <f t="shared" si="112"/>
        <v>0</v>
      </c>
      <c r="K450" s="276">
        <f t="shared" si="112"/>
        <v>0</v>
      </c>
      <c r="L450" s="276">
        <f t="shared" si="112"/>
        <v>17033734</v>
      </c>
      <c r="M450" s="276">
        <f t="shared" si="112"/>
        <v>29144804</v>
      </c>
      <c r="N450" s="276">
        <f t="shared" si="112"/>
        <v>0</v>
      </c>
      <c r="O450" s="276">
        <f t="shared" si="112"/>
        <v>0</v>
      </c>
      <c r="P450" s="276">
        <f t="shared" si="112"/>
        <v>0</v>
      </c>
      <c r="Q450" s="276" t="e">
        <f t="shared" si="112"/>
        <v>#REF!</v>
      </c>
    </row>
    <row r="453" ht="11.25">
      <c r="B453" s="421"/>
    </row>
    <row r="454" ht="11.25">
      <c r="D454" s="509"/>
    </row>
    <row r="455" ht="11.25">
      <c r="D455" s="509"/>
    </row>
    <row r="458" ht="11.25">
      <c r="D458" s="509"/>
    </row>
    <row r="460" ht="11.25">
      <c r="D460" s="509"/>
    </row>
    <row r="462" spans="2:4" ht="11.25">
      <c r="B462" s="288" t="s">
        <v>119</v>
      </c>
      <c r="D462" s="509">
        <f>D460-D458</f>
        <v>0</v>
      </c>
    </row>
  </sheetData>
  <sheetProtection/>
  <mergeCells count="52">
    <mergeCell ref="C414:Q414"/>
    <mergeCell ref="C412:Q412"/>
    <mergeCell ref="D413:Q413"/>
    <mergeCell ref="C81:Q81"/>
    <mergeCell ref="D82:Q82"/>
    <mergeCell ref="C83:Q83"/>
    <mergeCell ref="A1:Q1"/>
    <mergeCell ref="A3:A8"/>
    <mergeCell ref="B3:B8"/>
    <mergeCell ref="C3:C8"/>
    <mergeCell ref="D3:D8"/>
    <mergeCell ref="E3:E8"/>
    <mergeCell ref="F3:G3"/>
    <mergeCell ref="H3:Q3"/>
    <mergeCell ref="F4:F8"/>
    <mergeCell ref="G4:G8"/>
    <mergeCell ref="H4:Q4"/>
    <mergeCell ref="H5:H8"/>
    <mergeCell ref="I5:Q5"/>
    <mergeCell ref="I6:L6"/>
    <mergeCell ref="M6:Q6"/>
    <mergeCell ref="I7:I8"/>
    <mergeCell ref="J7:L7"/>
    <mergeCell ref="M7:M8"/>
    <mergeCell ref="N7:Q7"/>
    <mergeCell ref="A92:A111"/>
    <mergeCell ref="C92:Q95"/>
    <mergeCell ref="C10:D10"/>
    <mergeCell ref="A11:A21"/>
    <mergeCell ref="C11:Q13"/>
    <mergeCell ref="C14:Q14"/>
    <mergeCell ref="C31:Q31"/>
    <mergeCell ref="C39:Q39"/>
    <mergeCell ref="C22:Q22"/>
    <mergeCell ref="C71:Q74"/>
    <mergeCell ref="A318:A337"/>
    <mergeCell ref="C318:Q321"/>
    <mergeCell ref="C339:Q342"/>
    <mergeCell ref="C112:Q115"/>
    <mergeCell ref="C141:Q144"/>
    <mergeCell ref="C167:Q170"/>
    <mergeCell ref="C198:Q198"/>
    <mergeCell ref="C47:Q47"/>
    <mergeCell ref="C55:Q55"/>
    <mergeCell ref="C63:Q63"/>
    <mergeCell ref="A450:B450"/>
    <mergeCell ref="C450:D450"/>
    <mergeCell ref="C199:Q202"/>
    <mergeCell ref="C226:Q229"/>
    <mergeCell ref="C253:Q256"/>
    <mergeCell ref="C279:Q282"/>
    <mergeCell ref="C91:D9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9" sqref="D9"/>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7" customWidth="1"/>
    <col min="5" max="6" width="9.125" style="1" customWidth="1"/>
    <col min="7" max="7" width="10.125" style="1" bestFit="1" customWidth="1"/>
    <col min="8" max="16384" width="9.125" style="1" customWidth="1"/>
  </cols>
  <sheetData>
    <row r="1" spans="1:4" ht="15" customHeight="1">
      <c r="A1" s="735" t="s">
        <v>460</v>
      </c>
      <c r="B1" s="735"/>
      <c r="C1" s="735"/>
      <c r="D1" s="735"/>
    </row>
    <row r="2" ht="6.75" customHeight="1">
      <c r="A2" s="15"/>
    </row>
    <row r="3" ht="12.75">
      <c r="D3" s="90" t="s">
        <v>178</v>
      </c>
    </row>
    <row r="4" spans="1:4" ht="15" customHeight="1">
      <c r="A4" s="769" t="s">
        <v>195</v>
      </c>
      <c r="B4" s="769" t="s">
        <v>142</v>
      </c>
      <c r="C4" s="768" t="s">
        <v>196</v>
      </c>
      <c r="D4" s="781" t="s">
        <v>482</v>
      </c>
    </row>
    <row r="5" spans="1:4" ht="15" customHeight="1">
      <c r="A5" s="769"/>
      <c r="B5" s="769"/>
      <c r="C5" s="769"/>
      <c r="D5" s="781"/>
    </row>
    <row r="6" spans="1:4" ht="15.75" customHeight="1">
      <c r="A6" s="769"/>
      <c r="B6" s="769"/>
      <c r="C6" s="769"/>
      <c r="D6" s="781"/>
    </row>
    <row r="7" spans="1:4" s="57" customFormat="1" ht="6.75" customHeight="1">
      <c r="A7" s="56">
        <v>1</v>
      </c>
      <c r="B7" s="56">
        <v>2</v>
      </c>
      <c r="C7" s="56">
        <v>3</v>
      </c>
      <c r="D7" s="91">
        <v>4</v>
      </c>
    </row>
    <row r="8" spans="1:4" ht="18.75" customHeight="1">
      <c r="A8" s="820" t="s">
        <v>162</v>
      </c>
      <c r="B8" s="820"/>
      <c r="C8" s="22"/>
      <c r="D8" s="77">
        <f>SUM(D9:D16)</f>
        <v>8536851</v>
      </c>
    </row>
    <row r="9" spans="1:4" ht="18.75" customHeight="1">
      <c r="A9" s="23" t="s">
        <v>148</v>
      </c>
      <c r="B9" s="24" t="s">
        <v>156</v>
      </c>
      <c r="C9" s="23" t="s">
        <v>163</v>
      </c>
      <c r="D9" s="92">
        <f>3818329+4000-1996614-1473480</f>
        <v>352235</v>
      </c>
    </row>
    <row r="10" spans="1:4" ht="18.75" customHeight="1">
      <c r="A10" s="25" t="s">
        <v>149</v>
      </c>
      <c r="B10" s="26" t="s">
        <v>157</v>
      </c>
      <c r="C10" s="25" t="s">
        <v>163</v>
      </c>
      <c r="D10" s="93"/>
    </row>
    <row r="11" spans="1:7" ht="51">
      <c r="A11" s="25" t="s">
        <v>150</v>
      </c>
      <c r="B11" s="27" t="s">
        <v>255</v>
      </c>
      <c r="C11" s="25" t="s">
        <v>186</v>
      </c>
      <c r="D11" s="93"/>
      <c r="G11" s="67"/>
    </row>
    <row r="12" spans="1:4" ht="18.75" customHeight="1">
      <c r="A12" s="25" t="s">
        <v>138</v>
      </c>
      <c r="B12" s="26" t="s">
        <v>165</v>
      </c>
      <c r="C12" s="25" t="s">
        <v>187</v>
      </c>
      <c r="D12" s="93"/>
    </row>
    <row r="13" spans="1:4" ht="18.75" customHeight="1">
      <c r="A13" s="25" t="s">
        <v>155</v>
      </c>
      <c r="B13" s="26" t="s">
        <v>256</v>
      </c>
      <c r="C13" s="25" t="s">
        <v>357</v>
      </c>
      <c r="D13" s="93"/>
    </row>
    <row r="14" spans="1:4" ht="18.75" customHeight="1">
      <c r="A14" s="25" t="s">
        <v>158</v>
      </c>
      <c r="B14" s="26" t="s">
        <v>159</v>
      </c>
      <c r="C14" s="25" t="s">
        <v>164</v>
      </c>
      <c r="D14" s="93"/>
    </row>
    <row r="15" spans="1:4" ht="18.75" customHeight="1">
      <c r="A15" s="25" t="s">
        <v>160</v>
      </c>
      <c r="B15" s="26" t="s">
        <v>367</v>
      </c>
      <c r="C15" s="25" t="s">
        <v>205</v>
      </c>
      <c r="D15" s="93">
        <v>3600000</v>
      </c>
    </row>
    <row r="16" spans="1:4" ht="18.75" customHeight="1">
      <c r="A16" s="25" t="s">
        <v>167</v>
      </c>
      <c r="B16" s="29" t="s">
        <v>185</v>
      </c>
      <c r="C16" s="28" t="s">
        <v>166</v>
      </c>
      <c r="D16" s="94">
        <f>2083300+1300000+180000+D18</f>
        <v>4584616</v>
      </c>
    </row>
    <row r="17" spans="1:4" ht="18.75" customHeight="1">
      <c r="A17" s="820" t="s">
        <v>257</v>
      </c>
      <c r="B17" s="820"/>
      <c r="C17" s="22"/>
      <c r="D17" s="77">
        <f>SUM(D18:D24)</f>
        <v>1021316</v>
      </c>
    </row>
    <row r="18" spans="1:4" ht="18.75" customHeight="1">
      <c r="A18" s="23" t="s">
        <v>148</v>
      </c>
      <c r="B18" s="24" t="s">
        <v>188</v>
      </c>
      <c r="C18" s="23" t="s">
        <v>169</v>
      </c>
      <c r="D18" s="92">
        <v>1021316</v>
      </c>
    </row>
    <row r="19" spans="1:4" ht="18.75" customHeight="1">
      <c r="A19" s="25" t="s">
        <v>149</v>
      </c>
      <c r="B19" s="26" t="s">
        <v>168</v>
      </c>
      <c r="C19" s="25" t="s">
        <v>169</v>
      </c>
      <c r="D19" s="93"/>
    </row>
    <row r="20" spans="1:4" ht="38.25">
      <c r="A20" s="25" t="s">
        <v>150</v>
      </c>
      <c r="B20" s="27" t="s">
        <v>191</v>
      </c>
      <c r="C20" s="25" t="s">
        <v>192</v>
      </c>
      <c r="D20" s="93"/>
    </row>
    <row r="21" spans="1:4" ht="18.75" customHeight="1">
      <c r="A21" s="25" t="s">
        <v>138</v>
      </c>
      <c r="B21" s="26" t="s">
        <v>189</v>
      </c>
      <c r="C21" s="25" t="s">
        <v>183</v>
      </c>
      <c r="D21" s="93"/>
    </row>
    <row r="22" spans="1:4" ht="18.75" customHeight="1">
      <c r="A22" s="25" t="s">
        <v>155</v>
      </c>
      <c r="B22" s="26" t="s">
        <v>190</v>
      </c>
      <c r="C22" s="25" t="s">
        <v>171</v>
      </c>
      <c r="D22" s="93"/>
    </row>
    <row r="23" spans="1:4" ht="18.75" customHeight="1">
      <c r="A23" s="25" t="s">
        <v>158</v>
      </c>
      <c r="B23" s="26" t="s">
        <v>368</v>
      </c>
      <c r="C23" s="25" t="s">
        <v>172</v>
      </c>
      <c r="D23" s="93"/>
    </row>
    <row r="24" spans="1:4" ht="18.75" customHeight="1">
      <c r="A24" s="28" t="s">
        <v>160</v>
      </c>
      <c r="B24" s="29" t="s">
        <v>173</v>
      </c>
      <c r="C24" s="28" t="s">
        <v>170</v>
      </c>
      <c r="D24" s="94"/>
    </row>
    <row r="25" spans="1:4" ht="7.5" customHeight="1">
      <c r="A25" s="3"/>
      <c r="B25" s="4"/>
      <c r="C25" s="4"/>
      <c r="D25" s="95"/>
    </row>
    <row r="26" spans="1:6" ht="12.75">
      <c r="A26" s="37"/>
      <c r="B26" s="36"/>
      <c r="C26" s="36"/>
      <c r="D26" s="96"/>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1">
      <selection activeCell="I12" sqref="I12"/>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772" t="s">
        <v>494</v>
      </c>
      <c r="B1" s="772"/>
      <c r="C1" s="772"/>
      <c r="D1" s="772"/>
      <c r="E1" s="772"/>
      <c r="F1" s="772"/>
      <c r="G1" s="772"/>
      <c r="H1" s="772"/>
      <c r="I1" s="772"/>
      <c r="J1" s="772"/>
    </row>
    <row r="2" ht="12.75">
      <c r="J2" s="8" t="s">
        <v>178</v>
      </c>
    </row>
    <row r="3" spans="1:10" s="2" customFormat="1" ht="36.75" customHeight="1">
      <c r="A3" s="13" t="s">
        <v>139</v>
      </c>
      <c r="B3" s="80" t="s">
        <v>140</v>
      </c>
      <c r="C3" s="80" t="s">
        <v>262</v>
      </c>
      <c r="D3" s="14" t="s">
        <v>248</v>
      </c>
      <c r="E3" s="14" t="s">
        <v>358</v>
      </c>
      <c r="F3" s="781" t="s">
        <v>246</v>
      </c>
      <c r="G3" s="768" t="s">
        <v>143</v>
      </c>
      <c r="H3" s="768"/>
      <c r="I3" s="768"/>
      <c r="J3" s="768" t="s">
        <v>247</v>
      </c>
    </row>
    <row r="4" spans="1:10" s="2" customFormat="1" ht="65.25" customHeight="1">
      <c r="A4" s="13"/>
      <c r="B4" s="81"/>
      <c r="C4" s="81"/>
      <c r="D4" s="13"/>
      <c r="E4" s="14"/>
      <c r="F4" s="781"/>
      <c r="G4" s="85" t="s">
        <v>80</v>
      </c>
      <c r="H4" s="85" t="s">
        <v>245</v>
      </c>
      <c r="I4" s="85" t="s">
        <v>673</v>
      </c>
      <c r="J4" s="768"/>
    </row>
    <row r="5" spans="1:10" ht="9" customHeight="1">
      <c r="A5" s="16">
        <v>1</v>
      </c>
      <c r="B5" s="16">
        <v>2</v>
      </c>
      <c r="C5" s="16">
        <v>3</v>
      </c>
      <c r="D5" s="86">
        <v>4</v>
      </c>
      <c r="E5" s="86">
        <v>5</v>
      </c>
      <c r="F5" s="86">
        <v>6</v>
      </c>
      <c r="G5" s="86">
        <v>7</v>
      </c>
      <c r="H5" s="86">
        <v>8</v>
      </c>
      <c r="I5" s="86">
        <v>9</v>
      </c>
      <c r="J5" s="16">
        <v>10</v>
      </c>
    </row>
    <row r="6" spans="1:10" ht="19.5" customHeight="1">
      <c r="A6" s="17" t="s">
        <v>401</v>
      </c>
      <c r="B6" s="17" t="s">
        <v>403</v>
      </c>
      <c r="C6" s="17">
        <v>211</v>
      </c>
      <c r="D6" s="74">
        <f>1!E12</f>
        <v>25000</v>
      </c>
      <c r="E6" s="74">
        <f>SUM(F6+J6)</f>
        <v>25000</v>
      </c>
      <c r="F6" s="74">
        <f>D6</f>
        <v>25000</v>
      </c>
      <c r="G6" s="74"/>
      <c r="H6" s="74"/>
      <c r="I6" s="74"/>
      <c r="J6" s="17"/>
    </row>
    <row r="7" spans="1:10" ht="19.5" customHeight="1">
      <c r="A7" s="17" t="s">
        <v>674</v>
      </c>
      <c r="B7" s="17" t="s">
        <v>675</v>
      </c>
      <c r="C7" s="17">
        <v>211</v>
      </c>
      <c r="D7" s="74">
        <f>1!E32</f>
        <v>166200</v>
      </c>
      <c r="E7" s="74">
        <f aca="true" t="shared" si="0" ref="E7:E19">SUM(F7+J7)</f>
        <v>166200</v>
      </c>
      <c r="F7" s="74">
        <f aca="true" t="shared" si="1" ref="F7:F19">D7</f>
        <v>166200</v>
      </c>
      <c r="G7" s="74"/>
      <c r="H7" s="74"/>
      <c r="I7" s="74"/>
      <c r="J7" s="17"/>
    </row>
    <row r="8" spans="1:10" ht="19.5" customHeight="1" hidden="1">
      <c r="A8" s="17"/>
      <c r="B8" s="17"/>
      <c r="C8" s="17">
        <v>640</v>
      </c>
      <c r="D8" s="74"/>
      <c r="E8" s="74">
        <f>SUM(F8+J8)</f>
        <v>0</v>
      </c>
      <c r="F8" s="74"/>
      <c r="G8" s="74"/>
      <c r="H8" s="74"/>
      <c r="I8" s="74"/>
      <c r="J8" s="17"/>
    </row>
    <row r="9" spans="1:10" ht="19.5" customHeight="1">
      <c r="A9" s="17" t="s">
        <v>676</v>
      </c>
      <c r="B9" s="17" t="s">
        <v>677</v>
      </c>
      <c r="C9" s="17">
        <v>211</v>
      </c>
      <c r="D9" s="74">
        <f>1!E38</f>
        <v>70000</v>
      </c>
      <c r="E9" s="74">
        <f t="shared" si="0"/>
        <v>70000</v>
      </c>
      <c r="F9" s="74">
        <f t="shared" si="1"/>
        <v>70000</v>
      </c>
      <c r="G9" s="74"/>
      <c r="H9" s="74"/>
      <c r="I9" s="74"/>
      <c r="J9" s="17"/>
    </row>
    <row r="10" spans="1:10" ht="19.5" customHeight="1">
      <c r="A10" s="17"/>
      <c r="B10" s="17" t="s">
        <v>678</v>
      </c>
      <c r="C10" s="17">
        <v>211</v>
      </c>
      <c r="D10" s="74">
        <f>1!E40</f>
        <v>4900</v>
      </c>
      <c r="E10" s="74">
        <f t="shared" si="0"/>
        <v>4900</v>
      </c>
      <c r="F10" s="74">
        <f t="shared" si="1"/>
        <v>4900</v>
      </c>
      <c r="G10" s="74"/>
      <c r="H10" s="74"/>
      <c r="I10" s="74"/>
      <c r="J10" s="17"/>
    </row>
    <row r="11" spans="1:11" ht="19.5" customHeight="1">
      <c r="A11" s="17"/>
      <c r="B11" s="17" t="s">
        <v>679</v>
      </c>
      <c r="C11" s="17">
        <v>211</v>
      </c>
      <c r="D11" s="74">
        <f>1!E43</f>
        <v>453000</v>
      </c>
      <c r="E11" s="74">
        <f t="shared" si="0"/>
        <v>453000</v>
      </c>
      <c r="F11" s="74">
        <f t="shared" si="1"/>
        <v>453000</v>
      </c>
      <c r="G11" s="374">
        <v>315600</v>
      </c>
      <c r="H11" s="374">
        <v>62900</v>
      </c>
      <c r="I11" s="374">
        <v>26400</v>
      </c>
      <c r="J11" s="17"/>
      <c r="K11" s="73"/>
    </row>
    <row r="12" spans="1:11" ht="19.5" customHeight="1">
      <c r="A12" s="17" t="s">
        <v>680</v>
      </c>
      <c r="B12" s="17" t="s">
        <v>681</v>
      </c>
      <c r="C12" s="17">
        <v>211</v>
      </c>
      <c r="D12" s="74">
        <f>1!E46</f>
        <v>320100</v>
      </c>
      <c r="E12" s="74">
        <f t="shared" si="0"/>
        <v>320100</v>
      </c>
      <c r="F12" s="74">
        <f t="shared" si="1"/>
        <v>320100</v>
      </c>
      <c r="G12" s="74">
        <v>241950</v>
      </c>
      <c r="H12" s="74">
        <v>41844</v>
      </c>
      <c r="I12" s="74">
        <v>17100</v>
      </c>
      <c r="J12" s="17"/>
      <c r="K12" s="73"/>
    </row>
    <row r="13" spans="1:10" ht="19.5" customHeight="1">
      <c r="A13" s="17"/>
      <c r="B13" s="17" t="s">
        <v>682</v>
      </c>
      <c r="C13" s="17">
        <v>211</v>
      </c>
      <c r="D13" s="74">
        <f>1!E54</f>
        <v>37500</v>
      </c>
      <c r="E13" s="74">
        <f t="shared" si="0"/>
        <v>37500</v>
      </c>
      <c r="F13" s="74">
        <f t="shared" si="1"/>
        <v>37500</v>
      </c>
      <c r="G13" s="74"/>
      <c r="H13" s="74">
        <v>900</v>
      </c>
      <c r="I13" s="74"/>
      <c r="J13" s="17"/>
    </row>
    <row r="14" spans="1:10" ht="19.5" customHeight="1">
      <c r="A14" s="17" t="s">
        <v>773</v>
      </c>
      <c r="B14" s="17" t="s">
        <v>774</v>
      </c>
      <c r="C14" s="17">
        <v>211</v>
      </c>
      <c r="D14" s="74">
        <f>1!E58</f>
        <v>3000</v>
      </c>
      <c r="E14" s="74">
        <f>SUM(F14+J14)</f>
        <v>3000</v>
      </c>
      <c r="F14" s="74">
        <f>D14</f>
        <v>3000</v>
      </c>
      <c r="G14" s="74"/>
      <c r="H14" s="74"/>
      <c r="I14" s="74"/>
      <c r="J14" s="17"/>
    </row>
    <row r="15" spans="1:10" ht="19.5" customHeight="1" hidden="1">
      <c r="A15" s="17"/>
      <c r="B15" s="17"/>
      <c r="C15" s="17"/>
      <c r="D15" s="74"/>
      <c r="E15" s="74"/>
      <c r="F15" s="74"/>
      <c r="G15" s="74"/>
      <c r="H15" s="74"/>
      <c r="I15" s="74"/>
      <c r="J15" s="17"/>
    </row>
    <row r="16" spans="1:10" ht="19.5" customHeight="1">
      <c r="A16" s="17" t="s">
        <v>683</v>
      </c>
      <c r="B16" s="17" t="s">
        <v>684</v>
      </c>
      <c r="C16" s="17">
        <v>211</v>
      </c>
      <c r="D16" s="74">
        <f>1!E102</f>
        <v>2639300</v>
      </c>
      <c r="E16" s="74">
        <f t="shared" si="0"/>
        <v>2639300</v>
      </c>
      <c r="F16" s="74">
        <f t="shared" si="1"/>
        <v>2639300</v>
      </c>
      <c r="G16" s="74"/>
      <c r="H16" s="74"/>
      <c r="I16" s="74"/>
      <c r="J16" s="17"/>
    </row>
    <row r="17" spans="1:10" ht="19.5" customHeight="1">
      <c r="A17" s="17"/>
      <c r="B17" s="17" t="s">
        <v>685</v>
      </c>
      <c r="C17" s="17">
        <v>211</v>
      </c>
      <c r="D17" s="74">
        <f>1!E119</f>
        <v>754000</v>
      </c>
      <c r="E17" s="74">
        <f t="shared" si="0"/>
        <v>754000</v>
      </c>
      <c r="F17" s="74">
        <f t="shared" si="1"/>
        <v>754000</v>
      </c>
      <c r="G17" s="74">
        <v>425780</v>
      </c>
      <c r="H17" s="74">
        <f>68540+10740</f>
        <v>79280</v>
      </c>
      <c r="I17" s="74">
        <v>34700</v>
      </c>
      <c r="J17" s="17"/>
    </row>
    <row r="18" spans="1:10" ht="19.5" customHeight="1">
      <c r="A18" s="17" t="s">
        <v>686</v>
      </c>
      <c r="B18" s="17" t="s">
        <v>687</v>
      </c>
      <c r="C18" s="17">
        <v>211</v>
      </c>
      <c r="D18" s="74">
        <f>1!E129</f>
        <v>112000</v>
      </c>
      <c r="E18" s="74">
        <f t="shared" si="0"/>
        <v>112000</v>
      </c>
      <c r="F18" s="74">
        <f t="shared" si="1"/>
        <v>112000</v>
      </c>
      <c r="G18" s="74">
        <v>40000</v>
      </c>
      <c r="H18" s="74">
        <v>8000</v>
      </c>
      <c r="I18" s="74">
        <v>3000</v>
      </c>
      <c r="J18" s="74"/>
    </row>
    <row r="19" spans="1:10" ht="19.5" customHeight="1" hidden="1">
      <c r="A19" s="17"/>
      <c r="B19" s="17" t="s">
        <v>44</v>
      </c>
      <c r="C19" s="17">
        <v>211</v>
      </c>
      <c r="D19" s="74">
        <f>1!E137</f>
        <v>0</v>
      </c>
      <c r="E19" s="74">
        <f t="shared" si="0"/>
        <v>0</v>
      </c>
      <c r="F19" s="74">
        <f t="shared" si="1"/>
        <v>0</v>
      </c>
      <c r="G19" s="74"/>
      <c r="H19" s="74"/>
      <c r="I19" s="74"/>
      <c r="J19" s="74"/>
    </row>
    <row r="20" spans="1:10" s="53" customFormat="1" ht="19.5" customHeight="1">
      <c r="A20" s="821" t="s">
        <v>258</v>
      </c>
      <c r="B20" s="822"/>
      <c r="C20" s="822"/>
      <c r="D20" s="108">
        <f>SUM(D6:D19)</f>
        <v>4585000</v>
      </c>
      <c r="E20" s="108">
        <f>SUM(F20+J20)</f>
        <v>4585000</v>
      </c>
      <c r="F20" s="108">
        <f>SUM(F6:F19)</f>
        <v>4585000</v>
      </c>
      <c r="G20" s="108">
        <f>SUM(G6:G18)</f>
        <v>1023330</v>
      </c>
      <c r="H20" s="108">
        <f>SUM(H6:H18)</f>
        <v>192924</v>
      </c>
      <c r="I20" s="108">
        <f>SUM(I6:I18)</f>
        <v>81200</v>
      </c>
      <c r="J20" s="108">
        <f>SUM(J6:J18)</f>
        <v>0</v>
      </c>
    </row>
    <row r="22" ht="12.75">
      <c r="A22" s="60"/>
    </row>
  </sheetData>
  <sheetProtection/>
  <mergeCells count="5">
    <mergeCell ref="A20:C20"/>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2010-05-31T15:29:34Z</cp:lastPrinted>
  <dcterms:created xsi:type="dcterms:W3CDTF">1998-12-09T13:02:10Z</dcterms:created>
  <dcterms:modified xsi:type="dcterms:W3CDTF">2010-06-17T11:13:26Z</dcterms:modified>
  <cp:category/>
  <cp:version/>
  <cp:contentType/>
  <cp:contentStatus/>
</cp:coreProperties>
</file>