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budżet 2009" sheetId="1" r:id="rId1"/>
    <sheet name="etaty  2009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<sst xmlns="http://schemas.openxmlformats.org/spreadsheetml/2006/main" count="604" uniqueCount="221">
  <si>
    <t xml:space="preserve">Załącznik  nr  2  do  uchwały   Rady     Powiatu  Toruńskiego </t>
  </si>
  <si>
    <t xml:space="preserve">w  sprawie   Budżetu  Powiatu  Toruńskiego na  2009 .  </t>
  </si>
  <si>
    <t>WYDATKI   BUDŻETOWE   na  2009   ROK</t>
  </si>
  <si>
    <t>Dz.</t>
  </si>
  <si>
    <t>R.</t>
  </si>
  <si>
    <t>P.</t>
  </si>
  <si>
    <t>W Y S Z C Z E G Ó L N I E N I E</t>
  </si>
  <si>
    <t>BUDŻET   2007 - wg.  stanu  na  dzień   1.03.07</t>
  </si>
  <si>
    <t>BUDŻET   2007 - wg.  stanu  na  dzień   27.08.07</t>
  </si>
  <si>
    <t xml:space="preserve">Propozycje     budżetu   2008  złożone  przez jednostki  org. </t>
  </si>
  <si>
    <t>Propozycja  wydziałów    nadzorujących  lub   dane   z    kol. 7</t>
  </si>
  <si>
    <t xml:space="preserve">Wynagrodzenia     (  4010) -   do   wyliczenia   rezerwy </t>
  </si>
  <si>
    <t xml:space="preserve">Budżet  2008-   pierwotny </t>
  </si>
  <si>
    <t xml:space="preserve">Budżet  2008- na  30.09.2008 </t>
  </si>
  <si>
    <t>Przewidywane    wykonanie   na  31.12.2008</t>
  </si>
  <si>
    <t xml:space="preserve">Plan  jednostki </t>
  </si>
  <si>
    <t xml:space="preserve">Zakup  usług  pozostałych </t>
  </si>
  <si>
    <t>.020</t>
  </si>
  <si>
    <t>LEŚNICTWO</t>
  </si>
  <si>
    <t>.02001</t>
  </si>
  <si>
    <t>Gospodarka leśna</t>
  </si>
  <si>
    <t xml:space="preserve">Różne  wydatki na rzecz osób fizycznych </t>
  </si>
  <si>
    <t>.02002</t>
  </si>
  <si>
    <t xml:space="preserve">Nadzór nad  gospodarką leśną </t>
  </si>
  <si>
    <t xml:space="preserve">Dotacja  celowa  z  budżetu  na  finansowanie  lub  dofinansowanie  zadań  zleconych  do  realizacji  pozostałym  jednostkom  nie    zaliczanym  do  sektora  finansów  publicznych </t>
  </si>
  <si>
    <t>TRANSPORT I ŁĄCZNOŚĆ</t>
  </si>
  <si>
    <t>Drogi publiczne powiatowe</t>
  </si>
  <si>
    <t>Wydatki osobowe nie zaliczane do wynagr.</t>
  </si>
  <si>
    <t>Wynagrodzenia osobowe pracowników</t>
  </si>
  <si>
    <t>Dodatkowe wynagrodzenie roczne</t>
  </si>
  <si>
    <t>Składki na ubezpieczenia społeczne</t>
  </si>
  <si>
    <t>Składki na Fundusz Pracy</t>
  </si>
  <si>
    <t>Wynagrodzenie  bezosobowe</t>
  </si>
  <si>
    <t>Zakup materiałów i wyposażenia</t>
  </si>
  <si>
    <t>Zakup energii</t>
  </si>
  <si>
    <t>Zakup usług remontowych</t>
  </si>
  <si>
    <t>Zakup usług zdrowotnych</t>
  </si>
  <si>
    <t xml:space="preserve">Zakup  usług  dostępu  do  sieci  Internet </t>
  </si>
  <si>
    <t>Opłaty z tytułu usług telekomunikacyjnych telefonii komórkowej</t>
  </si>
  <si>
    <t>Opłata z tytułu telekomunikacyjnych telefonii stacjonarnej</t>
  </si>
  <si>
    <t>Zakup usług obejmujących wykonanie ekspertyz analiz i opinii</t>
  </si>
  <si>
    <t>Podróże służbowe krajowe</t>
  </si>
  <si>
    <t>Różne opłaty i składki</t>
  </si>
  <si>
    <t>Odpisy na zakładowy fundusz świadczeń socjalnych</t>
  </si>
  <si>
    <t xml:space="preserve">Podatek  od nieruchomości </t>
  </si>
  <si>
    <t>Szkolenia pracowników niebędących członkami korpusu służby cywilnej</t>
  </si>
  <si>
    <t>Zakup materiałów papierniczych do sprzętu</t>
  </si>
  <si>
    <t>Zakup akcesoriów komputerowych</t>
  </si>
  <si>
    <t xml:space="preserve">Wydatki  inwestycyjne  jednostek  budżetowych </t>
  </si>
  <si>
    <t>Wydatki na zakupy inwestycyjne jednostek budżetowych</t>
  </si>
  <si>
    <t>GOSPODARKA MIESZKANIOWA</t>
  </si>
  <si>
    <t>Gospodarka gruntami i nieruchomościami</t>
  </si>
  <si>
    <t xml:space="preserve">Zakup usług remontowych </t>
  </si>
  <si>
    <t xml:space="preserve">Koszty postępowania sądowego i prokuratorskiego </t>
  </si>
  <si>
    <t>Wydatki na zakupy inwestycyjne  jednostek budżetowych</t>
  </si>
  <si>
    <t>Podatek od nieruchomości</t>
  </si>
  <si>
    <t>DZIAŁALNOŚĆ USŁUGOWA</t>
  </si>
  <si>
    <t>Nadzór budowlany</t>
  </si>
  <si>
    <t xml:space="preserve">realizacja  PINB  w  Toruniu </t>
  </si>
  <si>
    <t>Wydatki osobowe niezaliczone do wynagrodzeń</t>
  </si>
  <si>
    <t xml:space="preserve">Wynagrodzenia  bezosobowe </t>
  </si>
  <si>
    <t>Zakup pozostałych usług</t>
  </si>
  <si>
    <t>Opłaty za administrowanie i   czynsze   za  budynki , lokale  i  pomieszczenia   garażowe</t>
  </si>
  <si>
    <t>Zakup materiałów papierniczych do sprzętu drukarskiego i urządzeń kserograficznych</t>
  </si>
  <si>
    <t>Zakup akcesoriów komputerowych w tym programów i licencji</t>
  </si>
  <si>
    <t xml:space="preserve">Administracja  publiczna </t>
  </si>
  <si>
    <t xml:space="preserve">Urzędy Wojewódzkie </t>
  </si>
  <si>
    <t>Rady powiatów</t>
  </si>
  <si>
    <t>Różne wydatki na rzecz osób fizycznych</t>
  </si>
  <si>
    <t>Zakup usług pozostałych</t>
  </si>
  <si>
    <t>Szkolenia pracowników nie będących członkami korpusu służby cywilnej</t>
  </si>
  <si>
    <t>Starostwa powiatowe</t>
  </si>
  <si>
    <t>z tego druki komunikacyjne</t>
  </si>
  <si>
    <t>Zakup leków i wyrobów  medycznych i produktów biobójczych</t>
  </si>
  <si>
    <t xml:space="preserve"> z tego tablice rejestracyjne</t>
  </si>
  <si>
    <t xml:space="preserve">Podróże służbowe zagraniczne </t>
  </si>
  <si>
    <t>Opłaty na  rzecz budżetu państwa</t>
  </si>
  <si>
    <t xml:space="preserve">Wydatki    inwestycyjne  jednostek  budżetowych </t>
  </si>
  <si>
    <t>BEZPIECZEŃSTWO PUBLICZNE I OCHRONA PRZECIWPOŻAROWA</t>
  </si>
  <si>
    <t xml:space="preserve">Komendy  Wojewódzkie  Policji </t>
  </si>
  <si>
    <t>Pozostała działalność</t>
  </si>
  <si>
    <t>Dotacje celowe przekazane dla powiatu   na zadania  bieżące realizowane na podstawie porozumień (umów) między  jednostkami samorządu terytorialnego</t>
  </si>
  <si>
    <t>OBSŁUGA DŁUGU PUBLICZNEGO</t>
  </si>
  <si>
    <t>Obsługa papierów wartościowych , kredytów i pożyczek jednostek samorządu terytorialnego</t>
  </si>
  <si>
    <t>Odsetki i dyskonto od krajowych skarbowych papierów wartościowych oraz pożyczek i kredytów</t>
  </si>
  <si>
    <t>OŚWIATA I WYCHOWANIE</t>
  </si>
  <si>
    <t>Szkoła podstawowa  specjalna</t>
  </si>
  <si>
    <t>Realizacja Z.Sz.S. w Chełmży</t>
  </si>
  <si>
    <t>Składki na ubezpieczenie społeczne</t>
  </si>
  <si>
    <t>Gimnazja specjalne</t>
  </si>
  <si>
    <t>Składki na Fundusz  Pracy</t>
  </si>
  <si>
    <t>Zakup pomocy naukowych , dydaktycznych , książek</t>
  </si>
  <si>
    <t>Zakup akcesoriów komputerowych, w tym programów i licencji</t>
  </si>
  <si>
    <t>Licea ogólnokształcące</t>
  </si>
  <si>
    <t>w tym:</t>
  </si>
  <si>
    <t>Szkoły  zawodowe</t>
  </si>
  <si>
    <t>Dotacje celowe przekazane do   samorządu   województwa  na zadania  bieżące realizowane na podstawie porozumień (umów) między  jednostkami samorządu terytorialnego</t>
  </si>
  <si>
    <t xml:space="preserve">Wpłaty  na  PFRON </t>
  </si>
  <si>
    <t xml:space="preserve">Zakup pomocy  naukowych , dydaktycznych  i  książek </t>
  </si>
  <si>
    <t>Opłaty z tytułu zakupu usług telekomunikacyjnych telefonii komórkowej</t>
  </si>
  <si>
    <t xml:space="preserve">Opłaty z tytułu zakupu usług telekomunikacyjnych telefonii  stacjonarnej </t>
  </si>
  <si>
    <t>Opłaty z tytułu zakupu usług telekomunikacyjnych telefonii stacjonarnej</t>
  </si>
  <si>
    <t>Wynagrodzenia  bezosobowe</t>
  </si>
  <si>
    <t>Szkoły artystyczne</t>
  </si>
  <si>
    <t>Szkoły zawodowe specjalne</t>
  </si>
  <si>
    <t>Dokształcanie i doskonalenie nauczycieli</t>
  </si>
  <si>
    <t xml:space="preserve">Starostwo Powiatowe  w  Toruniu </t>
  </si>
  <si>
    <t>Stołówki szkolne</t>
  </si>
  <si>
    <t xml:space="preserve">Wydatki na   zakupy  inwestycyjne  jednostek  budżetowych </t>
  </si>
  <si>
    <t>OCHRONA ZDROWIA</t>
  </si>
  <si>
    <t xml:space="preserve">Składki na ubezpiecz. zdrowotne oraz świadczenia dla osób nieobjętych obowiązkiem ubezpieczenia  zdrowotnego </t>
  </si>
  <si>
    <t>Składki na ubezpieczenia zdrowotne</t>
  </si>
  <si>
    <t xml:space="preserve">*Placówka Opiekuńczo - Wychowawcza w Głuchowie </t>
  </si>
  <si>
    <t>POMOC SPOŁECZNA</t>
  </si>
  <si>
    <t xml:space="preserve">Placówki Opiekuńczo-Wychowawcze </t>
  </si>
  <si>
    <t>Dotacje celowe przekazane dla powiatu na zadania bieżące realizowane na podstawie porozumień (umów) między jednostkami samorządu terytorialnego</t>
  </si>
  <si>
    <t>Świadczenia społeczne</t>
  </si>
  <si>
    <t>Zakup środków żywności</t>
  </si>
  <si>
    <t>Opłaty za korzystanie   ze  środowiska</t>
  </si>
  <si>
    <t>Wydatki  inwestycyjne jednostek budżetowych</t>
  </si>
  <si>
    <t>Zakup   usług  pozostałych</t>
  </si>
  <si>
    <t xml:space="preserve">*PCPR  w Toruniu </t>
  </si>
  <si>
    <t xml:space="preserve">*Starostwo Powiatowe </t>
  </si>
  <si>
    <t>Domy pomocy społecznej</t>
  </si>
  <si>
    <t>Nagrody i wydatki osobowe nie zaliczane do wynagr.</t>
  </si>
  <si>
    <t xml:space="preserve">Zakup  usług obejmujących   wykonanie  ekspertyz, analiz   i  opinii </t>
  </si>
  <si>
    <t>*DPS PIGŻA</t>
  </si>
  <si>
    <t>Opłaty na rzecz budżetów jednostek samorz.teryt.</t>
  </si>
  <si>
    <t>Wydatki inwestycyjne jedn.budżet.</t>
  </si>
  <si>
    <t>*DPS BROWINA</t>
  </si>
  <si>
    <t>Wydatki inwestycyjne jednostek budżetowych</t>
  </si>
  <si>
    <t>Wydatki na  zakupy  inwestycyjne jednostek budżetowych</t>
  </si>
  <si>
    <t>*DPS WIELKA NIESZAWKA</t>
  </si>
  <si>
    <t>Wynagrodzenie bezosobowe</t>
  </si>
  <si>
    <t>*DPS DOBRZEJEWICE</t>
  </si>
  <si>
    <t xml:space="preserve">Ośrodki  wsparcia </t>
  </si>
  <si>
    <t>Podatek na rzecz budżetów j.s.t.</t>
  </si>
  <si>
    <t xml:space="preserve">*ŚDS w  Osieku  -  DPS  Dobrzejewice </t>
  </si>
  <si>
    <t>Zakup leków ,wyrobów  medycznych i produktów biobójczych</t>
  </si>
  <si>
    <t xml:space="preserve">*ŚDS  -  DPS  Browina  </t>
  </si>
  <si>
    <t>zakup usług zdrowotnych</t>
  </si>
  <si>
    <t>Rodziny zastępcze</t>
  </si>
  <si>
    <t>w  tym:</t>
  </si>
  <si>
    <t xml:space="preserve">*PCPR w Toruniu </t>
  </si>
  <si>
    <t>*Starostwo Powiatowe</t>
  </si>
  <si>
    <t>Powiatowe centra pomocy rodzinie</t>
  </si>
  <si>
    <t>Jednostki specjalistycznego poradnictwa, mieszkania chronione i ośrodki interwencji kryzysowej</t>
  </si>
  <si>
    <t>Wynagrodzenia bezosobowe</t>
  </si>
  <si>
    <t xml:space="preserve">Dokształcanie  i  doskonalenie  nauczycieli </t>
  </si>
  <si>
    <t xml:space="preserve">Pozostała  działalność </t>
  </si>
  <si>
    <t>POZOSTAŁE ZADANIA W ZAKRESIE POLITYKI SPOŁECZNEJ</t>
  </si>
  <si>
    <t xml:space="preserve">Rehabilitacja   zawodowa  i  społeczna  osób  niepełnosprawnych </t>
  </si>
  <si>
    <t>Zespoły do spraw orzekania o niepełnosprawności</t>
  </si>
  <si>
    <t xml:space="preserve">Powiatowe urzędy pracy </t>
  </si>
  <si>
    <t xml:space="preserve">Opłata   na  rzecz  budżetów  j.s.t. </t>
  </si>
  <si>
    <t xml:space="preserve">Szkolenia  pracowników nie  będących   członkami   korpusu  służby   cywilnej </t>
  </si>
  <si>
    <t xml:space="preserve">Pomoc   dla  repatriantów </t>
  </si>
  <si>
    <t>EDUKACYJNA OPIEKA WYCHOWAWCZA</t>
  </si>
  <si>
    <t>Świetlice szkolne</t>
  </si>
  <si>
    <t xml:space="preserve">Poradnie psychologiczno -pedagogiczne, w  tym  poradnie  specjalistyczne </t>
  </si>
  <si>
    <t xml:space="preserve">Internaty i bursy szkolne </t>
  </si>
  <si>
    <t xml:space="preserve">Kolonie  i  obozy   dla  młodzieży polonijnej   w  kraju </t>
  </si>
  <si>
    <t xml:space="preserve">* P.Sz. Muzyczna  w   Chełmży </t>
  </si>
  <si>
    <t xml:space="preserve">Pomoc materialna dla uczniów </t>
  </si>
  <si>
    <t xml:space="preserve">Stypendia  oraz  inne formy pomocy dla uczniów </t>
  </si>
  <si>
    <t>*Z.SZ Chełmża-stypendia   z  programu  rządowego</t>
  </si>
  <si>
    <t xml:space="preserve">*Z.SZ.CKU Gronowo-stypendia  z  programu  rządowego </t>
  </si>
  <si>
    <t>KULTURA I OCHRONA DZIEDZICTWA NARODOWEGO</t>
  </si>
  <si>
    <t xml:space="preserve">Dotacja  celowa  z  budżetu  na  finansowanie  lub  dofinansowanie  zadań  zleconych  do  realizacji   fundacjom  </t>
  </si>
  <si>
    <t xml:space="preserve">*Zespół Szkół  w Chełmży </t>
  </si>
  <si>
    <t xml:space="preserve">*Z.Sz. S. w Chełmży </t>
  </si>
  <si>
    <t>RAZEM   WYDATKI BUDŻETOWE</t>
  </si>
  <si>
    <t xml:space="preserve">BUDŻET    BEZ   UE </t>
  </si>
  <si>
    <t xml:space="preserve">Wynagrodzenie osobowe członków  korpusu  służby  cywilnej </t>
  </si>
  <si>
    <t xml:space="preserve">Kwoty   wynagrodzeń   nieperiodycznych  ,limitowanych </t>
  </si>
  <si>
    <t>Etaty  nauczycieli</t>
  </si>
  <si>
    <t>L.P</t>
  </si>
  <si>
    <t xml:space="preserve">Jednostka   organizacyjna   powiatu </t>
  </si>
  <si>
    <t>DPS  PIGŻA</t>
  </si>
  <si>
    <t>DPS BROWINA</t>
  </si>
  <si>
    <t>86,2  LUB  77,2</t>
  </si>
  <si>
    <t>DPS WIELKA  NIESZAWKA</t>
  </si>
  <si>
    <t>DPS DOBRZEJEWICE</t>
  </si>
  <si>
    <t xml:space="preserve"> ŚDS  BROWINA</t>
  </si>
  <si>
    <t>PCPR</t>
  </si>
  <si>
    <t>BRAK</t>
  </si>
  <si>
    <t>PUP DLA  PT   W  TORUNIU</t>
  </si>
  <si>
    <t>PINB</t>
  </si>
  <si>
    <t>STAROSTWO  POWIATOWE  W  TORUNIU</t>
  </si>
  <si>
    <t>POW  GŁUCHOWO</t>
  </si>
  <si>
    <t>PZD   w  Toruniu</t>
  </si>
  <si>
    <t>Z.SZ.W   CHEMŻY</t>
  </si>
  <si>
    <t>Z.SZ.  CKU  GRONOWO</t>
  </si>
  <si>
    <t>Z.SZ.S.W  CHEŁMŻY</t>
  </si>
  <si>
    <t>SZKOŁA  MUZYCZNA  I  STOPNIA  W   CHEŁMŻY</t>
  </si>
  <si>
    <t>PPP   W  CHEŁMŻY</t>
  </si>
  <si>
    <t xml:space="preserve">RAZEM   </t>
  </si>
  <si>
    <t xml:space="preserve">Łącznie  etaty   w  jednostce </t>
  </si>
  <si>
    <t xml:space="preserve">24,5 + 0 ,5  et. jako   umowa zlecenie  </t>
  </si>
  <si>
    <t xml:space="preserve">Wnioskowana  etatyzacja  przez  jednostkę </t>
  </si>
  <si>
    <t xml:space="preserve">Etaty   administracji </t>
  </si>
  <si>
    <t xml:space="preserve">% ZUS </t>
  </si>
  <si>
    <t>ŚDS DOBRZEJEWICE</t>
  </si>
  <si>
    <t xml:space="preserve">Zakup  usług  zdrowotnych </t>
  </si>
  <si>
    <t>Wydatki  inwestycyjne  jednostek budżetowych</t>
  </si>
  <si>
    <t xml:space="preserve">Rezerwy na inwestycje i zakupy inwestycyjne-standardy  w  domach  pomocy  społecznej </t>
  </si>
  <si>
    <t>w  tym projekty   współfinansowane   z UE</t>
  </si>
  <si>
    <t>Opłata z tytułu usług  telekomunikacyjnych telefonii stacjonarnej</t>
  </si>
  <si>
    <t>-Rozliczenia z tytułu poręczeń i gwarancji udzielonych przez Skarb Państwa lub jednostkę samorządu terytorialnego  </t>
  </si>
  <si>
    <t>Wypłaty z tytułu gwarancji i poręczeń</t>
  </si>
  <si>
    <t xml:space="preserve">Rozliczenia   z  bankami   związane   z  obsługą  długu  publicznego </t>
  </si>
  <si>
    <t>Pozostałe  odsetki</t>
  </si>
  <si>
    <t xml:space="preserve">Szkolenia  pracowników  korpusu   służby   cywilnej </t>
  </si>
  <si>
    <t xml:space="preserve">Wynagrodzenia  osobowe pracowników </t>
  </si>
  <si>
    <t>ZWIĘKSZENIA</t>
  </si>
  <si>
    <t>ZMNIEJSZENIA</t>
  </si>
  <si>
    <t xml:space="preserve">PLAN  PO  ZMIANACH </t>
  </si>
  <si>
    <t>STAN NA  DZIEŃ   15.12..2009</t>
  </si>
  <si>
    <t xml:space="preserve">Zakup  usług  przez  j.st. od  innych  j.st </t>
  </si>
  <si>
    <t xml:space="preserve">PLAN   </t>
  </si>
  <si>
    <t xml:space="preserve">Dotacje celowe  przekazane  dla  powiatu na zadania bieżące realizowane na  podstawie porozumień ( umów ) między j.s.t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</si>
</sst>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\ _z_ł_-;\-* #,##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6">
    <font>
      <sz val="10"/>
      <name val="Arial CE"/>
      <family val="0"/>
    </font>
    <font>
      <sz val="8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4" fontId="1" fillId="0" borderId="10" xfId="52" applyNumberFormat="1" applyFont="1" applyFill="1" applyBorder="1" applyAlignment="1">
      <alignment horizontal="right" vertical="center" wrapText="1"/>
      <protection/>
    </xf>
    <xf numFmtId="3" fontId="5" fillId="0" borderId="10" xfId="0" applyNumberFormat="1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shrinkToFit="1"/>
    </xf>
    <xf numFmtId="1" fontId="2" fillId="0" borderId="0" xfId="0" applyNumberFormat="1" applyFont="1" applyFill="1" applyBorder="1" applyAlignment="1">
      <alignment horizontal="center" vertical="center" shrinkToFit="1"/>
    </xf>
    <xf numFmtId="1" fontId="3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Alignment="1">
      <alignment horizontal="right" vertical="center" wrapText="1" shrinkToFit="1"/>
    </xf>
    <xf numFmtId="164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1" fontId="7" fillId="0" borderId="10" xfId="0" applyNumberFormat="1" applyFont="1" applyBorder="1" applyAlignment="1">
      <alignment vertical="center" wrapText="1" shrinkToFit="1"/>
    </xf>
    <xf numFmtId="0" fontId="7" fillId="0" borderId="10" xfId="0" applyFont="1" applyFill="1" applyBorder="1" applyAlignment="1">
      <alignment horizontal="center" vertical="center" shrinkToFit="1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vertical="center" wrapText="1" shrinkToFit="1"/>
    </xf>
    <xf numFmtId="0" fontId="7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vertical="center" shrinkToFit="1"/>
    </xf>
    <xf numFmtId="1" fontId="27" fillId="0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left" vertical="center" wrapText="1" shrinkToFit="1"/>
    </xf>
    <xf numFmtId="3" fontId="27" fillId="0" borderId="10" xfId="0" applyNumberFormat="1" applyFont="1" applyFill="1" applyBorder="1" applyAlignment="1">
      <alignment horizontal="right" vertical="center" shrinkToFit="1"/>
    </xf>
    <xf numFmtId="3" fontId="27" fillId="0" borderId="10" xfId="0" applyNumberFormat="1" applyFont="1" applyFill="1" applyBorder="1" applyAlignment="1">
      <alignment vertical="center" shrinkToFit="1"/>
    </xf>
    <xf numFmtId="0" fontId="28" fillId="0" borderId="10" xfId="0" applyFont="1" applyFill="1" applyBorder="1" applyAlignment="1">
      <alignment horizontal="center" vertical="center" shrinkToFit="1"/>
    </xf>
    <xf numFmtId="1" fontId="28" fillId="0" borderId="10" xfId="0" applyNumberFormat="1" applyFont="1" applyFill="1" applyBorder="1" applyAlignment="1">
      <alignment horizontal="center" vertical="center"/>
    </xf>
    <xf numFmtId="1" fontId="28" fillId="0" borderId="10" xfId="0" applyNumberFormat="1" applyFont="1" applyFill="1" applyBorder="1" applyAlignment="1">
      <alignment horizontal="left" vertical="center" wrapText="1" shrinkToFit="1"/>
    </xf>
    <xf numFmtId="3" fontId="28" fillId="0" borderId="10" xfId="0" applyNumberFormat="1" applyFont="1" applyFill="1" applyBorder="1" applyAlignment="1">
      <alignment horizontal="right" vertical="center" shrinkToFit="1"/>
    </xf>
    <xf numFmtId="3" fontId="28" fillId="0" borderId="10" xfId="0" applyNumberFormat="1" applyFont="1" applyFill="1" applyBorder="1" applyAlignment="1">
      <alignment vertical="center" shrinkToFit="1"/>
    </xf>
    <xf numFmtId="0" fontId="27" fillId="0" borderId="10" xfId="0" applyFont="1" applyFill="1" applyBorder="1" applyAlignment="1">
      <alignment shrinkToFit="1"/>
    </xf>
    <xf numFmtId="1" fontId="7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wrapText="1" shrinkToFit="1"/>
    </xf>
    <xf numFmtId="3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 vertical="center" shrinkToFit="1"/>
    </xf>
    <xf numFmtId="1" fontId="28" fillId="0" borderId="10" xfId="0" applyNumberFormat="1" applyFont="1" applyFill="1" applyBorder="1" applyAlignment="1">
      <alignment vertical="center" wrapText="1" shrinkToFit="1"/>
    </xf>
    <xf numFmtId="3" fontId="7" fillId="0" borderId="10" xfId="0" applyNumberFormat="1" applyFont="1" applyFill="1" applyBorder="1" applyAlignment="1">
      <alignment vertical="center" shrinkToFit="1"/>
    </xf>
    <xf numFmtId="1" fontId="27" fillId="0" borderId="10" xfId="0" applyNumberFormat="1" applyFont="1" applyFill="1" applyBorder="1" applyAlignment="1">
      <alignment vertical="center" wrapText="1" shrinkToFit="1"/>
    </xf>
    <xf numFmtId="3" fontId="7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shrinkToFit="1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 shrinkToFit="1"/>
    </xf>
    <xf numFmtId="1" fontId="7" fillId="0" borderId="10" xfId="0" applyNumberFormat="1" applyFont="1" applyFill="1" applyBorder="1" applyAlignment="1">
      <alignment vertical="center" wrapText="1" shrinkToFit="1"/>
    </xf>
    <xf numFmtId="3" fontId="7" fillId="0" borderId="10" xfId="0" applyNumberFormat="1" applyFont="1" applyFill="1" applyBorder="1" applyAlignment="1">
      <alignment vertical="center" shrinkToFit="1"/>
    </xf>
    <xf numFmtId="1" fontId="28" fillId="0" borderId="10" xfId="0" applyNumberFormat="1" applyFont="1" applyFill="1" applyBorder="1" applyAlignment="1">
      <alignment horizontal="center" vertical="center"/>
    </xf>
    <xf numFmtId="1" fontId="28" fillId="0" borderId="10" xfId="0" applyNumberFormat="1" applyFont="1" applyFill="1" applyBorder="1" applyAlignment="1">
      <alignment vertical="center" wrapText="1" shrinkToFit="1"/>
    </xf>
    <xf numFmtId="3" fontId="28" fillId="0" borderId="10" xfId="0" applyNumberFormat="1" applyFont="1" applyFill="1" applyBorder="1" applyAlignment="1">
      <alignment horizontal="right" vertical="center" shrinkToFit="1"/>
    </xf>
    <xf numFmtId="3" fontId="28" fillId="0" borderId="10" xfId="0" applyNumberFormat="1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/>
    </xf>
    <xf numFmtId="1" fontId="30" fillId="0" borderId="10" xfId="0" applyNumberFormat="1" applyFont="1" applyFill="1" applyBorder="1" applyAlignment="1">
      <alignment vertical="center" wrapText="1" shrinkToFit="1"/>
    </xf>
    <xf numFmtId="3" fontId="30" fillId="0" borderId="10" xfId="0" applyNumberFormat="1" applyFont="1" applyFill="1" applyBorder="1" applyAlignment="1">
      <alignment horizontal="right" vertical="center" shrinkToFit="1"/>
    </xf>
    <xf numFmtId="3" fontId="30" fillId="0" borderId="10" xfId="0" applyNumberFormat="1" applyFont="1" applyFill="1" applyBorder="1" applyAlignment="1">
      <alignment vertical="center" shrinkToFit="1"/>
    </xf>
    <xf numFmtId="3" fontId="31" fillId="0" borderId="10" xfId="0" applyNumberFormat="1" applyFont="1" applyFill="1" applyBorder="1" applyAlignment="1">
      <alignment horizontal="right" vertical="center" shrinkToFit="1"/>
    </xf>
    <xf numFmtId="1" fontId="31" fillId="0" borderId="10" xfId="0" applyNumberFormat="1" applyFont="1" applyFill="1" applyBorder="1" applyAlignment="1">
      <alignment vertical="center" wrapText="1" shrinkToFit="1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/>
    </xf>
    <xf numFmtId="0" fontId="32" fillId="0" borderId="0" xfId="0" applyFont="1" applyAlignment="1">
      <alignment wrapText="1"/>
    </xf>
    <xf numFmtId="0" fontId="33" fillId="0" borderId="10" xfId="0" applyFont="1" applyBorder="1" applyAlignment="1">
      <alignment wrapText="1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right" vertical="center" wrapText="1"/>
    </xf>
    <xf numFmtId="164" fontId="28" fillId="0" borderId="10" xfId="0" applyNumberFormat="1" applyFont="1" applyFill="1" applyBorder="1" applyAlignment="1">
      <alignment horizontal="right" vertical="center" shrinkToFit="1"/>
    </xf>
    <xf numFmtId="164" fontId="7" fillId="0" borderId="10" xfId="0" applyNumberFormat="1" applyFont="1" applyFill="1" applyBorder="1" applyAlignment="1">
      <alignment horizontal="right" vertical="center" shrinkToFit="1"/>
    </xf>
    <xf numFmtId="164" fontId="7" fillId="0" borderId="10" xfId="0" applyNumberFormat="1" applyFont="1" applyFill="1" applyBorder="1" applyAlignment="1">
      <alignment vertical="center" shrinkToFit="1"/>
    </xf>
    <xf numFmtId="165" fontId="7" fillId="0" borderId="10" xfId="42" applyNumberFormat="1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 vertical="center"/>
    </xf>
    <xf numFmtId="0" fontId="28" fillId="0" borderId="10" xfId="0" applyFont="1" applyFill="1" applyBorder="1" applyAlignment="1">
      <alignment horizontal="right" vertical="center" shrinkToFit="1"/>
    </xf>
    <xf numFmtId="1" fontId="28" fillId="0" borderId="10" xfId="0" applyNumberFormat="1" applyFont="1" applyFill="1" applyBorder="1" applyAlignment="1">
      <alignment horizontal="right" vertical="center"/>
    </xf>
    <xf numFmtId="0" fontId="30" fillId="0" borderId="10" xfId="0" applyFont="1" applyFill="1" applyBorder="1" applyAlignment="1">
      <alignment horizontal="center" vertical="center" shrinkToFit="1"/>
    </xf>
    <xf numFmtId="165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165" fontId="7" fillId="0" borderId="12" xfId="42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wrapText="1"/>
    </xf>
    <xf numFmtId="165" fontId="7" fillId="0" borderId="13" xfId="42" applyNumberFormat="1" applyFont="1" applyFill="1" applyBorder="1" applyAlignment="1">
      <alignment/>
    </xf>
    <xf numFmtId="165" fontId="7" fillId="0" borderId="14" xfId="42" applyNumberFormat="1" applyFont="1" applyFill="1" applyBorder="1" applyAlignment="1">
      <alignment/>
    </xf>
    <xf numFmtId="0" fontId="7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wrapText="1"/>
    </xf>
    <xf numFmtId="164" fontId="7" fillId="0" borderId="10" xfId="0" applyNumberFormat="1" applyFont="1" applyFill="1" applyBorder="1" applyAlignment="1">
      <alignment vertical="center"/>
    </xf>
    <xf numFmtId="164" fontId="28" fillId="0" borderId="10" xfId="0" applyNumberFormat="1" applyFont="1" applyFill="1" applyBorder="1" applyAlignment="1">
      <alignment vertical="center" shrinkToFit="1"/>
    </xf>
    <xf numFmtId="164" fontId="28" fillId="0" borderId="10" xfId="0" applyNumberFormat="1" applyFont="1" applyFill="1" applyBorder="1" applyAlignment="1">
      <alignment horizontal="right" vertical="center" shrinkToFit="1"/>
    </xf>
    <xf numFmtId="3" fontId="34" fillId="0" borderId="10" xfId="0" applyNumberFormat="1" applyFont="1" applyFill="1" applyBorder="1" applyAlignment="1">
      <alignment vertical="center" shrinkToFit="1"/>
    </xf>
    <xf numFmtId="3" fontId="35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vertical="center" wrapText="1" shrinkToFit="1"/>
    </xf>
    <xf numFmtId="3" fontId="4" fillId="0" borderId="10" xfId="0" applyNumberFormat="1" applyFont="1" applyFill="1" applyBorder="1" applyAlignment="1">
      <alignment horizontal="right" vertical="center" wrapText="1" shrinkToFi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" fontId="0" fillId="0" borderId="10" xfId="0" applyNumberFormat="1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3" fontId="28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 shrinkToFit="1"/>
    </xf>
    <xf numFmtId="3" fontId="0" fillId="0" borderId="10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shrinkToFit="1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vertical="center" wrapText="1" shrinkToFit="1"/>
    </xf>
    <xf numFmtId="0" fontId="34" fillId="0" borderId="10" xfId="0" applyFont="1" applyFill="1" applyBorder="1" applyAlignment="1">
      <alignment horizontal="center" vertical="center" shrinkToFit="1"/>
    </xf>
    <xf numFmtId="164" fontId="27" fillId="0" borderId="10" xfId="0" applyNumberFormat="1" applyFont="1" applyFill="1" applyBorder="1" applyAlignment="1">
      <alignment vertical="center" shrinkToFit="1"/>
    </xf>
    <xf numFmtId="0" fontId="27" fillId="0" borderId="0" xfId="0" applyFont="1" applyFill="1" applyAlignment="1">
      <alignment horizontal="center" vertical="center" shrinkToFit="1"/>
    </xf>
    <xf numFmtId="1" fontId="2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164" fontId="28" fillId="0" borderId="10" xfId="0" applyNumberFormat="1" applyFont="1" applyFill="1" applyBorder="1" applyAlignment="1">
      <alignment horizontal="right"/>
    </xf>
    <xf numFmtId="164" fontId="28" fillId="0" borderId="10" xfId="0" applyNumberFormat="1" applyFont="1" applyFill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LAN 2009 24-09-2008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5"/>
  <sheetViews>
    <sheetView tabSelected="1" zoomScalePageLayoutView="0" workbookViewId="0" topLeftCell="A112">
      <selection activeCell="A12" sqref="A12"/>
    </sheetView>
  </sheetViews>
  <sheetFormatPr defaultColWidth="9.00390625" defaultRowHeight="12.75"/>
  <cols>
    <col min="1" max="1" width="5.125" style="19" customWidth="1"/>
    <col min="2" max="2" width="8.375" style="19" customWidth="1"/>
    <col min="3" max="3" width="7.125" style="19" customWidth="1"/>
    <col min="4" max="4" width="30.625" style="19" customWidth="1"/>
    <col min="5" max="9" width="0" style="19" hidden="1" customWidth="1"/>
    <col min="10" max="10" width="14.00390625" style="19" hidden="1" customWidth="1"/>
    <col min="11" max="11" width="13.375" style="19" hidden="1" customWidth="1"/>
    <col min="12" max="12" width="15.375" style="19" hidden="1" customWidth="1"/>
    <col min="13" max="13" width="13.875" style="19" hidden="1" customWidth="1"/>
    <col min="14" max="14" width="12.875" style="19" customWidth="1"/>
    <col min="15" max="15" width="15.25390625" style="19" customWidth="1"/>
    <col min="16" max="16" width="16.25390625" style="19" customWidth="1"/>
    <col min="17" max="17" width="16.375" style="19" customWidth="1"/>
    <col min="18" max="18" width="9.125" style="19" customWidth="1"/>
    <col min="19" max="19" width="9.875" style="19" bestFit="1" customWidth="1"/>
    <col min="20" max="16384" width="9.125" style="19" customWidth="1"/>
  </cols>
  <sheetData>
    <row r="1" spans="1:17" ht="12">
      <c r="A1" s="15"/>
      <c r="B1" s="21" t="s">
        <v>0</v>
      </c>
      <c r="C1" s="15"/>
      <c r="D1" s="16"/>
      <c r="E1" s="17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">
      <c r="A2" s="15"/>
      <c r="B2" s="21" t="s">
        <v>1</v>
      </c>
      <c r="C2" s="15"/>
      <c r="D2" s="16"/>
      <c r="E2" s="17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2">
      <c r="A3" s="20"/>
      <c r="B3" s="21" t="s">
        <v>217</v>
      </c>
      <c r="C3" s="15"/>
      <c r="D3" s="22"/>
      <c r="E3" s="17"/>
      <c r="F3" s="17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12">
      <c r="A4" s="23"/>
      <c r="B4" s="24"/>
      <c r="C4" s="25"/>
      <c r="D4" s="26" t="s">
        <v>2</v>
      </c>
      <c r="E4" s="17"/>
      <c r="F4" s="17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2">
      <c r="A5" s="23"/>
      <c r="B5" s="24"/>
      <c r="C5" s="25"/>
      <c r="D5" s="27"/>
      <c r="E5" s="17"/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ht="34.5" customHeight="1">
      <c r="A6" s="31" t="s">
        <v>3</v>
      </c>
      <c r="B6" s="31" t="s">
        <v>4</v>
      </c>
      <c r="C6" s="32" t="s">
        <v>5</v>
      </c>
      <c r="D6" s="33" t="s">
        <v>6</v>
      </c>
      <c r="E6" s="34" t="s">
        <v>7</v>
      </c>
      <c r="F6" s="34" t="s">
        <v>8</v>
      </c>
      <c r="G6" s="34" t="s">
        <v>9</v>
      </c>
      <c r="H6" s="34" t="s">
        <v>10</v>
      </c>
      <c r="I6" s="34" t="s">
        <v>11</v>
      </c>
      <c r="J6" s="34" t="s">
        <v>12</v>
      </c>
      <c r="K6" s="34" t="s">
        <v>13</v>
      </c>
      <c r="L6" s="34" t="s">
        <v>14</v>
      </c>
      <c r="M6" s="34" t="s">
        <v>15</v>
      </c>
      <c r="N6" s="34" t="s">
        <v>219</v>
      </c>
      <c r="O6" s="34" t="s">
        <v>214</v>
      </c>
      <c r="P6" s="34" t="s">
        <v>215</v>
      </c>
      <c r="Q6" s="34" t="s">
        <v>216</v>
      </c>
    </row>
    <row r="7" spans="1:17" ht="12.75">
      <c r="A7" s="31">
        <v>1</v>
      </c>
      <c r="B7" s="31">
        <v>2</v>
      </c>
      <c r="C7" s="32">
        <v>3</v>
      </c>
      <c r="D7" s="33">
        <v>4</v>
      </c>
      <c r="E7" s="34">
        <v>5</v>
      </c>
      <c r="F7" s="34">
        <v>6</v>
      </c>
      <c r="G7" s="34">
        <v>7</v>
      </c>
      <c r="H7" s="34">
        <v>8</v>
      </c>
      <c r="I7" s="34"/>
      <c r="J7" s="34">
        <v>5</v>
      </c>
      <c r="K7" s="34">
        <v>6</v>
      </c>
      <c r="L7" s="34">
        <v>7</v>
      </c>
      <c r="M7" s="34">
        <v>8</v>
      </c>
      <c r="N7" s="34">
        <v>8</v>
      </c>
      <c r="O7" s="34">
        <v>6</v>
      </c>
      <c r="P7" s="34">
        <v>7</v>
      </c>
      <c r="Q7" s="34">
        <v>8</v>
      </c>
    </row>
    <row r="8" spans="1:17" ht="12.75">
      <c r="A8" s="35" t="s">
        <v>17</v>
      </c>
      <c r="B8" s="35"/>
      <c r="C8" s="36"/>
      <c r="D8" s="37" t="s">
        <v>18</v>
      </c>
      <c r="E8" s="38">
        <f>E11+E9</f>
        <v>299600</v>
      </c>
      <c r="F8" s="38">
        <f>F11+F9</f>
        <v>293498</v>
      </c>
      <c r="G8" s="39">
        <f>G11+G9</f>
        <v>314550</v>
      </c>
      <c r="H8" s="39">
        <f>H11+H9</f>
        <v>308030</v>
      </c>
      <c r="I8" s="39"/>
      <c r="J8" s="39">
        <f aca="true" t="shared" si="0" ref="J8:P8">J11+J9</f>
        <v>308030</v>
      </c>
      <c r="K8" s="39">
        <f t="shared" si="0"/>
        <v>308030</v>
      </c>
      <c r="L8" s="39">
        <f t="shared" si="0"/>
        <v>308030</v>
      </c>
      <c r="M8" s="39">
        <f t="shared" si="0"/>
        <v>322368</v>
      </c>
      <c r="N8" s="39">
        <v>322000</v>
      </c>
      <c r="O8" s="39">
        <f t="shared" si="0"/>
        <v>354</v>
      </c>
      <c r="P8" s="39">
        <f t="shared" si="0"/>
        <v>2203</v>
      </c>
      <c r="Q8" s="39">
        <f aca="true" t="shared" si="1" ref="Q8:Q38">N8+O8-P8</f>
        <v>320151</v>
      </c>
    </row>
    <row r="9" spans="1:17" ht="12.75">
      <c r="A9" s="40"/>
      <c r="B9" s="40" t="s">
        <v>19</v>
      </c>
      <c r="C9" s="41"/>
      <c r="D9" s="42" t="s">
        <v>20</v>
      </c>
      <c r="E9" s="43">
        <f>SUM(E10:E10)</f>
        <v>260000</v>
      </c>
      <c r="F9" s="43">
        <f>SUM(F10:F10)</f>
        <v>253898</v>
      </c>
      <c r="G9" s="44">
        <f>SUM(G10:G10)</f>
        <v>265000</v>
      </c>
      <c r="H9" s="44">
        <f>SUM(H10:H10)</f>
        <v>265000</v>
      </c>
      <c r="I9" s="44"/>
      <c r="J9" s="44">
        <f aca="true" t="shared" si="2" ref="J9:P9">SUM(J10:J10)</f>
        <v>265000</v>
      </c>
      <c r="K9" s="44">
        <f t="shared" si="2"/>
        <v>265000</v>
      </c>
      <c r="L9" s="44">
        <f t="shared" si="2"/>
        <v>265000</v>
      </c>
      <c r="M9" s="44">
        <f t="shared" si="2"/>
        <v>276000</v>
      </c>
      <c r="N9" s="44">
        <v>276000</v>
      </c>
      <c r="O9" s="44">
        <f t="shared" si="2"/>
        <v>0</v>
      </c>
      <c r="P9" s="44">
        <f t="shared" si="2"/>
        <v>2203</v>
      </c>
      <c r="Q9" s="39">
        <f t="shared" si="1"/>
        <v>273797</v>
      </c>
    </row>
    <row r="10" spans="1:17" ht="25.5">
      <c r="A10" s="45"/>
      <c r="B10" s="45"/>
      <c r="C10" s="46">
        <v>3030</v>
      </c>
      <c r="D10" s="47" t="s">
        <v>21</v>
      </c>
      <c r="E10" s="48">
        <v>260000</v>
      </c>
      <c r="F10" s="48">
        <v>253898</v>
      </c>
      <c r="G10" s="48">
        <v>265000</v>
      </c>
      <c r="H10" s="49">
        <f>G10</f>
        <v>265000</v>
      </c>
      <c r="I10" s="49"/>
      <c r="J10" s="49">
        <v>265000</v>
      </c>
      <c r="K10" s="49">
        <v>265000</v>
      </c>
      <c r="L10" s="49">
        <v>265000</v>
      </c>
      <c r="M10" s="49">
        <v>276000</v>
      </c>
      <c r="N10" s="49">
        <v>276000</v>
      </c>
      <c r="O10" s="49"/>
      <c r="P10" s="49">
        <v>2203</v>
      </c>
      <c r="Q10" s="39">
        <f t="shared" si="1"/>
        <v>273797</v>
      </c>
    </row>
    <row r="11" spans="1:17" ht="12.75">
      <c r="A11" s="40"/>
      <c r="B11" s="40" t="s">
        <v>22</v>
      </c>
      <c r="C11" s="41"/>
      <c r="D11" s="50" t="s">
        <v>23</v>
      </c>
      <c r="E11" s="43">
        <f>SUM(E12:E12)</f>
        <v>39600</v>
      </c>
      <c r="F11" s="43">
        <f>SUM(F12:F12)</f>
        <v>39600</v>
      </c>
      <c r="G11" s="44">
        <f>SUM(G12:G12)</f>
        <v>49550</v>
      </c>
      <c r="H11" s="44">
        <f>SUM(H12:H12)</f>
        <v>43030</v>
      </c>
      <c r="I11" s="44"/>
      <c r="J11" s="44">
        <f aca="true" t="shared" si="3" ref="J11:P11">SUM(J12:J12)</f>
        <v>43030</v>
      </c>
      <c r="K11" s="44">
        <f t="shared" si="3"/>
        <v>43030</v>
      </c>
      <c r="L11" s="44">
        <f t="shared" si="3"/>
        <v>43030</v>
      </c>
      <c r="M11" s="44">
        <f t="shared" si="3"/>
        <v>46368</v>
      </c>
      <c r="N11" s="44">
        <v>46000</v>
      </c>
      <c r="O11" s="44">
        <f t="shared" si="3"/>
        <v>354</v>
      </c>
      <c r="P11" s="44">
        <f t="shared" si="3"/>
        <v>0</v>
      </c>
      <c r="Q11" s="39">
        <f t="shared" si="1"/>
        <v>46354</v>
      </c>
    </row>
    <row r="12" spans="1:17" ht="76.5">
      <c r="A12" s="31"/>
      <c r="B12" s="31"/>
      <c r="C12" s="32">
        <v>2830</v>
      </c>
      <c r="D12" s="33" t="s">
        <v>24</v>
      </c>
      <c r="E12" s="49">
        <v>39600</v>
      </c>
      <c r="F12" s="49">
        <v>39600</v>
      </c>
      <c r="G12" s="51">
        <v>49550</v>
      </c>
      <c r="H12" s="49">
        <v>43030</v>
      </c>
      <c r="I12" s="49"/>
      <c r="J12" s="49">
        <v>43030</v>
      </c>
      <c r="K12" s="49">
        <v>43030</v>
      </c>
      <c r="L12" s="49">
        <v>43030</v>
      </c>
      <c r="M12" s="49">
        <v>46368</v>
      </c>
      <c r="N12" s="49">
        <v>46000</v>
      </c>
      <c r="O12" s="49">
        <v>354</v>
      </c>
      <c r="P12" s="49"/>
      <c r="Q12" s="39">
        <f t="shared" si="1"/>
        <v>46354</v>
      </c>
    </row>
    <row r="13" spans="1:17" ht="12.75">
      <c r="A13" s="35">
        <v>600</v>
      </c>
      <c r="B13" s="35"/>
      <c r="C13" s="36"/>
      <c r="D13" s="52" t="s">
        <v>25</v>
      </c>
      <c r="E13" s="38">
        <f>E14</f>
        <v>2145429.5</v>
      </c>
      <c r="F13" s="38">
        <f>F14</f>
        <v>4023929.5</v>
      </c>
      <c r="G13" s="39">
        <f>G14</f>
        <v>8624920</v>
      </c>
      <c r="H13" s="39">
        <f>H14</f>
        <v>8624920</v>
      </c>
      <c r="I13" s="39"/>
      <c r="J13" s="39">
        <f aca="true" t="shared" si="4" ref="J13:P13">J14</f>
        <v>2027920</v>
      </c>
      <c r="K13" s="39">
        <f t="shared" si="4"/>
        <v>2284286</v>
      </c>
      <c r="L13" s="39">
        <f t="shared" si="4"/>
        <v>2284286</v>
      </c>
      <c r="M13" s="39">
        <f t="shared" si="4"/>
        <v>3588900</v>
      </c>
      <c r="N13" s="39">
        <v>14302059</v>
      </c>
      <c r="O13" s="39">
        <f t="shared" si="4"/>
        <v>18894</v>
      </c>
      <c r="P13" s="39">
        <f t="shared" si="4"/>
        <v>484894</v>
      </c>
      <c r="Q13" s="39">
        <f t="shared" si="1"/>
        <v>13836059</v>
      </c>
    </row>
    <row r="14" spans="1:17" ht="12.75">
      <c r="A14" s="40"/>
      <c r="B14" s="40">
        <v>60014</v>
      </c>
      <c r="C14" s="41"/>
      <c r="D14" s="50" t="s">
        <v>26</v>
      </c>
      <c r="E14" s="49">
        <f>SUM(E15:E33)</f>
        <v>2145429.5</v>
      </c>
      <c r="F14" s="49">
        <f>SUM(F15:F33)</f>
        <v>4023929.5</v>
      </c>
      <c r="G14" s="49">
        <f>SUM(G15:G33)</f>
        <v>8624920</v>
      </c>
      <c r="H14" s="49">
        <f>SUM(H15:H33)</f>
        <v>8624920</v>
      </c>
      <c r="I14" s="49"/>
      <c r="J14" s="49">
        <f aca="true" t="shared" si="5" ref="J14:P14">SUM(J15:J33)</f>
        <v>2027920</v>
      </c>
      <c r="K14" s="49">
        <f t="shared" si="5"/>
        <v>2284286</v>
      </c>
      <c r="L14" s="49">
        <f t="shared" si="5"/>
        <v>2284286</v>
      </c>
      <c r="M14" s="49">
        <f t="shared" si="5"/>
        <v>3588900</v>
      </c>
      <c r="N14" s="39">
        <v>14302059</v>
      </c>
      <c r="O14" s="49">
        <f t="shared" si="5"/>
        <v>18894</v>
      </c>
      <c r="P14" s="49">
        <f t="shared" si="5"/>
        <v>484894</v>
      </c>
      <c r="Q14" s="39">
        <f t="shared" si="1"/>
        <v>13836059</v>
      </c>
    </row>
    <row r="15" spans="1:17" ht="25.5">
      <c r="A15" s="35"/>
      <c r="B15" s="35"/>
      <c r="C15" s="32">
        <v>3020</v>
      </c>
      <c r="D15" s="33" t="s">
        <v>27</v>
      </c>
      <c r="E15" s="49">
        <v>14400</v>
      </c>
      <c r="F15" s="49">
        <v>14400</v>
      </c>
      <c r="G15" s="53">
        <v>14800</v>
      </c>
      <c r="H15" s="53">
        <v>14800</v>
      </c>
      <c r="I15" s="53"/>
      <c r="J15" s="53">
        <v>14800</v>
      </c>
      <c r="K15" s="53">
        <v>14800</v>
      </c>
      <c r="L15" s="53">
        <v>14800</v>
      </c>
      <c r="M15" s="53">
        <v>16000</v>
      </c>
      <c r="N15" s="53">
        <v>17000</v>
      </c>
      <c r="O15" s="53">
        <v>5000</v>
      </c>
      <c r="P15" s="53"/>
      <c r="Q15" s="39">
        <f t="shared" si="1"/>
        <v>22000</v>
      </c>
    </row>
    <row r="16" spans="1:17" ht="12.75">
      <c r="A16" s="35"/>
      <c r="B16" s="35"/>
      <c r="C16" s="32">
        <v>4260</v>
      </c>
      <c r="D16" s="33" t="s">
        <v>34</v>
      </c>
      <c r="E16" s="49">
        <v>19300</v>
      </c>
      <c r="F16" s="49">
        <v>19300</v>
      </c>
      <c r="G16" s="53">
        <v>19750</v>
      </c>
      <c r="H16" s="53">
        <v>19750</v>
      </c>
      <c r="I16" s="53"/>
      <c r="J16" s="53">
        <v>19750</v>
      </c>
      <c r="K16" s="53">
        <v>19750</v>
      </c>
      <c r="L16" s="53">
        <v>19750</v>
      </c>
      <c r="M16" s="53">
        <v>20600</v>
      </c>
      <c r="N16" s="53">
        <v>20600</v>
      </c>
      <c r="O16" s="53">
        <v>3000</v>
      </c>
      <c r="P16" s="53"/>
      <c r="Q16" s="39">
        <f t="shared" si="1"/>
        <v>23600</v>
      </c>
    </row>
    <row r="17" spans="1:17" ht="12.75">
      <c r="A17" s="35"/>
      <c r="B17" s="35"/>
      <c r="C17" s="32">
        <v>4270</v>
      </c>
      <c r="D17" s="33" t="s">
        <v>35</v>
      </c>
      <c r="E17" s="49">
        <v>300000</v>
      </c>
      <c r="F17" s="49">
        <v>300000</v>
      </c>
      <c r="G17" s="53">
        <v>1600000</v>
      </c>
      <c r="H17" s="53">
        <v>1600000</v>
      </c>
      <c r="I17" s="53"/>
      <c r="J17" s="53">
        <f>700000-100000+215000</f>
        <v>815000</v>
      </c>
      <c r="K17" s="53">
        <f>700000-100000+215000</f>
        <v>815000</v>
      </c>
      <c r="L17" s="53">
        <f>700000-100000+215000</f>
        <v>815000</v>
      </c>
      <c r="M17" s="53">
        <v>1617000</v>
      </c>
      <c r="N17" s="53">
        <v>674800</v>
      </c>
      <c r="O17" s="53"/>
      <c r="P17" s="53">
        <f>9270+46000</f>
        <v>55270</v>
      </c>
      <c r="Q17" s="39">
        <f t="shared" si="1"/>
        <v>619530</v>
      </c>
    </row>
    <row r="18" spans="1:17" ht="12.75">
      <c r="A18" s="35"/>
      <c r="B18" s="35"/>
      <c r="C18" s="32">
        <v>4280</v>
      </c>
      <c r="D18" s="33" t="s">
        <v>36</v>
      </c>
      <c r="E18" s="49">
        <v>900</v>
      </c>
      <c r="F18" s="49">
        <v>900</v>
      </c>
      <c r="G18" s="53">
        <v>900</v>
      </c>
      <c r="H18" s="53">
        <v>900</v>
      </c>
      <c r="I18" s="53"/>
      <c r="J18" s="53">
        <v>900</v>
      </c>
      <c r="K18" s="53">
        <v>700</v>
      </c>
      <c r="L18" s="53">
        <v>700</v>
      </c>
      <c r="M18" s="53">
        <v>900</v>
      </c>
      <c r="N18" s="53">
        <v>900</v>
      </c>
      <c r="O18" s="53"/>
      <c r="P18" s="53">
        <v>281</v>
      </c>
      <c r="Q18" s="39">
        <f t="shared" si="1"/>
        <v>619</v>
      </c>
    </row>
    <row r="19" spans="1:17" ht="12.75">
      <c r="A19" s="35"/>
      <c r="B19" s="35"/>
      <c r="C19" s="32">
        <v>4300</v>
      </c>
      <c r="D19" s="33" t="s">
        <v>16</v>
      </c>
      <c r="E19" s="49">
        <f>(1155000-30000+5500)*101.9%</f>
        <v>1151979.5000000002</v>
      </c>
      <c r="F19" s="49">
        <f>(1155000-30000+5500)*101.9%</f>
        <v>1151979.5000000002</v>
      </c>
      <c r="G19" s="53">
        <v>1234000</v>
      </c>
      <c r="H19" s="53">
        <v>1234000</v>
      </c>
      <c r="I19" s="53"/>
      <c r="J19" s="53">
        <v>1100000</v>
      </c>
      <c r="K19" s="53">
        <v>1103500</v>
      </c>
      <c r="L19" s="53">
        <v>1103500</v>
      </c>
      <c r="M19" s="53">
        <v>1275000</v>
      </c>
      <c r="N19" s="53">
        <v>1125000</v>
      </c>
      <c r="O19" s="53">
        <v>9270</v>
      </c>
      <c r="P19" s="53"/>
      <c r="Q19" s="39">
        <f t="shared" si="1"/>
        <v>1134270</v>
      </c>
    </row>
    <row r="20" spans="1:17" ht="25.5">
      <c r="A20" s="35"/>
      <c r="B20" s="35"/>
      <c r="C20" s="32">
        <v>4350</v>
      </c>
      <c r="D20" s="33" t="s">
        <v>37</v>
      </c>
      <c r="E20" s="49">
        <v>1120</v>
      </c>
      <c r="F20" s="49">
        <v>1120</v>
      </c>
      <c r="G20" s="53">
        <v>1120</v>
      </c>
      <c r="H20" s="53">
        <v>1120</v>
      </c>
      <c r="I20" s="53"/>
      <c r="J20" s="53">
        <v>1120</v>
      </c>
      <c r="K20" s="53">
        <v>1500</v>
      </c>
      <c r="L20" s="53">
        <v>1500</v>
      </c>
      <c r="M20" s="53">
        <v>1500</v>
      </c>
      <c r="N20" s="53">
        <v>1500</v>
      </c>
      <c r="O20" s="53"/>
      <c r="P20" s="53">
        <v>560</v>
      </c>
      <c r="Q20" s="39">
        <f t="shared" si="1"/>
        <v>940</v>
      </c>
    </row>
    <row r="21" spans="1:17" ht="38.25">
      <c r="A21" s="35"/>
      <c r="B21" s="35"/>
      <c r="C21" s="32">
        <v>4360</v>
      </c>
      <c r="D21" s="33" t="s">
        <v>38</v>
      </c>
      <c r="E21" s="49">
        <v>6300</v>
      </c>
      <c r="F21" s="49">
        <v>6300</v>
      </c>
      <c r="G21" s="53">
        <v>6300</v>
      </c>
      <c r="H21" s="53">
        <v>6300</v>
      </c>
      <c r="I21" s="53"/>
      <c r="J21" s="53">
        <v>6300</v>
      </c>
      <c r="K21" s="53">
        <v>4200</v>
      </c>
      <c r="L21" s="53">
        <v>4200</v>
      </c>
      <c r="M21" s="53">
        <v>6300</v>
      </c>
      <c r="N21" s="53">
        <v>6300</v>
      </c>
      <c r="O21" s="53"/>
      <c r="P21" s="53">
        <v>1200</v>
      </c>
      <c r="Q21" s="39">
        <f t="shared" si="1"/>
        <v>5100</v>
      </c>
    </row>
    <row r="22" spans="1:17" ht="38.25">
      <c r="A22" s="35"/>
      <c r="B22" s="35"/>
      <c r="C22" s="32">
        <v>4370</v>
      </c>
      <c r="D22" s="33" t="s">
        <v>207</v>
      </c>
      <c r="E22" s="49">
        <v>6000</v>
      </c>
      <c r="F22" s="49">
        <v>6000</v>
      </c>
      <c r="G22" s="53">
        <v>6000</v>
      </c>
      <c r="H22" s="53">
        <v>6000</v>
      </c>
      <c r="I22" s="53"/>
      <c r="J22" s="53">
        <v>6000</v>
      </c>
      <c r="K22" s="53">
        <v>4300</v>
      </c>
      <c r="L22" s="53">
        <v>4300</v>
      </c>
      <c r="M22" s="53">
        <v>6000</v>
      </c>
      <c r="N22" s="53">
        <v>6000</v>
      </c>
      <c r="O22" s="53"/>
      <c r="P22" s="53">
        <v>1500</v>
      </c>
      <c r="Q22" s="39">
        <f t="shared" si="1"/>
        <v>4500</v>
      </c>
    </row>
    <row r="23" spans="1:17" ht="25.5">
      <c r="A23" s="35"/>
      <c r="B23" s="35"/>
      <c r="C23" s="32">
        <v>4390</v>
      </c>
      <c r="D23" s="33" t="s">
        <v>40</v>
      </c>
      <c r="E23" s="49"/>
      <c r="F23" s="49"/>
      <c r="G23" s="53"/>
      <c r="H23" s="53"/>
      <c r="I23" s="53"/>
      <c r="J23" s="53">
        <v>5000</v>
      </c>
      <c r="K23" s="53">
        <v>5000</v>
      </c>
      <c r="L23" s="53">
        <v>5000</v>
      </c>
      <c r="M23" s="53">
        <v>5000</v>
      </c>
      <c r="N23" s="53">
        <v>5000</v>
      </c>
      <c r="O23" s="53"/>
      <c r="P23" s="53">
        <v>500</v>
      </c>
      <c r="Q23" s="39">
        <f t="shared" si="1"/>
        <v>4500</v>
      </c>
    </row>
    <row r="24" spans="1:17" ht="12.75">
      <c r="A24" s="35"/>
      <c r="B24" s="35"/>
      <c r="C24" s="32">
        <v>4410</v>
      </c>
      <c r="D24" s="33" t="s">
        <v>41</v>
      </c>
      <c r="E24" s="49">
        <v>3500</v>
      </c>
      <c r="F24" s="49">
        <v>3500</v>
      </c>
      <c r="G24" s="53">
        <v>3600</v>
      </c>
      <c r="H24" s="53">
        <v>3600</v>
      </c>
      <c r="I24" s="53"/>
      <c r="J24" s="53">
        <v>3600</v>
      </c>
      <c r="K24" s="53">
        <v>3600</v>
      </c>
      <c r="L24" s="53">
        <v>3600</v>
      </c>
      <c r="M24" s="53">
        <v>3700</v>
      </c>
      <c r="N24" s="53">
        <v>3700</v>
      </c>
      <c r="O24" s="53"/>
      <c r="P24" s="53">
        <v>1000</v>
      </c>
      <c r="Q24" s="39">
        <f t="shared" si="1"/>
        <v>2700</v>
      </c>
    </row>
    <row r="25" spans="1:17" ht="12.75">
      <c r="A25" s="35"/>
      <c r="B25" s="35"/>
      <c r="C25" s="32">
        <v>4430</v>
      </c>
      <c r="D25" s="33" t="s">
        <v>42</v>
      </c>
      <c r="E25" s="49">
        <v>7800</v>
      </c>
      <c r="F25" s="49">
        <v>7800</v>
      </c>
      <c r="G25" s="53">
        <v>9000</v>
      </c>
      <c r="H25" s="53">
        <v>9000</v>
      </c>
      <c r="I25" s="53"/>
      <c r="J25" s="53">
        <v>9000</v>
      </c>
      <c r="K25" s="53">
        <v>9000</v>
      </c>
      <c r="L25" s="53">
        <v>9000</v>
      </c>
      <c r="M25" s="53">
        <v>10000</v>
      </c>
      <c r="N25" s="53">
        <v>15000</v>
      </c>
      <c r="O25" s="53"/>
      <c r="P25" s="53"/>
      <c r="Q25" s="39">
        <f t="shared" si="1"/>
        <v>15000</v>
      </c>
    </row>
    <row r="26" spans="1:17" ht="25.5">
      <c r="A26" s="35"/>
      <c r="B26" s="35"/>
      <c r="C26" s="32">
        <v>4440</v>
      </c>
      <c r="D26" s="33" t="s">
        <v>43</v>
      </c>
      <c r="E26" s="49">
        <v>19730</v>
      </c>
      <c r="F26" s="49">
        <v>18230</v>
      </c>
      <c r="G26" s="53">
        <v>18950</v>
      </c>
      <c r="H26" s="53">
        <v>18950</v>
      </c>
      <c r="I26" s="53"/>
      <c r="J26" s="53">
        <v>18950</v>
      </c>
      <c r="K26" s="53">
        <v>20090</v>
      </c>
      <c r="L26" s="53">
        <v>20090</v>
      </c>
      <c r="M26" s="53">
        <v>20900</v>
      </c>
      <c r="N26" s="53">
        <v>24330</v>
      </c>
      <c r="O26" s="53">
        <v>1000</v>
      </c>
      <c r="P26" s="53"/>
      <c r="Q26" s="39">
        <f t="shared" si="1"/>
        <v>25330</v>
      </c>
    </row>
    <row r="27" spans="1:17" ht="12.75">
      <c r="A27" s="35"/>
      <c r="B27" s="35"/>
      <c r="C27" s="32">
        <v>4480</v>
      </c>
      <c r="D27" s="33" t="s">
        <v>44</v>
      </c>
      <c r="E27" s="49">
        <v>6400</v>
      </c>
      <c r="F27" s="49">
        <v>6400</v>
      </c>
      <c r="G27" s="53">
        <v>6500</v>
      </c>
      <c r="H27" s="53">
        <v>6500</v>
      </c>
      <c r="I27" s="53"/>
      <c r="J27" s="53">
        <v>6500</v>
      </c>
      <c r="K27" s="53">
        <v>6775</v>
      </c>
      <c r="L27" s="53">
        <v>6775</v>
      </c>
      <c r="M27" s="53">
        <v>7000</v>
      </c>
      <c r="N27" s="53">
        <v>7000</v>
      </c>
      <c r="O27" s="53"/>
      <c r="P27" s="53"/>
      <c r="Q27" s="39">
        <f t="shared" si="1"/>
        <v>7000</v>
      </c>
    </row>
    <row r="28" spans="1:17" ht="38.25">
      <c r="A28" s="35"/>
      <c r="B28" s="35"/>
      <c r="C28" s="32">
        <v>4700</v>
      </c>
      <c r="D28" s="33" t="s">
        <v>45</v>
      </c>
      <c r="E28" s="49">
        <v>5000</v>
      </c>
      <c r="F28" s="49">
        <v>5000</v>
      </c>
      <c r="G28" s="53">
        <v>10000</v>
      </c>
      <c r="H28" s="53">
        <v>10000</v>
      </c>
      <c r="I28" s="53"/>
      <c r="J28" s="53">
        <v>5000</v>
      </c>
      <c r="K28" s="53">
        <v>5000</v>
      </c>
      <c r="L28" s="53">
        <v>5000</v>
      </c>
      <c r="M28" s="53">
        <v>5000</v>
      </c>
      <c r="N28" s="53">
        <v>5000</v>
      </c>
      <c r="O28" s="53">
        <v>624</v>
      </c>
      <c r="P28" s="53"/>
      <c r="Q28" s="39">
        <f t="shared" si="1"/>
        <v>5624</v>
      </c>
    </row>
    <row r="29" spans="1:17" ht="25.5">
      <c r="A29" s="35"/>
      <c r="B29" s="35"/>
      <c r="C29" s="32">
        <v>4740</v>
      </c>
      <c r="D29" s="33" t="s">
        <v>46</v>
      </c>
      <c r="E29" s="49">
        <v>1000</v>
      </c>
      <c r="F29" s="49">
        <v>1000</v>
      </c>
      <c r="G29" s="53">
        <v>1000</v>
      </c>
      <c r="H29" s="53">
        <v>1000</v>
      </c>
      <c r="I29" s="53"/>
      <c r="J29" s="53">
        <v>1000</v>
      </c>
      <c r="K29" s="53">
        <v>1000</v>
      </c>
      <c r="L29" s="53">
        <v>1000</v>
      </c>
      <c r="M29" s="53">
        <v>1000</v>
      </c>
      <c r="N29" s="53">
        <v>1000</v>
      </c>
      <c r="O29" s="53"/>
      <c r="P29" s="53">
        <v>583</v>
      </c>
      <c r="Q29" s="39">
        <f t="shared" si="1"/>
        <v>417</v>
      </c>
    </row>
    <row r="30" spans="1:17" ht="12.75">
      <c r="A30" s="35"/>
      <c r="B30" s="35"/>
      <c r="C30" s="32">
        <v>4750</v>
      </c>
      <c r="D30" s="33" t="s">
        <v>47</v>
      </c>
      <c r="E30" s="49">
        <v>2000</v>
      </c>
      <c r="F30" s="49">
        <v>2000</v>
      </c>
      <c r="G30" s="53">
        <v>5000</v>
      </c>
      <c r="H30" s="53">
        <v>5000</v>
      </c>
      <c r="I30" s="53"/>
      <c r="J30" s="53">
        <v>5000</v>
      </c>
      <c r="K30" s="53">
        <v>5215</v>
      </c>
      <c r="L30" s="53">
        <v>5215</v>
      </c>
      <c r="M30" s="53">
        <v>5000</v>
      </c>
      <c r="N30" s="53">
        <v>5000</v>
      </c>
      <c r="O30" s="53"/>
      <c r="P30" s="53">
        <v>4000</v>
      </c>
      <c r="Q30" s="39">
        <f t="shared" si="1"/>
        <v>1000</v>
      </c>
    </row>
    <row r="31" spans="1:17" ht="25.5">
      <c r="A31" s="35"/>
      <c r="B31" s="35"/>
      <c r="C31" s="54">
        <v>6059</v>
      </c>
      <c r="D31" s="55" t="s">
        <v>48</v>
      </c>
      <c r="E31" s="49">
        <v>300000</v>
      </c>
      <c r="F31" s="49">
        <v>1200000</v>
      </c>
      <c r="G31" s="51">
        <v>2836000</v>
      </c>
      <c r="H31" s="51">
        <v>2836000</v>
      </c>
      <c r="I31" s="51"/>
      <c r="J31" s="53"/>
      <c r="K31" s="53">
        <v>254856</v>
      </c>
      <c r="L31" s="53">
        <v>254856</v>
      </c>
      <c r="M31" s="53">
        <v>588000</v>
      </c>
      <c r="N31" s="53">
        <v>2584105</v>
      </c>
      <c r="O31" s="53"/>
      <c r="P31" s="53">
        <v>420000</v>
      </c>
      <c r="Q31" s="39">
        <f t="shared" si="1"/>
        <v>2164105</v>
      </c>
    </row>
    <row r="32" spans="1:17" ht="12.75">
      <c r="A32" s="35"/>
      <c r="B32" s="35"/>
      <c r="C32" s="54"/>
      <c r="D32" s="55"/>
      <c r="E32" s="49">
        <v>300000</v>
      </c>
      <c r="F32" s="49">
        <v>1200000</v>
      </c>
      <c r="G32" s="51">
        <v>2836000</v>
      </c>
      <c r="H32" s="51">
        <v>2836000</v>
      </c>
      <c r="I32" s="51"/>
      <c r="J32" s="53"/>
      <c r="K32" s="53"/>
      <c r="L32" s="53"/>
      <c r="M32" s="53"/>
      <c r="N32" s="53">
        <v>0</v>
      </c>
      <c r="O32" s="53"/>
      <c r="P32" s="53"/>
      <c r="Q32" s="39">
        <f t="shared" si="1"/>
        <v>0</v>
      </c>
    </row>
    <row r="33" spans="1:17" ht="25.5">
      <c r="A33" s="35"/>
      <c r="B33" s="35"/>
      <c r="C33" s="54">
        <v>6060</v>
      </c>
      <c r="D33" s="55" t="s">
        <v>49</v>
      </c>
      <c r="E33" s="49"/>
      <c r="F33" s="49">
        <v>80000</v>
      </c>
      <c r="G33" s="51">
        <v>16000</v>
      </c>
      <c r="H33" s="51">
        <v>16000</v>
      </c>
      <c r="I33" s="51"/>
      <c r="J33" s="53">
        <v>10000</v>
      </c>
      <c r="K33" s="53">
        <v>10000</v>
      </c>
      <c r="L33" s="53">
        <v>10000</v>
      </c>
      <c r="M33" s="53"/>
      <c r="N33" s="53">
        <v>0</v>
      </c>
      <c r="O33" s="53"/>
      <c r="P33" s="53"/>
      <c r="Q33" s="39">
        <f t="shared" si="1"/>
        <v>0</v>
      </c>
    </row>
    <row r="34" spans="1:17" ht="12.75">
      <c r="A34" s="35">
        <v>700</v>
      </c>
      <c r="B34" s="35"/>
      <c r="C34" s="36"/>
      <c r="D34" s="52" t="s">
        <v>50</v>
      </c>
      <c r="E34" s="38">
        <f>E35</f>
        <v>0</v>
      </c>
      <c r="F34" s="38">
        <f>F35</f>
        <v>0</v>
      </c>
      <c r="G34" s="39">
        <f>G35</f>
        <v>0</v>
      </c>
      <c r="H34" s="39">
        <f>H35</f>
        <v>0</v>
      </c>
      <c r="I34" s="39"/>
      <c r="J34" s="39">
        <f aca="true" t="shared" si="6" ref="J34:P34">J35</f>
        <v>50000</v>
      </c>
      <c r="K34" s="39">
        <f t="shared" si="6"/>
        <v>36000</v>
      </c>
      <c r="L34" s="39" t="e">
        <f t="shared" si="6"/>
        <v>#REF!</v>
      </c>
      <c r="M34" s="39" t="e">
        <f t="shared" si="6"/>
        <v>#REF!</v>
      </c>
      <c r="N34" s="39">
        <v>338672</v>
      </c>
      <c r="O34" s="39">
        <f t="shared" si="6"/>
        <v>0</v>
      </c>
      <c r="P34" s="39">
        <f t="shared" si="6"/>
        <v>74600</v>
      </c>
      <c r="Q34" s="39">
        <f t="shared" si="1"/>
        <v>264072</v>
      </c>
    </row>
    <row r="35" spans="1:17" ht="25.5">
      <c r="A35" s="40"/>
      <c r="B35" s="40">
        <v>70005</v>
      </c>
      <c r="C35" s="41"/>
      <c r="D35" s="50" t="s">
        <v>51</v>
      </c>
      <c r="E35" s="43">
        <f>SUM(E36:E37)</f>
        <v>0</v>
      </c>
      <c r="F35" s="43">
        <f>SUM(F36:F37)</f>
        <v>0</v>
      </c>
      <c r="G35" s="43">
        <f>SUM(G36:G37)</f>
        <v>0</v>
      </c>
      <c r="H35" s="43">
        <f>SUM(H36:H37)</f>
        <v>0</v>
      </c>
      <c r="I35" s="43"/>
      <c r="J35" s="43">
        <f>SUM(J36:J37)</f>
        <v>50000</v>
      </c>
      <c r="K35" s="43">
        <f>SUM(K36:K37)</f>
        <v>36000</v>
      </c>
      <c r="L35" s="43" t="e">
        <f>SUM(L36:L37)</f>
        <v>#REF!</v>
      </c>
      <c r="M35" s="43" t="e">
        <f>SUM(M36:M37)</f>
        <v>#REF!</v>
      </c>
      <c r="N35" s="43">
        <v>338672</v>
      </c>
      <c r="O35" s="43">
        <f>SUM(O36:O38)</f>
        <v>0</v>
      </c>
      <c r="P35" s="43">
        <f>SUM(P36:P38)</f>
        <v>74600</v>
      </c>
      <c r="Q35" s="39">
        <f t="shared" si="1"/>
        <v>264072</v>
      </c>
    </row>
    <row r="36" spans="1:17" ht="25.5">
      <c r="A36" s="56"/>
      <c r="B36" s="56"/>
      <c r="C36" s="57">
        <v>6050</v>
      </c>
      <c r="D36" s="58" t="s">
        <v>204</v>
      </c>
      <c r="E36" s="49"/>
      <c r="F36" s="49"/>
      <c r="G36" s="51"/>
      <c r="H36" s="49"/>
      <c r="I36" s="49"/>
      <c r="J36" s="59"/>
      <c r="K36" s="59">
        <v>25000</v>
      </c>
      <c r="L36" s="59" t="e">
        <f>#REF!</f>
        <v>#REF!</v>
      </c>
      <c r="M36" s="59" t="e">
        <f>#REF!</f>
        <v>#REF!</v>
      </c>
      <c r="N36" s="59">
        <v>80000</v>
      </c>
      <c r="O36" s="59"/>
      <c r="P36" s="59">
        <v>74600</v>
      </c>
      <c r="Q36" s="39">
        <f t="shared" si="1"/>
        <v>5400</v>
      </c>
    </row>
    <row r="37" spans="1:17" ht="25.5">
      <c r="A37" s="60"/>
      <c r="B37" s="60"/>
      <c r="C37" s="61">
        <v>6060</v>
      </c>
      <c r="D37" s="58" t="s">
        <v>54</v>
      </c>
      <c r="E37" s="49"/>
      <c r="F37" s="49"/>
      <c r="G37" s="51"/>
      <c r="H37" s="49">
        <f>G37</f>
        <v>0</v>
      </c>
      <c r="I37" s="49"/>
      <c r="J37" s="59">
        <v>50000</v>
      </c>
      <c r="K37" s="59">
        <v>11000</v>
      </c>
      <c r="L37" s="59">
        <f>L39</f>
        <v>11000</v>
      </c>
      <c r="M37" s="59">
        <f>M39</f>
        <v>0</v>
      </c>
      <c r="N37" s="59">
        <v>0</v>
      </c>
      <c r="O37" s="59">
        <f>O39</f>
        <v>0</v>
      </c>
      <c r="P37" s="59">
        <f>P39</f>
        <v>0</v>
      </c>
      <c r="Q37" s="39">
        <f t="shared" si="1"/>
        <v>0</v>
      </c>
    </row>
    <row r="38" spans="1:17" ht="12.75">
      <c r="A38" s="31"/>
      <c r="B38" s="31"/>
      <c r="C38" s="54"/>
      <c r="D38" s="55"/>
      <c r="E38" s="49"/>
      <c r="F38" s="49"/>
      <c r="G38" s="51"/>
      <c r="H38" s="49"/>
      <c r="I38" s="49"/>
      <c r="J38" s="49"/>
      <c r="K38" s="49"/>
      <c r="L38" s="49"/>
      <c r="M38" s="49"/>
      <c r="N38" s="49">
        <v>0</v>
      </c>
      <c r="O38" s="49"/>
      <c r="P38" s="49"/>
      <c r="Q38" s="39">
        <f t="shared" si="1"/>
        <v>0</v>
      </c>
    </row>
    <row r="39" spans="1:17" ht="25.5">
      <c r="A39" s="62"/>
      <c r="B39" s="62"/>
      <c r="C39" s="61">
        <v>6060</v>
      </c>
      <c r="D39" s="58" t="s">
        <v>54</v>
      </c>
      <c r="E39" s="49"/>
      <c r="F39" s="49"/>
      <c r="G39" s="51"/>
      <c r="H39" s="49">
        <f>G39</f>
        <v>0</v>
      </c>
      <c r="I39" s="49"/>
      <c r="J39" s="59">
        <v>50000</v>
      </c>
      <c r="K39" s="59">
        <v>11000</v>
      </c>
      <c r="L39" s="59">
        <v>11000</v>
      </c>
      <c r="M39" s="59"/>
      <c r="N39" s="59">
        <v>0</v>
      </c>
      <c r="O39" s="59"/>
      <c r="P39" s="59"/>
      <c r="Q39" s="39">
        <f aca="true" t="shared" si="7" ref="Q39:Q73">N39+O39-P39</f>
        <v>0</v>
      </c>
    </row>
    <row r="40" spans="1:17" ht="12.75">
      <c r="A40" s="35">
        <v>710</v>
      </c>
      <c r="B40" s="35"/>
      <c r="C40" s="36"/>
      <c r="D40" s="52" t="s">
        <v>56</v>
      </c>
      <c r="E40" s="38" t="e">
        <f>#REF!+E41+#REF!+#REF!</f>
        <v>#REF!</v>
      </c>
      <c r="F40" s="38" t="e">
        <f>#REF!+F41+#REF!+#REF!</f>
        <v>#REF!</v>
      </c>
      <c r="G40" s="38" t="e">
        <f>#REF!+G41+#REF!+#REF!</f>
        <v>#REF!</v>
      </c>
      <c r="H40" s="38" t="e">
        <f>#REF!+H41+#REF!+#REF!</f>
        <v>#REF!</v>
      </c>
      <c r="I40" s="38"/>
      <c r="J40" s="38" t="e">
        <f>#REF!+J41+#REF!+#REF!</f>
        <v>#REF!</v>
      </c>
      <c r="K40" s="38" t="e">
        <f>#REF!+K41+#REF!+#REF!</f>
        <v>#REF!</v>
      </c>
      <c r="L40" s="38" t="e">
        <f>#REF!+L41+#REF!+#REF!</f>
        <v>#REF!</v>
      </c>
      <c r="M40" s="38" t="e">
        <f>#REF!+M41+#REF!+#REF!</f>
        <v>#REF!</v>
      </c>
      <c r="N40" s="38">
        <v>616495</v>
      </c>
      <c r="O40" s="38">
        <f>O41</f>
        <v>8313</v>
      </c>
      <c r="P40" s="38">
        <f>P41</f>
        <v>8313</v>
      </c>
      <c r="Q40" s="39">
        <f t="shared" si="7"/>
        <v>616495</v>
      </c>
    </row>
    <row r="41" spans="1:17" ht="12.75">
      <c r="A41" s="40"/>
      <c r="B41" s="40">
        <v>71015</v>
      </c>
      <c r="C41" s="41"/>
      <c r="D41" s="50" t="s">
        <v>57</v>
      </c>
      <c r="E41" s="43">
        <f>SUM(E43:E61)</f>
        <v>292750</v>
      </c>
      <c r="F41" s="43">
        <f>SUM(F43:F61)</f>
        <v>310724</v>
      </c>
      <c r="G41" s="43">
        <f>SUM(G43:G61)</f>
        <v>342176</v>
      </c>
      <c r="H41" s="43">
        <f>SUM(H43:H61)</f>
        <v>341098</v>
      </c>
      <c r="I41" s="43"/>
      <c r="J41" s="43">
        <f aca="true" t="shared" si="8" ref="J41:P41">SUM(J43:J61)</f>
        <v>418700</v>
      </c>
      <c r="K41" s="43">
        <f t="shared" si="8"/>
        <v>467987</v>
      </c>
      <c r="L41" s="43">
        <f t="shared" si="8"/>
        <v>467987</v>
      </c>
      <c r="M41" s="43">
        <f t="shared" si="8"/>
        <v>568462</v>
      </c>
      <c r="N41" s="43">
        <v>541695</v>
      </c>
      <c r="O41" s="43">
        <f t="shared" si="8"/>
        <v>8313</v>
      </c>
      <c r="P41" s="43">
        <f t="shared" si="8"/>
        <v>8313</v>
      </c>
      <c r="Q41" s="39">
        <f t="shared" si="7"/>
        <v>541695</v>
      </c>
    </row>
    <row r="42" spans="1:17" ht="12.75">
      <c r="A42" s="40"/>
      <c r="B42" s="40"/>
      <c r="C42" s="41"/>
      <c r="D42" s="33" t="s">
        <v>58</v>
      </c>
      <c r="E42" s="63"/>
      <c r="F42" s="63"/>
      <c r="G42" s="64"/>
      <c r="H42" s="64"/>
      <c r="I42" s="64"/>
      <c r="J42" s="64"/>
      <c r="K42" s="64"/>
      <c r="L42" s="64"/>
      <c r="M42" s="64"/>
      <c r="N42" s="64">
        <v>0</v>
      </c>
      <c r="O42" s="64"/>
      <c r="P42" s="64"/>
      <c r="Q42" s="39">
        <f t="shared" si="7"/>
        <v>0</v>
      </c>
    </row>
    <row r="43" spans="1:17" ht="25.5">
      <c r="A43" s="35"/>
      <c r="B43" s="35"/>
      <c r="C43" s="32">
        <v>3020</v>
      </c>
      <c r="D43" s="33" t="s">
        <v>59</v>
      </c>
      <c r="E43" s="49">
        <v>13500</v>
      </c>
      <c r="F43" s="49">
        <v>500</v>
      </c>
      <c r="G43" s="51">
        <v>500</v>
      </c>
      <c r="H43" s="51">
        <v>500</v>
      </c>
      <c r="I43" s="51"/>
      <c r="J43" s="51">
        <v>500</v>
      </c>
      <c r="K43" s="51">
        <v>800</v>
      </c>
      <c r="L43" s="51">
        <v>800</v>
      </c>
      <c r="M43" s="51">
        <v>831</v>
      </c>
      <c r="N43" s="51">
        <v>800</v>
      </c>
      <c r="O43" s="51"/>
      <c r="P43" s="51">
        <v>356</v>
      </c>
      <c r="Q43" s="39">
        <f t="shared" si="7"/>
        <v>444</v>
      </c>
    </row>
    <row r="44" spans="1:17" ht="25.5">
      <c r="A44" s="35"/>
      <c r="B44" s="35"/>
      <c r="C44" s="54">
        <v>4010</v>
      </c>
      <c r="D44" s="33" t="s">
        <v>28</v>
      </c>
      <c r="E44" s="49">
        <v>186030</v>
      </c>
      <c r="F44" s="49">
        <v>217630</v>
      </c>
      <c r="G44" s="51">
        <v>237957</v>
      </c>
      <c r="H44" s="51">
        <v>237957</v>
      </c>
      <c r="I44" s="51">
        <f>238000+15600</f>
        <v>253600</v>
      </c>
      <c r="J44" s="51">
        <v>253600</v>
      </c>
      <c r="K44" s="51">
        <v>318670</v>
      </c>
      <c r="L44" s="51">
        <v>318670</v>
      </c>
      <c r="M44" s="51">
        <v>93577</v>
      </c>
      <c r="N44" s="51">
        <v>83921</v>
      </c>
      <c r="O44" s="51">
        <v>551</v>
      </c>
      <c r="P44" s="51"/>
      <c r="Q44" s="39">
        <f t="shared" si="7"/>
        <v>84472</v>
      </c>
    </row>
    <row r="45" spans="1:17" ht="38.25">
      <c r="A45" s="35"/>
      <c r="B45" s="35"/>
      <c r="C45" s="54">
        <v>4020</v>
      </c>
      <c r="D45" s="33" t="s">
        <v>173</v>
      </c>
      <c r="E45" s="49"/>
      <c r="F45" s="49"/>
      <c r="G45" s="51"/>
      <c r="H45" s="51"/>
      <c r="I45" s="51"/>
      <c r="J45" s="51"/>
      <c r="K45" s="51"/>
      <c r="L45" s="51"/>
      <c r="M45" s="51">
        <v>310989</v>
      </c>
      <c r="N45" s="51">
        <v>261077</v>
      </c>
      <c r="O45" s="51">
        <v>309</v>
      </c>
      <c r="P45" s="51"/>
      <c r="Q45" s="39">
        <f t="shared" si="7"/>
        <v>261386</v>
      </c>
    </row>
    <row r="46" spans="1:17" ht="25.5">
      <c r="A46" s="35"/>
      <c r="B46" s="35"/>
      <c r="C46" s="32">
        <v>4110</v>
      </c>
      <c r="D46" s="33" t="s">
        <v>30</v>
      </c>
      <c r="E46" s="49">
        <v>34030</v>
      </c>
      <c r="F46" s="49">
        <v>37210</v>
      </c>
      <c r="G46" s="51">
        <v>41149</v>
      </c>
      <c r="H46" s="51">
        <v>40193</v>
      </c>
      <c r="I46" s="51"/>
      <c r="J46" s="51">
        <v>42800</v>
      </c>
      <c r="K46" s="51">
        <v>53212</v>
      </c>
      <c r="L46" s="51">
        <v>53212</v>
      </c>
      <c r="M46" s="51">
        <v>69049</v>
      </c>
      <c r="N46" s="51">
        <v>59429</v>
      </c>
      <c r="O46" s="51"/>
      <c r="P46" s="51">
        <v>917</v>
      </c>
      <c r="Q46" s="39">
        <f t="shared" si="7"/>
        <v>58512</v>
      </c>
    </row>
    <row r="47" spans="1:17" ht="12.75">
      <c r="A47" s="35"/>
      <c r="B47" s="35"/>
      <c r="C47" s="32">
        <v>4120</v>
      </c>
      <c r="D47" s="33" t="s">
        <v>31</v>
      </c>
      <c r="E47" s="49">
        <v>4750</v>
      </c>
      <c r="F47" s="49">
        <v>4980</v>
      </c>
      <c r="G47" s="51">
        <v>6104</v>
      </c>
      <c r="H47" s="51">
        <v>6132</v>
      </c>
      <c r="I47" s="51"/>
      <c r="J47" s="51">
        <v>6600</v>
      </c>
      <c r="K47" s="51">
        <v>8245</v>
      </c>
      <c r="L47" s="51">
        <v>8245</v>
      </c>
      <c r="M47" s="51">
        <v>10534</v>
      </c>
      <c r="N47" s="51">
        <v>9082</v>
      </c>
      <c r="O47" s="51">
        <v>57</v>
      </c>
      <c r="P47" s="51"/>
      <c r="Q47" s="39">
        <f t="shared" si="7"/>
        <v>9139</v>
      </c>
    </row>
    <row r="48" spans="1:17" ht="12.75">
      <c r="A48" s="35"/>
      <c r="B48" s="35"/>
      <c r="C48" s="32">
        <v>4210</v>
      </c>
      <c r="D48" s="33" t="s">
        <v>33</v>
      </c>
      <c r="E48" s="49">
        <v>16080</v>
      </c>
      <c r="F48" s="49">
        <v>10444</v>
      </c>
      <c r="G48" s="51">
        <v>12100</v>
      </c>
      <c r="H48" s="51">
        <v>12100</v>
      </c>
      <c r="I48" s="51"/>
      <c r="J48" s="51">
        <v>51000</v>
      </c>
      <c r="K48" s="51">
        <v>33490</v>
      </c>
      <c r="L48" s="51">
        <v>33490</v>
      </c>
      <c r="M48" s="51">
        <v>24953</v>
      </c>
      <c r="N48" s="51">
        <v>25000</v>
      </c>
      <c r="O48" s="51">
        <v>2939</v>
      </c>
      <c r="P48" s="51"/>
      <c r="Q48" s="39">
        <f t="shared" si="7"/>
        <v>27939</v>
      </c>
    </row>
    <row r="49" spans="1:17" ht="12.75">
      <c r="A49" s="35"/>
      <c r="B49" s="35"/>
      <c r="C49" s="32">
        <v>4260</v>
      </c>
      <c r="D49" s="33" t="s">
        <v>34</v>
      </c>
      <c r="E49" s="49">
        <v>3970</v>
      </c>
      <c r="F49" s="49">
        <v>3970</v>
      </c>
      <c r="G49" s="51">
        <v>4061</v>
      </c>
      <c r="H49" s="51">
        <v>4061</v>
      </c>
      <c r="I49" s="51"/>
      <c r="J49" s="51">
        <v>4000</v>
      </c>
      <c r="K49" s="51">
        <v>3000</v>
      </c>
      <c r="L49" s="51">
        <v>3000</v>
      </c>
      <c r="M49" s="51">
        <v>3087</v>
      </c>
      <c r="N49" s="51">
        <v>12500</v>
      </c>
      <c r="O49" s="51"/>
      <c r="P49" s="51">
        <v>2979</v>
      </c>
      <c r="Q49" s="39">
        <f t="shared" si="7"/>
        <v>9521</v>
      </c>
    </row>
    <row r="50" spans="1:17" ht="12.75">
      <c r="A50" s="35"/>
      <c r="B50" s="35"/>
      <c r="C50" s="32">
        <v>4270</v>
      </c>
      <c r="D50" s="33" t="s">
        <v>52</v>
      </c>
      <c r="E50" s="49">
        <v>550</v>
      </c>
      <c r="F50" s="49">
        <v>1550</v>
      </c>
      <c r="G50" s="51">
        <v>1500</v>
      </c>
      <c r="H50" s="51">
        <v>1500</v>
      </c>
      <c r="I50" s="51"/>
      <c r="J50" s="51">
        <v>1500</v>
      </c>
      <c r="K50" s="51">
        <v>500</v>
      </c>
      <c r="L50" s="51">
        <v>500</v>
      </c>
      <c r="M50" s="51">
        <v>8747</v>
      </c>
      <c r="N50" s="51">
        <v>450</v>
      </c>
      <c r="O50" s="51">
        <v>345</v>
      </c>
      <c r="P50" s="51"/>
      <c r="Q50" s="39">
        <f t="shared" si="7"/>
        <v>795</v>
      </c>
    </row>
    <row r="51" spans="1:17" ht="12.75">
      <c r="A51" s="35"/>
      <c r="B51" s="35"/>
      <c r="C51" s="32">
        <v>4300</v>
      </c>
      <c r="D51" s="33" t="s">
        <v>61</v>
      </c>
      <c r="E51" s="49">
        <v>13560</v>
      </c>
      <c r="F51" s="49">
        <v>13560</v>
      </c>
      <c r="G51" s="51">
        <v>16800</v>
      </c>
      <c r="H51" s="51">
        <v>16600</v>
      </c>
      <c r="I51" s="51"/>
      <c r="J51" s="51">
        <v>36600</v>
      </c>
      <c r="K51" s="51">
        <v>22300</v>
      </c>
      <c r="L51" s="51">
        <v>22300</v>
      </c>
      <c r="M51" s="51">
        <v>17802</v>
      </c>
      <c r="N51" s="51">
        <v>37826</v>
      </c>
      <c r="O51" s="51">
        <v>2732</v>
      </c>
      <c r="P51" s="51"/>
      <c r="Q51" s="39">
        <f t="shared" si="7"/>
        <v>40558</v>
      </c>
    </row>
    <row r="52" spans="1:17" ht="25.5">
      <c r="A52" s="35"/>
      <c r="B52" s="35"/>
      <c r="C52" s="32">
        <v>4350</v>
      </c>
      <c r="D52" s="33" t="s">
        <v>37</v>
      </c>
      <c r="E52" s="49"/>
      <c r="F52" s="49"/>
      <c r="G52" s="51"/>
      <c r="H52" s="51"/>
      <c r="I52" s="51"/>
      <c r="J52" s="51"/>
      <c r="K52" s="51">
        <v>300</v>
      </c>
      <c r="L52" s="51">
        <v>300</v>
      </c>
      <c r="M52" s="51">
        <v>720</v>
      </c>
      <c r="N52" s="51">
        <v>700</v>
      </c>
      <c r="O52" s="51"/>
      <c r="P52" s="51">
        <v>56</v>
      </c>
      <c r="Q52" s="39">
        <f t="shared" si="7"/>
        <v>644</v>
      </c>
    </row>
    <row r="53" spans="1:17" ht="38.25">
      <c r="A53" s="35"/>
      <c r="B53" s="35"/>
      <c r="C53" s="32">
        <v>4360</v>
      </c>
      <c r="D53" s="33" t="s">
        <v>38</v>
      </c>
      <c r="E53" s="49">
        <v>490</v>
      </c>
      <c r="F53" s="49">
        <v>490</v>
      </c>
      <c r="G53" s="51">
        <v>1900</v>
      </c>
      <c r="H53" s="51">
        <v>1900</v>
      </c>
      <c r="I53" s="51"/>
      <c r="J53" s="51">
        <v>2000</v>
      </c>
      <c r="K53" s="51">
        <v>1300</v>
      </c>
      <c r="L53" s="51">
        <v>1300</v>
      </c>
      <c r="M53" s="51">
        <v>1338</v>
      </c>
      <c r="N53" s="51">
        <v>1300</v>
      </c>
      <c r="O53" s="51"/>
      <c r="P53" s="51">
        <v>100</v>
      </c>
      <c r="Q53" s="39">
        <f t="shared" si="7"/>
        <v>1200</v>
      </c>
    </row>
    <row r="54" spans="1:17" ht="38.25">
      <c r="A54" s="35"/>
      <c r="B54" s="35"/>
      <c r="C54" s="32">
        <v>4370</v>
      </c>
      <c r="D54" s="33" t="s">
        <v>39</v>
      </c>
      <c r="E54" s="49">
        <v>5690</v>
      </c>
      <c r="F54" s="49">
        <v>5690</v>
      </c>
      <c r="G54" s="51">
        <v>5200</v>
      </c>
      <c r="H54" s="51">
        <v>5200</v>
      </c>
      <c r="I54" s="51"/>
      <c r="J54" s="51">
        <v>5200</v>
      </c>
      <c r="K54" s="51">
        <v>5200</v>
      </c>
      <c r="L54" s="51">
        <v>5200</v>
      </c>
      <c r="M54" s="51">
        <v>5351</v>
      </c>
      <c r="N54" s="51">
        <v>5300</v>
      </c>
      <c r="O54" s="51"/>
      <c r="P54" s="51">
        <v>1200</v>
      </c>
      <c r="Q54" s="39">
        <f t="shared" si="7"/>
        <v>4100</v>
      </c>
    </row>
    <row r="55" spans="1:17" ht="12.75">
      <c r="A55" s="35"/>
      <c r="B55" s="35"/>
      <c r="C55" s="32">
        <v>4410</v>
      </c>
      <c r="D55" s="33" t="s">
        <v>41</v>
      </c>
      <c r="E55" s="49">
        <v>500</v>
      </c>
      <c r="F55" s="49">
        <v>500</v>
      </c>
      <c r="G55" s="51">
        <v>500</v>
      </c>
      <c r="H55" s="51">
        <v>500</v>
      </c>
      <c r="I55" s="51"/>
      <c r="J55" s="51">
        <v>500</v>
      </c>
      <c r="K55" s="51">
        <v>500</v>
      </c>
      <c r="L55" s="51">
        <v>500</v>
      </c>
      <c r="M55" s="51">
        <v>515</v>
      </c>
      <c r="N55" s="51">
        <v>2100</v>
      </c>
      <c r="O55" s="51"/>
      <c r="P55" s="51">
        <v>160</v>
      </c>
      <c r="Q55" s="39">
        <f t="shared" si="7"/>
        <v>1940</v>
      </c>
    </row>
    <row r="56" spans="1:17" ht="12.75">
      <c r="A56" s="35"/>
      <c r="B56" s="35"/>
      <c r="C56" s="32">
        <v>4430</v>
      </c>
      <c r="D56" s="33" t="s">
        <v>42</v>
      </c>
      <c r="E56" s="49">
        <v>2650</v>
      </c>
      <c r="F56" s="49">
        <v>2650</v>
      </c>
      <c r="G56" s="51">
        <v>2700</v>
      </c>
      <c r="H56" s="51">
        <v>2700</v>
      </c>
      <c r="I56" s="51"/>
      <c r="J56" s="51">
        <v>2700</v>
      </c>
      <c r="K56" s="51">
        <v>1600</v>
      </c>
      <c r="L56" s="51">
        <v>1600</v>
      </c>
      <c r="M56" s="51">
        <v>2984</v>
      </c>
      <c r="N56" s="51">
        <v>1690</v>
      </c>
      <c r="O56" s="51"/>
      <c r="P56" s="51">
        <v>1416</v>
      </c>
      <c r="Q56" s="39">
        <f t="shared" si="7"/>
        <v>274</v>
      </c>
    </row>
    <row r="57" spans="1:17" ht="25.5">
      <c r="A57" s="35"/>
      <c r="B57" s="35"/>
      <c r="C57" s="32">
        <v>4440</v>
      </c>
      <c r="D57" s="33" t="s">
        <v>43</v>
      </c>
      <c r="E57" s="49">
        <v>6240</v>
      </c>
      <c r="F57" s="49">
        <v>6840</v>
      </c>
      <c r="G57" s="51">
        <v>7005</v>
      </c>
      <c r="H57" s="51">
        <v>7055</v>
      </c>
      <c r="I57" s="51"/>
      <c r="J57" s="51">
        <v>7000</v>
      </c>
      <c r="K57" s="51">
        <v>7706</v>
      </c>
      <c r="L57" s="51">
        <v>7706</v>
      </c>
      <c r="M57" s="51">
        <v>8930</v>
      </c>
      <c r="N57" s="51">
        <v>8500</v>
      </c>
      <c r="O57" s="51">
        <v>380</v>
      </c>
      <c r="P57" s="51"/>
      <c r="Q57" s="39">
        <f t="shared" si="7"/>
        <v>8880</v>
      </c>
    </row>
    <row r="58" spans="1:17" ht="25.5">
      <c r="A58" s="35"/>
      <c r="B58" s="35"/>
      <c r="C58" s="32">
        <v>4550</v>
      </c>
      <c r="D58" s="33" t="s">
        <v>212</v>
      </c>
      <c r="E58" s="49"/>
      <c r="F58" s="49"/>
      <c r="G58" s="51"/>
      <c r="H58" s="51"/>
      <c r="I58" s="51"/>
      <c r="J58" s="51"/>
      <c r="K58" s="51"/>
      <c r="L58" s="51"/>
      <c r="M58" s="51"/>
      <c r="N58" s="51">
        <v>1000</v>
      </c>
      <c r="O58" s="51"/>
      <c r="P58" s="51">
        <v>615</v>
      </c>
      <c r="Q58" s="39">
        <f t="shared" si="7"/>
        <v>385</v>
      </c>
    </row>
    <row r="59" spans="1:17" ht="25.5">
      <c r="A59" s="35"/>
      <c r="B59" s="35"/>
      <c r="C59" s="32">
        <v>4610</v>
      </c>
      <c r="D59" s="33" t="s">
        <v>53</v>
      </c>
      <c r="E59" s="49">
        <v>1000</v>
      </c>
      <c r="F59" s="49">
        <v>1000</v>
      </c>
      <c r="G59" s="51">
        <v>1000</v>
      </c>
      <c r="H59" s="51">
        <v>1000</v>
      </c>
      <c r="I59" s="51"/>
      <c r="J59" s="51">
        <v>1000</v>
      </c>
      <c r="K59" s="51">
        <v>1000</v>
      </c>
      <c r="L59" s="51">
        <v>1000</v>
      </c>
      <c r="M59" s="51">
        <v>1029</v>
      </c>
      <c r="N59" s="51">
        <v>732</v>
      </c>
      <c r="O59" s="51"/>
      <c r="P59" s="51">
        <v>441</v>
      </c>
      <c r="Q59" s="39">
        <f>N59+O59-P59</f>
        <v>291</v>
      </c>
    </row>
    <row r="60" spans="1:17" ht="38.25">
      <c r="A60" s="35"/>
      <c r="B60" s="35"/>
      <c r="C60" s="32">
        <v>4740</v>
      </c>
      <c r="D60" s="33" t="s">
        <v>63</v>
      </c>
      <c r="E60" s="49">
        <v>920</v>
      </c>
      <c r="F60" s="49">
        <v>920</v>
      </c>
      <c r="G60" s="51">
        <v>1200</v>
      </c>
      <c r="H60" s="51">
        <v>1200</v>
      </c>
      <c r="I60" s="51"/>
      <c r="J60" s="51">
        <v>1200</v>
      </c>
      <c r="K60" s="51">
        <v>1200</v>
      </c>
      <c r="L60" s="51">
        <v>1200</v>
      </c>
      <c r="M60" s="51">
        <v>1235</v>
      </c>
      <c r="N60" s="51">
        <v>600</v>
      </c>
      <c r="O60" s="51"/>
      <c r="P60" s="51">
        <v>73</v>
      </c>
      <c r="Q60" s="39">
        <f t="shared" si="7"/>
        <v>527</v>
      </c>
    </row>
    <row r="61" spans="1:17" ht="25.5">
      <c r="A61" s="35"/>
      <c r="B61" s="35"/>
      <c r="C61" s="32">
        <v>4750</v>
      </c>
      <c r="D61" s="33" t="s">
        <v>64</v>
      </c>
      <c r="E61" s="49">
        <v>2790</v>
      </c>
      <c r="F61" s="49">
        <v>2790</v>
      </c>
      <c r="G61" s="51">
        <v>2500</v>
      </c>
      <c r="H61" s="51">
        <v>2500</v>
      </c>
      <c r="I61" s="51"/>
      <c r="J61" s="51">
        <v>2500</v>
      </c>
      <c r="K61" s="51">
        <v>8964</v>
      </c>
      <c r="L61" s="51">
        <v>8964</v>
      </c>
      <c r="M61" s="51">
        <v>6791</v>
      </c>
      <c r="N61" s="51">
        <v>5800</v>
      </c>
      <c r="O61" s="51">
        <v>1000</v>
      </c>
      <c r="P61" s="51"/>
      <c r="Q61" s="39">
        <f t="shared" si="7"/>
        <v>6800</v>
      </c>
    </row>
    <row r="62" spans="1:17" ht="12.75">
      <c r="A62" s="65">
        <v>750</v>
      </c>
      <c r="B62" s="65"/>
      <c r="C62" s="65"/>
      <c r="D62" s="66" t="s">
        <v>65</v>
      </c>
      <c r="E62" s="38" t="e">
        <f>E63+E67+E73+#REF!+#REF!</f>
        <v>#REF!</v>
      </c>
      <c r="F62" s="38" t="e">
        <f>F63+F67+F73+#REF!+#REF!</f>
        <v>#REF!</v>
      </c>
      <c r="G62" s="39" t="e">
        <f>G63+G67+G73+#REF!+#REF!</f>
        <v>#REF!</v>
      </c>
      <c r="H62" s="39" t="e">
        <f>H63+H67+H73+#REF!+#REF!</f>
        <v>#REF!</v>
      </c>
      <c r="I62" s="39"/>
      <c r="J62" s="39" t="e">
        <f>J63+J67+J73+#REF!+#REF!</f>
        <v>#REF!</v>
      </c>
      <c r="K62" s="39" t="e">
        <f>K63+K67+K73+#REF!+#REF!</f>
        <v>#REF!</v>
      </c>
      <c r="L62" s="39" t="e">
        <f>L63+L67+L73+#REF!+#REF!</f>
        <v>#REF!</v>
      </c>
      <c r="M62" s="39" t="e">
        <f>M63+M67+M73+#REF!+#REF!</f>
        <v>#REF!</v>
      </c>
      <c r="N62" s="39">
        <v>8378590</v>
      </c>
      <c r="O62" s="39">
        <f>O63+O67+O73</f>
        <v>9680</v>
      </c>
      <c r="P62" s="39">
        <f>P63+P67+P73</f>
        <v>517417</v>
      </c>
      <c r="Q62" s="39">
        <f t="shared" si="7"/>
        <v>7870853</v>
      </c>
    </row>
    <row r="63" spans="1:17" ht="12.75">
      <c r="A63" s="54"/>
      <c r="B63" s="67">
        <v>75011</v>
      </c>
      <c r="C63" s="67"/>
      <c r="D63" s="68" t="s">
        <v>66</v>
      </c>
      <c r="E63" s="43">
        <f>SUM(E64:E65)</f>
        <v>6230</v>
      </c>
      <c r="F63" s="43">
        <f>SUM(F64:F65)</f>
        <v>6437</v>
      </c>
      <c r="G63" s="44">
        <f>SUM(G64:G65)</f>
        <v>6640</v>
      </c>
      <c r="H63" s="44">
        <f>SUM(H64:H65)</f>
        <v>6640</v>
      </c>
      <c r="I63" s="44"/>
      <c r="J63" s="44">
        <f>SUM(J64:J66)</f>
        <v>0</v>
      </c>
      <c r="K63" s="44">
        <f>SUM(K64:K66)</f>
        <v>18461</v>
      </c>
      <c r="L63" s="44">
        <f>SUM(L64:L66)</f>
        <v>25282</v>
      </c>
      <c r="M63" s="44">
        <f>SUM(M64:M66)</f>
        <v>8177.999999999999</v>
      </c>
      <c r="N63" s="44">
        <v>606245</v>
      </c>
      <c r="O63" s="44">
        <f>SUM(O64:O66)</f>
        <v>0</v>
      </c>
      <c r="P63" s="44">
        <f>SUM(P64:P66)</f>
        <v>210</v>
      </c>
      <c r="Q63" s="39">
        <f t="shared" si="7"/>
        <v>606035</v>
      </c>
    </row>
    <row r="64" spans="1:17" ht="25.5">
      <c r="A64" s="69"/>
      <c r="B64" s="56"/>
      <c r="C64" s="57">
        <v>4440</v>
      </c>
      <c r="D64" s="70" t="s">
        <v>43</v>
      </c>
      <c r="E64" s="59">
        <v>6230</v>
      </c>
      <c r="F64" s="59">
        <v>6437</v>
      </c>
      <c r="G64" s="71">
        <v>6640</v>
      </c>
      <c r="H64" s="59">
        <f>G64</f>
        <v>6640</v>
      </c>
      <c r="I64" s="59"/>
      <c r="J64" s="59"/>
      <c r="K64" s="59">
        <v>8461</v>
      </c>
      <c r="L64" s="59">
        <v>8078</v>
      </c>
      <c r="M64" s="59">
        <f>8.7*940</f>
        <v>8177.999999999999</v>
      </c>
      <c r="N64" s="59">
        <v>11000</v>
      </c>
      <c r="O64" s="59"/>
      <c r="P64" s="59">
        <v>210</v>
      </c>
      <c r="Q64" s="39">
        <f t="shared" si="7"/>
        <v>10790</v>
      </c>
    </row>
    <row r="65" spans="1:17" ht="25.5">
      <c r="A65" s="69"/>
      <c r="B65" s="56"/>
      <c r="C65" s="57">
        <v>4610</v>
      </c>
      <c r="D65" s="70" t="s">
        <v>53</v>
      </c>
      <c r="E65" s="59"/>
      <c r="F65" s="59"/>
      <c r="G65" s="71"/>
      <c r="H65" s="59"/>
      <c r="I65" s="59"/>
      <c r="J65" s="59"/>
      <c r="K65" s="59">
        <v>10000</v>
      </c>
      <c r="L65" s="59">
        <v>10000</v>
      </c>
      <c r="M65" s="59"/>
      <c r="N65" s="59">
        <v>0</v>
      </c>
      <c r="O65" s="59"/>
      <c r="P65" s="59"/>
      <c r="Q65" s="39">
        <f t="shared" si="7"/>
        <v>0</v>
      </c>
    </row>
    <row r="66" spans="1:17" ht="25.5">
      <c r="A66" s="69"/>
      <c r="B66" s="56"/>
      <c r="C66" s="57">
        <v>4750</v>
      </c>
      <c r="D66" s="70" t="s">
        <v>64</v>
      </c>
      <c r="E66" s="59"/>
      <c r="F66" s="59"/>
      <c r="G66" s="71"/>
      <c r="H66" s="59"/>
      <c r="I66" s="59"/>
      <c r="J66" s="59"/>
      <c r="K66" s="59"/>
      <c r="L66" s="59">
        <v>7204</v>
      </c>
      <c r="M66" s="59"/>
      <c r="N66" s="59">
        <v>0</v>
      </c>
      <c r="O66" s="59"/>
      <c r="P66" s="59"/>
      <c r="Q66" s="39">
        <f t="shared" si="7"/>
        <v>0</v>
      </c>
    </row>
    <row r="67" spans="1:17" ht="12.75">
      <c r="A67" s="62"/>
      <c r="B67" s="62">
        <v>75019</v>
      </c>
      <c r="C67" s="72"/>
      <c r="D67" s="73" t="s">
        <v>67</v>
      </c>
      <c r="E67" s="74">
        <f>SUM(E68:E72)</f>
        <v>368600</v>
      </c>
      <c r="F67" s="74">
        <f>SUM(F68:F72)</f>
        <v>380400</v>
      </c>
      <c r="G67" s="75">
        <f>SUM(G68:G72)</f>
        <v>390740</v>
      </c>
      <c r="H67" s="75">
        <f>SUM(H68:H72)</f>
        <v>376740</v>
      </c>
      <c r="I67" s="75"/>
      <c r="J67" s="75">
        <f aca="true" t="shared" si="9" ref="J67:P67">SUM(J68:J72)</f>
        <v>377740</v>
      </c>
      <c r="K67" s="75">
        <f t="shared" si="9"/>
        <v>373940</v>
      </c>
      <c r="L67" s="75">
        <f t="shared" si="9"/>
        <v>371635</v>
      </c>
      <c r="M67" s="75">
        <f t="shared" si="9"/>
        <v>388853</v>
      </c>
      <c r="N67" s="75">
        <v>415200</v>
      </c>
      <c r="O67" s="75">
        <f t="shared" si="9"/>
        <v>0</v>
      </c>
      <c r="P67" s="75">
        <f t="shared" si="9"/>
        <v>22000</v>
      </c>
      <c r="Q67" s="39">
        <f t="shared" si="7"/>
        <v>393200</v>
      </c>
    </row>
    <row r="68" spans="1:17" ht="25.5">
      <c r="A68" s="60"/>
      <c r="B68" s="60"/>
      <c r="C68" s="57">
        <v>3030</v>
      </c>
      <c r="D68" s="70" t="s">
        <v>68</v>
      </c>
      <c r="E68" s="59">
        <v>356400</v>
      </c>
      <c r="F68" s="59">
        <v>354400</v>
      </c>
      <c r="G68" s="71">
        <v>363740</v>
      </c>
      <c r="H68" s="59">
        <f>G68</f>
        <v>363740</v>
      </c>
      <c r="I68" s="59"/>
      <c r="J68" s="59">
        <v>363740</v>
      </c>
      <c r="K68" s="59">
        <v>363740</v>
      </c>
      <c r="L68" s="59">
        <v>361435</v>
      </c>
      <c r="M68" s="59">
        <v>373353</v>
      </c>
      <c r="N68" s="59">
        <v>374000</v>
      </c>
      <c r="O68" s="59"/>
      <c r="P68" s="59">
        <v>10000</v>
      </c>
      <c r="Q68" s="39">
        <f t="shared" si="7"/>
        <v>364000</v>
      </c>
    </row>
    <row r="69" spans="1:17" ht="38.25">
      <c r="A69" s="56"/>
      <c r="B69" s="56"/>
      <c r="C69" s="57">
        <v>4360</v>
      </c>
      <c r="D69" s="70" t="s">
        <v>38</v>
      </c>
      <c r="E69" s="59">
        <v>0</v>
      </c>
      <c r="F69" s="59">
        <v>6000</v>
      </c>
      <c r="G69" s="71">
        <v>7000</v>
      </c>
      <c r="H69" s="59">
        <f>G69</f>
        <v>7000</v>
      </c>
      <c r="I69" s="59"/>
      <c r="J69" s="59">
        <v>7000</v>
      </c>
      <c r="K69" s="59">
        <v>8200</v>
      </c>
      <c r="L69" s="59">
        <v>8200</v>
      </c>
      <c r="M69" s="59">
        <v>8500</v>
      </c>
      <c r="N69" s="59">
        <v>8500</v>
      </c>
      <c r="O69" s="59"/>
      <c r="P69" s="59">
        <v>2000</v>
      </c>
      <c r="Q69" s="39">
        <f t="shared" si="7"/>
        <v>6500</v>
      </c>
    </row>
    <row r="70" spans="1:17" ht="12.75">
      <c r="A70" s="60"/>
      <c r="B70" s="60"/>
      <c r="C70" s="57">
        <v>4410</v>
      </c>
      <c r="D70" s="70" t="s">
        <v>41</v>
      </c>
      <c r="E70" s="59">
        <v>1100</v>
      </c>
      <c r="F70" s="59">
        <v>5000</v>
      </c>
      <c r="G70" s="71">
        <v>5000</v>
      </c>
      <c r="H70" s="59">
        <v>2000</v>
      </c>
      <c r="I70" s="59"/>
      <c r="J70" s="59">
        <v>2000</v>
      </c>
      <c r="K70" s="59">
        <v>2000</v>
      </c>
      <c r="L70" s="59">
        <v>2000</v>
      </c>
      <c r="M70" s="59">
        <v>2000</v>
      </c>
      <c r="N70" s="59">
        <v>2000</v>
      </c>
      <c r="O70" s="59"/>
      <c r="P70" s="59">
        <v>2000</v>
      </c>
      <c r="Q70" s="39">
        <f t="shared" si="7"/>
        <v>0</v>
      </c>
    </row>
    <row r="71" spans="1:17" ht="12.75">
      <c r="A71" s="60"/>
      <c r="B71" s="60"/>
      <c r="C71" s="57">
        <v>4420</v>
      </c>
      <c r="D71" s="70" t="s">
        <v>75</v>
      </c>
      <c r="E71" s="59">
        <v>1100</v>
      </c>
      <c r="F71" s="59">
        <v>5000</v>
      </c>
      <c r="G71" s="71">
        <v>5000</v>
      </c>
      <c r="H71" s="59">
        <v>2000</v>
      </c>
      <c r="I71" s="59"/>
      <c r="J71" s="59"/>
      <c r="K71" s="59"/>
      <c r="L71" s="59"/>
      <c r="M71" s="59"/>
      <c r="N71" s="59">
        <v>4000</v>
      </c>
      <c r="O71" s="59"/>
      <c r="P71" s="59">
        <v>4000</v>
      </c>
      <c r="Q71" s="39">
        <f t="shared" si="7"/>
        <v>0</v>
      </c>
    </row>
    <row r="72" spans="1:17" ht="38.25">
      <c r="A72" s="60"/>
      <c r="B72" s="60"/>
      <c r="C72" s="57">
        <v>4700</v>
      </c>
      <c r="D72" s="70" t="s">
        <v>70</v>
      </c>
      <c r="E72" s="76">
        <v>10000</v>
      </c>
      <c r="F72" s="76">
        <v>10000</v>
      </c>
      <c r="G72" s="77">
        <v>10000</v>
      </c>
      <c r="H72" s="59">
        <v>2000</v>
      </c>
      <c r="I72" s="59"/>
      <c r="J72" s="59">
        <v>5000</v>
      </c>
      <c r="K72" s="59">
        <v>0</v>
      </c>
      <c r="L72" s="59">
        <v>0</v>
      </c>
      <c r="M72" s="59">
        <v>5000</v>
      </c>
      <c r="N72" s="59">
        <v>4000</v>
      </c>
      <c r="O72" s="59"/>
      <c r="P72" s="59">
        <v>4000</v>
      </c>
      <c r="Q72" s="39">
        <f t="shared" si="7"/>
        <v>0</v>
      </c>
    </row>
    <row r="73" spans="1:17" ht="12.75">
      <c r="A73" s="62"/>
      <c r="B73" s="62">
        <v>75020</v>
      </c>
      <c r="C73" s="72"/>
      <c r="D73" s="73" t="s">
        <v>71</v>
      </c>
      <c r="E73" s="74">
        <f>SUM(E74:E84)</f>
        <v>3833380</v>
      </c>
      <c r="F73" s="74">
        <f>SUM(F74:F84)</f>
        <v>4251651</v>
      </c>
      <c r="G73" s="75">
        <f>SUM(G74:G84)</f>
        <v>4802769</v>
      </c>
      <c r="H73" s="75">
        <f>SUM(H74:H84)</f>
        <v>4750969</v>
      </c>
      <c r="I73" s="75"/>
      <c r="J73" s="75">
        <f>SUM(J74:J84)-J76-J78</f>
        <v>4513025</v>
      </c>
      <c r="K73" s="75">
        <f>SUM(K74:K84)-K76-K78</f>
        <v>4918991</v>
      </c>
      <c r="L73" s="75">
        <f>SUM(L74:L84)-L76-L78</f>
        <v>4738822</v>
      </c>
      <c r="M73" s="75">
        <f>SUM(M74:M84)-M76-M78</f>
        <v>5816957</v>
      </c>
      <c r="N73" s="75">
        <v>7207469</v>
      </c>
      <c r="O73" s="75">
        <f>SUM(O74:O84)-O76-O78</f>
        <v>9680</v>
      </c>
      <c r="P73" s="75">
        <f>SUM(P74:P84)-P76-P78</f>
        <v>495207</v>
      </c>
      <c r="Q73" s="39">
        <f t="shared" si="7"/>
        <v>6721942</v>
      </c>
    </row>
    <row r="74" spans="1:17" ht="25.5">
      <c r="A74" s="56"/>
      <c r="B74" s="56"/>
      <c r="C74" s="61">
        <v>4010</v>
      </c>
      <c r="D74" s="70" t="s">
        <v>28</v>
      </c>
      <c r="E74" s="59">
        <v>2377800</v>
      </c>
      <c r="F74" s="59">
        <v>2494290</v>
      </c>
      <c r="G74" s="71">
        <v>2922369</v>
      </c>
      <c r="H74" s="59">
        <f>G74</f>
        <v>2922369</v>
      </c>
      <c r="I74" s="59">
        <v>3009000</v>
      </c>
      <c r="J74" s="59">
        <v>3009000</v>
      </c>
      <c r="K74" s="59">
        <v>3144993</v>
      </c>
      <c r="L74" s="59">
        <v>2964824</v>
      </c>
      <c r="M74" s="59">
        <v>3143413</v>
      </c>
      <c r="N74" s="59">
        <v>3340618</v>
      </c>
      <c r="O74" s="59"/>
      <c r="P74" s="59">
        <v>122707</v>
      </c>
      <c r="Q74" s="39">
        <f aca="true" t="shared" si="10" ref="Q74:Q91">N74+O74-P74</f>
        <v>3217911</v>
      </c>
    </row>
    <row r="75" spans="1:17" ht="12.75">
      <c r="A75" s="56"/>
      <c r="B75" s="56"/>
      <c r="C75" s="57">
        <v>4210</v>
      </c>
      <c r="D75" s="70" t="s">
        <v>33</v>
      </c>
      <c r="E75" s="59">
        <v>563000</v>
      </c>
      <c r="F75" s="59">
        <v>733200</v>
      </c>
      <c r="G75" s="71">
        <v>784000</v>
      </c>
      <c r="H75" s="59">
        <f>G75-11000-20000-3000-3800</f>
        <v>746200</v>
      </c>
      <c r="I75" s="59"/>
      <c r="J75" s="59">
        <v>656200</v>
      </c>
      <c r="K75" s="59">
        <v>884200</v>
      </c>
      <c r="L75" s="59">
        <f>124200+760000</f>
        <v>884200</v>
      </c>
      <c r="M75" s="59">
        <f>160000+738600</f>
        <v>898600</v>
      </c>
      <c r="N75" s="59">
        <v>896850</v>
      </c>
      <c r="O75" s="59"/>
      <c r="P75" s="59">
        <v>73000</v>
      </c>
      <c r="Q75" s="39">
        <f t="shared" si="10"/>
        <v>823850</v>
      </c>
    </row>
    <row r="76" spans="1:17" ht="12.75">
      <c r="A76" s="56"/>
      <c r="B76" s="56"/>
      <c r="C76" s="57"/>
      <c r="D76" s="78" t="s">
        <v>72</v>
      </c>
      <c r="E76" s="79"/>
      <c r="F76" s="79"/>
      <c r="G76" s="80"/>
      <c r="H76" s="79"/>
      <c r="I76" s="79"/>
      <c r="J76" s="79"/>
      <c r="K76" s="81">
        <v>760000</v>
      </c>
      <c r="L76" s="81">
        <v>760000</v>
      </c>
      <c r="M76" s="81">
        <v>738600</v>
      </c>
      <c r="N76" s="81">
        <v>738600</v>
      </c>
      <c r="O76" s="81">
        <v>738600</v>
      </c>
      <c r="P76" s="81">
        <v>738600</v>
      </c>
      <c r="Q76" s="39">
        <f t="shared" si="10"/>
        <v>738600</v>
      </c>
    </row>
    <row r="77" spans="1:17" ht="12.75">
      <c r="A77" s="56"/>
      <c r="B77" s="56"/>
      <c r="C77" s="57">
        <v>4300</v>
      </c>
      <c r="D77" s="70" t="s">
        <v>16</v>
      </c>
      <c r="E77" s="59">
        <v>466000</v>
      </c>
      <c r="F77" s="59">
        <v>571000</v>
      </c>
      <c r="G77" s="71">
        <v>576500</v>
      </c>
      <c r="H77" s="59">
        <f>G77</f>
        <v>576500</v>
      </c>
      <c r="I77" s="59"/>
      <c r="J77" s="59">
        <v>558500</v>
      </c>
      <c r="K77" s="59">
        <v>584300</v>
      </c>
      <c r="L77" s="59">
        <f>184300+400000</f>
        <v>584300</v>
      </c>
      <c r="M77" s="59">
        <f>188700+410000</f>
        <v>598700</v>
      </c>
      <c r="N77" s="59">
        <v>660950</v>
      </c>
      <c r="O77" s="59"/>
      <c r="P77" s="59">
        <v>77000</v>
      </c>
      <c r="Q77" s="39">
        <f t="shared" si="10"/>
        <v>583950</v>
      </c>
    </row>
    <row r="78" spans="1:17" ht="12.75">
      <c r="A78" s="56"/>
      <c r="B78" s="56"/>
      <c r="C78" s="57"/>
      <c r="D78" s="82" t="s">
        <v>74</v>
      </c>
      <c r="E78" s="79"/>
      <c r="F78" s="79"/>
      <c r="G78" s="80"/>
      <c r="H78" s="79"/>
      <c r="I78" s="79"/>
      <c r="J78" s="79"/>
      <c r="K78" s="81">
        <v>400000</v>
      </c>
      <c r="L78" s="81">
        <v>400000</v>
      </c>
      <c r="M78" s="81">
        <v>410000</v>
      </c>
      <c r="N78" s="81">
        <v>410000</v>
      </c>
      <c r="O78" s="81">
        <v>410000</v>
      </c>
      <c r="P78" s="81">
        <v>410000</v>
      </c>
      <c r="Q78" s="39">
        <f t="shared" si="10"/>
        <v>410000</v>
      </c>
    </row>
    <row r="79" spans="1:17" ht="38.25">
      <c r="A79" s="56"/>
      <c r="B79" s="56"/>
      <c r="C79" s="57">
        <v>4400</v>
      </c>
      <c r="D79" s="70" t="s">
        <v>62</v>
      </c>
      <c r="E79" s="59">
        <v>113000</v>
      </c>
      <c r="F79" s="59">
        <v>113000</v>
      </c>
      <c r="G79" s="71">
        <v>113000</v>
      </c>
      <c r="H79" s="59">
        <f>G79</f>
        <v>113000</v>
      </c>
      <c r="I79" s="59"/>
      <c r="J79" s="59">
        <v>113000</v>
      </c>
      <c r="K79" s="59">
        <v>113000</v>
      </c>
      <c r="L79" s="59">
        <f>113000</f>
        <v>113000</v>
      </c>
      <c r="M79" s="59">
        <f>694000+108000</f>
        <v>802000</v>
      </c>
      <c r="N79" s="59">
        <v>651700</v>
      </c>
      <c r="O79" s="59"/>
      <c r="P79" s="59">
        <v>140000</v>
      </c>
      <c r="Q79" s="39">
        <f t="shared" si="10"/>
        <v>511700</v>
      </c>
    </row>
    <row r="80" spans="1:17" ht="12.75">
      <c r="A80" s="56"/>
      <c r="B80" s="56"/>
      <c r="C80" s="57">
        <v>4420</v>
      </c>
      <c r="D80" s="70" t="s">
        <v>75</v>
      </c>
      <c r="E80" s="59"/>
      <c r="F80" s="59"/>
      <c r="G80" s="71"/>
      <c r="H80" s="59"/>
      <c r="I80" s="59"/>
      <c r="J80" s="59">
        <v>5000</v>
      </c>
      <c r="K80" s="59">
        <v>5000</v>
      </c>
      <c r="L80" s="59">
        <v>5000</v>
      </c>
      <c r="M80" s="59">
        <v>5000</v>
      </c>
      <c r="N80" s="59">
        <v>1500</v>
      </c>
      <c r="O80" s="59"/>
      <c r="P80" s="59">
        <v>1500</v>
      </c>
      <c r="Q80" s="39">
        <f t="shared" si="10"/>
        <v>0</v>
      </c>
    </row>
    <row r="81" spans="1:17" ht="25.5">
      <c r="A81" s="56"/>
      <c r="B81" s="56"/>
      <c r="C81" s="57">
        <v>4440</v>
      </c>
      <c r="D81" s="70" t="s">
        <v>43</v>
      </c>
      <c r="E81" s="59">
        <v>60650</v>
      </c>
      <c r="F81" s="59">
        <v>60948</v>
      </c>
      <c r="G81" s="71">
        <v>64540</v>
      </c>
      <c r="H81" s="59">
        <f>G81</f>
        <v>64540</v>
      </c>
      <c r="I81" s="59"/>
      <c r="J81" s="59">
        <v>66900</v>
      </c>
      <c r="K81" s="59">
        <v>73073</v>
      </c>
      <c r="L81" s="59">
        <v>73073</v>
      </c>
      <c r="M81" s="59">
        <f>77.6*940</f>
        <v>72944</v>
      </c>
      <c r="N81" s="59">
        <v>79103</v>
      </c>
      <c r="O81" s="59">
        <v>6180</v>
      </c>
      <c r="P81" s="59"/>
      <c r="Q81" s="39">
        <f t="shared" si="10"/>
        <v>85283</v>
      </c>
    </row>
    <row r="82" spans="1:17" ht="38.25">
      <c r="A82" s="56"/>
      <c r="B82" s="56"/>
      <c r="C82" s="57">
        <v>4700</v>
      </c>
      <c r="D82" s="70" t="s">
        <v>45</v>
      </c>
      <c r="E82" s="59">
        <v>22000</v>
      </c>
      <c r="F82" s="59">
        <v>22000</v>
      </c>
      <c r="G82" s="71">
        <v>29000</v>
      </c>
      <c r="H82" s="59">
        <v>15000</v>
      </c>
      <c r="I82" s="59"/>
      <c r="J82" s="59">
        <v>15000</v>
      </c>
      <c r="K82" s="59">
        <v>25000</v>
      </c>
      <c r="L82" s="59">
        <v>25000</v>
      </c>
      <c r="M82" s="59">
        <v>25000</v>
      </c>
      <c r="N82" s="59">
        <v>25000</v>
      </c>
      <c r="O82" s="59"/>
      <c r="P82" s="59">
        <v>10000</v>
      </c>
      <c r="Q82" s="39">
        <f t="shared" si="10"/>
        <v>15000</v>
      </c>
    </row>
    <row r="83" spans="1:17" ht="25.5">
      <c r="A83" s="56"/>
      <c r="B83" s="56"/>
      <c r="C83" s="57">
        <v>6050</v>
      </c>
      <c r="D83" s="58" t="s">
        <v>77</v>
      </c>
      <c r="E83" s="59">
        <f>154900+20710+15320</f>
        <v>190930</v>
      </c>
      <c r="F83" s="59">
        <f>154900+20710+15320</f>
        <v>190930</v>
      </c>
      <c r="G83" s="71">
        <v>273360</v>
      </c>
      <c r="H83" s="71">
        <v>273360</v>
      </c>
      <c r="I83" s="71"/>
      <c r="J83" s="59">
        <v>48425</v>
      </c>
      <c r="K83" s="59">
        <v>48425</v>
      </c>
      <c r="L83" s="59">
        <v>48425</v>
      </c>
      <c r="M83" s="59">
        <f>3500+3500+4000+15000+50000+170800-30500</f>
        <v>216300</v>
      </c>
      <c r="N83" s="83">
        <v>132000</v>
      </c>
      <c r="O83" s="83"/>
      <c r="P83" s="83">
        <v>71000</v>
      </c>
      <c r="Q83" s="39">
        <f t="shared" si="10"/>
        <v>61000</v>
      </c>
    </row>
    <row r="84" spans="1:17" ht="25.5">
      <c r="A84" s="56"/>
      <c r="B84" s="56"/>
      <c r="C84" s="57">
        <v>6060</v>
      </c>
      <c r="D84" s="58" t="s">
        <v>49</v>
      </c>
      <c r="E84" s="84">
        <v>40000</v>
      </c>
      <c r="F84" s="84">
        <v>66283</v>
      </c>
      <c r="G84" s="77">
        <v>40000</v>
      </c>
      <c r="H84" s="77">
        <v>40000</v>
      </c>
      <c r="I84" s="77"/>
      <c r="J84" s="59">
        <v>41000</v>
      </c>
      <c r="K84" s="59">
        <v>41000</v>
      </c>
      <c r="L84" s="59">
        <v>41000</v>
      </c>
      <c r="M84" s="59">
        <f>10000+15000+30000</f>
        <v>55000</v>
      </c>
      <c r="N84" s="59">
        <v>42000</v>
      </c>
      <c r="O84" s="59">
        <v>3500</v>
      </c>
      <c r="P84" s="59"/>
      <c r="Q84" s="39">
        <f t="shared" si="10"/>
        <v>45500</v>
      </c>
    </row>
    <row r="85" spans="1:17" ht="38.25">
      <c r="A85" s="35">
        <v>754</v>
      </c>
      <c r="B85" s="35"/>
      <c r="C85" s="32"/>
      <c r="D85" s="52" t="s">
        <v>78</v>
      </c>
      <c r="E85" s="38" t="e">
        <f>E86+#REF!+#REF!</f>
        <v>#REF!</v>
      </c>
      <c r="F85" s="38" t="e">
        <f>F86+#REF!+#REF!</f>
        <v>#REF!</v>
      </c>
      <c r="G85" s="38" t="e">
        <f>G86+#REF!+#REF!</f>
        <v>#REF!</v>
      </c>
      <c r="H85" s="38" t="e">
        <f>H86+#REF!+#REF!</f>
        <v>#REF!</v>
      </c>
      <c r="I85" s="38"/>
      <c r="J85" s="38" t="e">
        <f>J86+#REF!+#REF!</f>
        <v>#REF!</v>
      </c>
      <c r="K85" s="38" t="e">
        <f>K86+#REF!+#REF!</f>
        <v>#REF!</v>
      </c>
      <c r="L85" s="38" t="e">
        <f>L86+#REF!+#REF!</f>
        <v>#REF!</v>
      </c>
      <c r="M85" s="38" t="e">
        <f>M86+#REF!+#REF!</f>
        <v>#REF!</v>
      </c>
      <c r="N85" s="38">
        <v>85100</v>
      </c>
      <c r="O85" s="38">
        <f>O86</f>
        <v>12000</v>
      </c>
      <c r="P85" s="38">
        <f>P86</f>
        <v>12000</v>
      </c>
      <c r="Q85" s="39">
        <f t="shared" si="10"/>
        <v>85100</v>
      </c>
    </row>
    <row r="86" spans="1:17" ht="12.75">
      <c r="A86" s="35"/>
      <c r="B86" s="40">
        <v>75404</v>
      </c>
      <c r="C86" s="32"/>
      <c r="D86" s="50" t="s">
        <v>79</v>
      </c>
      <c r="E86" s="43">
        <f>SUM(E87:E87)</f>
        <v>12000</v>
      </c>
      <c r="F86" s="43">
        <f>SUM(F87:F87)</f>
        <v>12000</v>
      </c>
      <c r="G86" s="44">
        <f>SUM(G87:G87)</f>
        <v>12000</v>
      </c>
      <c r="H86" s="44">
        <f>SUM(H87:H87)</f>
        <v>12000</v>
      </c>
      <c r="I86" s="44"/>
      <c r="J86" s="44">
        <f aca="true" t="shared" si="11" ref="J86:P86">SUM(J87:J88)</f>
        <v>12000</v>
      </c>
      <c r="K86" s="44">
        <f t="shared" si="11"/>
        <v>12830</v>
      </c>
      <c r="L86" s="44">
        <f t="shared" si="11"/>
        <v>12830</v>
      </c>
      <c r="M86" s="44">
        <f t="shared" si="11"/>
        <v>12000</v>
      </c>
      <c r="N86" s="44">
        <v>12000</v>
      </c>
      <c r="O86" s="44">
        <f t="shared" si="11"/>
        <v>12000</v>
      </c>
      <c r="P86" s="44">
        <f t="shared" si="11"/>
        <v>12000</v>
      </c>
      <c r="Q86" s="39">
        <f t="shared" si="10"/>
        <v>12000</v>
      </c>
    </row>
    <row r="87" spans="1:17" ht="12.75">
      <c r="A87" s="56"/>
      <c r="B87" s="56"/>
      <c r="C87" s="57">
        <v>4210</v>
      </c>
      <c r="D87" s="70" t="s">
        <v>33</v>
      </c>
      <c r="E87" s="59">
        <v>12000</v>
      </c>
      <c r="F87" s="59">
        <v>12000</v>
      </c>
      <c r="G87" s="71">
        <v>12000</v>
      </c>
      <c r="H87" s="59">
        <f>G87</f>
        <v>12000</v>
      </c>
      <c r="I87" s="59"/>
      <c r="J87" s="59">
        <v>0</v>
      </c>
      <c r="K87" s="59">
        <v>0</v>
      </c>
      <c r="L87" s="59"/>
      <c r="M87" s="59"/>
      <c r="N87" s="59">
        <v>0</v>
      </c>
      <c r="O87" s="59">
        <v>12000</v>
      </c>
      <c r="P87" s="59"/>
      <c r="Q87" s="39">
        <f t="shared" si="10"/>
        <v>12000</v>
      </c>
    </row>
    <row r="88" spans="1:17" ht="25.5">
      <c r="A88" s="56"/>
      <c r="B88" s="56"/>
      <c r="C88" s="57">
        <v>4750</v>
      </c>
      <c r="D88" s="70" t="s">
        <v>64</v>
      </c>
      <c r="E88" s="59"/>
      <c r="F88" s="59"/>
      <c r="G88" s="71"/>
      <c r="H88" s="59"/>
      <c r="I88" s="59"/>
      <c r="J88" s="59">
        <v>12000</v>
      </c>
      <c r="K88" s="59">
        <v>12830</v>
      </c>
      <c r="L88" s="59">
        <v>12830</v>
      </c>
      <c r="M88" s="59">
        <v>12000</v>
      </c>
      <c r="N88" s="59">
        <v>12000</v>
      </c>
      <c r="O88" s="59"/>
      <c r="P88" s="59">
        <v>12000</v>
      </c>
      <c r="Q88" s="39">
        <f t="shared" si="10"/>
        <v>0</v>
      </c>
    </row>
    <row r="89" spans="1:17" ht="25.5">
      <c r="A89" s="35">
        <v>757</v>
      </c>
      <c r="B89" s="35"/>
      <c r="C89" s="36"/>
      <c r="D89" s="52" t="s">
        <v>82</v>
      </c>
      <c r="E89" s="38">
        <f>E90</f>
        <v>267000</v>
      </c>
      <c r="F89" s="38">
        <f>F90</f>
        <v>267000</v>
      </c>
      <c r="G89" s="39">
        <f>G90</f>
        <v>258000</v>
      </c>
      <c r="H89" s="39">
        <f>H90</f>
        <v>258000</v>
      </c>
      <c r="I89" s="39"/>
      <c r="J89" s="39">
        <f>J90</f>
        <v>258000</v>
      </c>
      <c r="K89" s="39">
        <f>K90</f>
        <v>258000</v>
      </c>
      <c r="L89" s="39">
        <f>L90</f>
        <v>258000</v>
      </c>
      <c r="M89" s="39">
        <f>M90</f>
        <v>164465.17</v>
      </c>
      <c r="N89" s="39">
        <v>505000</v>
      </c>
      <c r="O89" s="39">
        <f>O90+O93</f>
        <v>0</v>
      </c>
      <c r="P89" s="39">
        <f>P90+P93</f>
        <v>298590</v>
      </c>
      <c r="Q89" s="39">
        <f t="shared" si="10"/>
        <v>206410</v>
      </c>
    </row>
    <row r="90" spans="1:17" ht="51">
      <c r="A90" s="40"/>
      <c r="B90" s="40">
        <v>75702</v>
      </c>
      <c r="C90" s="41"/>
      <c r="D90" s="50" t="s">
        <v>83</v>
      </c>
      <c r="E90" s="43">
        <f>SUM(E92:E92)</f>
        <v>267000</v>
      </c>
      <c r="F90" s="43">
        <f>SUM(F92:F92)</f>
        <v>267000</v>
      </c>
      <c r="G90" s="44">
        <f>SUM(G92:G92)</f>
        <v>258000</v>
      </c>
      <c r="H90" s="44">
        <f>SUM(H92:H92)</f>
        <v>258000</v>
      </c>
      <c r="I90" s="44"/>
      <c r="J90" s="44">
        <f>SUM(J92:J92)</f>
        <v>258000</v>
      </c>
      <c r="K90" s="44">
        <f>SUM(K92:K92)</f>
        <v>258000</v>
      </c>
      <c r="L90" s="44">
        <f>SUM(L92:L92)</f>
        <v>258000</v>
      </c>
      <c r="M90" s="44">
        <f>SUM(M92:M92)</f>
        <v>164465.17</v>
      </c>
      <c r="N90" s="44">
        <v>385000</v>
      </c>
      <c r="O90" s="44">
        <f>SUM(O91:O92)</f>
        <v>0</v>
      </c>
      <c r="P90" s="44">
        <f>SUM(P91:P92)</f>
        <v>178590</v>
      </c>
      <c r="Q90" s="39">
        <f t="shared" si="10"/>
        <v>206410</v>
      </c>
    </row>
    <row r="91" spans="1:17" ht="38.25">
      <c r="A91" s="31"/>
      <c r="B91" s="31"/>
      <c r="C91" s="32">
        <v>8010</v>
      </c>
      <c r="D91" s="33" t="s">
        <v>210</v>
      </c>
      <c r="E91" s="49"/>
      <c r="F91" s="49"/>
      <c r="G91" s="51"/>
      <c r="H91" s="51"/>
      <c r="I91" s="51"/>
      <c r="J91" s="51"/>
      <c r="K91" s="51"/>
      <c r="L91" s="51"/>
      <c r="M91" s="51"/>
      <c r="N91" s="51">
        <v>30000</v>
      </c>
      <c r="O91" s="51"/>
      <c r="P91" s="51">
        <f>7620+5970</f>
        <v>13590</v>
      </c>
      <c r="Q91" s="39">
        <f t="shared" si="10"/>
        <v>16410</v>
      </c>
    </row>
    <row r="92" spans="1:17" ht="51">
      <c r="A92" s="35"/>
      <c r="B92" s="35"/>
      <c r="C92" s="57">
        <v>8070</v>
      </c>
      <c r="D92" s="70" t="s">
        <v>84</v>
      </c>
      <c r="E92" s="59">
        <f>388250-121250</f>
        <v>267000</v>
      </c>
      <c r="F92" s="59">
        <f>388250-121250</f>
        <v>267000</v>
      </c>
      <c r="G92" s="71">
        <v>258000</v>
      </c>
      <c r="H92" s="59">
        <f>G92</f>
        <v>258000</v>
      </c>
      <c r="I92" s="59"/>
      <c r="J92" s="59">
        <v>258000</v>
      </c>
      <c r="K92" s="59">
        <v>258000</v>
      </c>
      <c r="L92" s="59">
        <v>258000</v>
      </c>
      <c r="M92" s="59">
        <f>61177+31693.82+27876.18+23966.89+19751.28</f>
        <v>164465.17</v>
      </c>
      <c r="N92" s="59">
        <v>355000</v>
      </c>
      <c r="O92" s="59"/>
      <c r="P92" s="59">
        <v>165000</v>
      </c>
      <c r="Q92" s="39">
        <f aca="true" t="shared" si="12" ref="Q92:Q113">N92+O92-P92</f>
        <v>190000</v>
      </c>
    </row>
    <row r="93" spans="1:17" ht="51">
      <c r="A93" s="35"/>
      <c r="B93" s="35">
        <v>75704</v>
      </c>
      <c r="C93" s="57"/>
      <c r="D93" s="85" t="s">
        <v>208</v>
      </c>
      <c r="E93" s="59"/>
      <c r="F93" s="59"/>
      <c r="G93" s="71"/>
      <c r="H93" s="59"/>
      <c r="I93" s="59"/>
      <c r="J93" s="59"/>
      <c r="K93" s="59"/>
      <c r="L93" s="59"/>
      <c r="M93" s="59"/>
      <c r="N93" s="43">
        <v>120000</v>
      </c>
      <c r="O93" s="43">
        <f>SUM(O94)</f>
        <v>0</v>
      </c>
      <c r="P93" s="43">
        <f>SUM(P94)</f>
        <v>120000</v>
      </c>
      <c r="Q93" s="39">
        <f t="shared" si="12"/>
        <v>0</v>
      </c>
    </row>
    <row r="94" spans="1:17" ht="12.75">
      <c r="A94" s="35"/>
      <c r="B94" s="35"/>
      <c r="C94" s="57">
        <v>8020</v>
      </c>
      <c r="D94" s="86" t="s">
        <v>209</v>
      </c>
      <c r="E94" s="59"/>
      <c r="F94" s="59"/>
      <c r="G94" s="71"/>
      <c r="H94" s="59"/>
      <c r="I94" s="59"/>
      <c r="J94" s="59"/>
      <c r="K94" s="59"/>
      <c r="L94" s="59"/>
      <c r="M94" s="59"/>
      <c r="N94" s="59">
        <v>120000</v>
      </c>
      <c r="O94" s="59"/>
      <c r="P94" s="59">
        <v>120000</v>
      </c>
      <c r="Q94" s="39">
        <f t="shared" si="12"/>
        <v>0</v>
      </c>
    </row>
    <row r="95" spans="1:17" ht="38.25">
      <c r="A95" s="35"/>
      <c r="B95" s="35"/>
      <c r="C95" s="32"/>
      <c r="D95" s="33" t="s">
        <v>205</v>
      </c>
      <c r="E95" s="49"/>
      <c r="F95" s="49"/>
      <c r="G95" s="51"/>
      <c r="H95" s="49"/>
      <c r="I95" s="49"/>
      <c r="J95" s="49">
        <v>100000</v>
      </c>
      <c r="K95" s="49">
        <v>0</v>
      </c>
      <c r="L95" s="49"/>
      <c r="M95" s="49"/>
      <c r="N95" s="49">
        <v>0</v>
      </c>
      <c r="O95" s="49"/>
      <c r="P95" s="49"/>
      <c r="Q95" s="39">
        <f t="shared" si="12"/>
        <v>0</v>
      </c>
    </row>
    <row r="96" spans="1:17" ht="12.75">
      <c r="A96" s="35">
        <v>801</v>
      </c>
      <c r="B96" s="35"/>
      <c r="C96" s="32"/>
      <c r="D96" s="52" t="s">
        <v>85</v>
      </c>
      <c r="E96" s="38">
        <f>E97+E103+E108+E114+E137+E146+E151+E154+E160</f>
        <v>9736935</v>
      </c>
      <c r="F96" s="38">
        <f>F97+F103+F108+F114+F137+F146+F151+F154+F160</f>
        <v>9872407</v>
      </c>
      <c r="G96" s="38">
        <f>G97+G103+G108+G114+G137+G146+G151+G154+G160</f>
        <v>11960586</v>
      </c>
      <c r="H96" s="38">
        <f>H97+H103+H108+H114+H137+H146+H151+H154+H160</f>
        <v>11765920</v>
      </c>
      <c r="I96" s="38"/>
      <c r="J96" s="38">
        <f>J97+J103+J108+J114+J137+J146+J151+J154+J160</f>
        <v>10645890</v>
      </c>
      <c r="K96" s="38">
        <f>K97+K103+K108+K114+K137+K146+K151+K154+K160</f>
        <v>11729964</v>
      </c>
      <c r="L96" s="38">
        <f>L97+L103+L108+L114+L137+L146+L151+L154+L160</f>
        <v>11431152</v>
      </c>
      <c r="M96" s="38">
        <f>M97+M103+M108+M114+M137+M146+M151+M154+M160</f>
        <v>15620768</v>
      </c>
      <c r="N96" s="38">
        <v>13911809</v>
      </c>
      <c r="O96" s="38">
        <f>O97+O103+O108+O114+O137+O146+O151+O154+O160</f>
        <v>254442</v>
      </c>
      <c r="P96" s="38">
        <f>P97+P103+P108+P114+P137+P146+P151+P154+P160</f>
        <v>619051</v>
      </c>
      <c r="Q96" s="39">
        <f t="shared" si="12"/>
        <v>13547200</v>
      </c>
    </row>
    <row r="97" spans="1:17" ht="12.75">
      <c r="A97" s="35"/>
      <c r="B97" s="40">
        <v>80102</v>
      </c>
      <c r="C97" s="32"/>
      <c r="D97" s="50" t="s">
        <v>86</v>
      </c>
      <c r="E97" s="43">
        <f>SUM(E99:E102)</f>
        <v>600140</v>
      </c>
      <c r="F97" s="43">
        <f>SUM(F99:F102)</f>
        <v>600140</v>
      </c>
      <c r="G97" s="44">
        <f>SUM(G99:G102)</f>
        <v>745479</v>
      </c>
      <c r="H97" s="44">
        <f>SUM(H99:H102)</f>
        <v>741650</v>
      </c>
      <c r="I97" s="44"/>
      <c r="J97" s="44">
        <f>SUM(J99:J102)</f>
        <v>741650</v>
      </c>
      <c r="K97" s="44">
        <f>SUM(K99:K102)</f>
        <v>791740</v>
      </c>
      <c r="L97" s="44">
        <f>SUM(L99:L102)</f>
        <v>834773</v>
      </c>
      <c r="M97" s="44">
        <f>SUM(M99:M102)</f>
        <v>996348</v>
      </c>
      <c r="N97" s="44">
        <v>1042660</v>
      </c>
      <c r="O97" s="44">
        <f>SUM(O99:O102)</f>
        <v>190</v>
      </c>
      <c r="P97" s="44">
        <f>SUM(P99:P102)</f>
        <v>9899</v>
      </c>
      <c r="Q97" s="39">
        <f t="shared" si="12"/>
        <v>1032951</v>
      </c>
    </row>
    <row r="98" spans="1:17" ht="12.75">
      <c r="A98" s="35"/>
      <c r="B98" s="35"/>
      <c r="C98" s="32"/>
      <c r="D98" s="33" t="s">
        <v>87</v>
      </c>
      <c r="E98" s="63"/>
      <c r="F98" s="63"/>
      <c r="G98" s="64"/>
      <c r="H98" s="64"/>
      <c r="I98" s="64"/>
      <c r="J98" s="64"/>
      <c r="K98" s="64"/>
      <c r="L98" s="64"/>
      <c r="M98" s="64"/>
      <c r="N98" s="64">
        <v>0</v>
      </c>
      <c r="O98" s="64"/>
      <c r="P98" s="64"/>
      <c r="Q98" s="39">
        <f t="shared" si="12"/>
        <v>0</v>
      </c>
    </row>
    <row r="99" spans="1:17" ht="25.5">
      <c r="A99" s="35"/>
      <c r="B99" s="35"/>
      <c r="C99" s="32">
        <v>4010</v>
      </c>
      <c r="D99" s="33" t="s">
        <v>28</v>
      </c>
      <c r="E99" s="49">
        <v>475880</v>
      </c>
      <c r="F99" s="49">
        <v>475880</v>
      </c>
      <c r="G99" s="51">
        <v>607207</v>
      </c>
      <c r="H99" s="51">
        <v>607210</v>
      </c>
      <c r="I99" s="51">
        <v>607210</v>
      </c>
      <c r="J99" s="51">
        <v>607210</v>
      </c>
      <c r="K99" s="51">
        <v>650100</v>
      </c>
      <c r="L99" s="51">
        <v>676646</v>
      </c>
      <c r="M99" s="51">
        <v>803946</v>
      </c>
      <c r="N99" s="51">
        <v>783878</v>
      </c>
      <c r="O99" s="51"/>
      <c r="P99" s="51">
        <v>6044</v>
      </c>
      <c r="Q99" s="39">
        <f t="shared" si="12"/>
        <v>777834</v>
      </c>
    </row>
    <row r="100" spans="1:17" ht="25.5">
      <c r="A100" s="35"/>
      <c r="B100" s="35"/>
      <c r="C100" s="32">
        <v>4110</v>
      </c>
      <c r="D100" s="33" t="s">
        <v>88</v>
      </c>
      <c r="E100" s="49">
        <v>86310</v>
      </c>
      <c r="F100" s="49">
        <v>86310</v>
      </c>
      <c r="G100" s="51">
        <v>93720</v>
      </c>
      <c r="H100" s="51">
        <v>89960</v>
      </c>
      <c r="I100" s="51"/>
      <c r="J100" s="51">
        <v>89960</v>
      </c>
      <c r="K100" s="51">
        <v>96110</v>
      </c>
      <c r="L100" s="51">
        <v>107166</v>
      </c>
      <c r="M100" s="51">
        <v>133000</v>
      </c>
      <c r="N100" s="51">
        <v>127884</v>
      </c>
      <c r="O100" s="51"/>
      <c r="P100" s="51">
        <v>3127</v>
      </c>
      <c r="Q100" s="39">
        <f t="shared" si="12"/>
        <v>124757</v>
      </c>
    </row>
    <row r="101" spans="1:17" ht="12.75">
      <c r="A101" s="35"/>
      <c r="B101" s="35"/>
      <c r="C101" s="32">
        <v>4120</v>
      </c>
      <c r="D101" s="33" t="s">
        <v>31</v>
      </c>
      <c r="E101" s="49">
        <v>12270</v>
      </c>
      <c r="F101" s="49">
        <v>12270</v>
      </c>
      <c r="G101" s="51">
        <v>14962</v>
      </c>
      <c r="H101" s="51">
        <v>15600</v>
      </c>
      <c r="I101" s="51"/>
      <c r="J101" s="51">
        <v>15600</v>
      </c>
      <c r="K101" s="51">
        <v>16650</v>
      </c>
      <c r="L101" s="51">
        <v>17019</v>
      </c>
      <c r="M101" s="51">
        <v>21030</v>
      </c>
      <c r="N101" s="51">
        <v>21048</v>
      </c>
      <c r="O101" s="51"/>
      <c r="P101" s="51">
        <v>728</v>
      </c>
      <c r="Q101" s="39">
        <f t="shared" si="12"/>
        <v>20320</v>
      </c>
    </row>
    <row r="102" spans="1:17" ht="25.5">
      <c r="A102" s="35"/>
      <c r="B102" s="35"/>
      <c r="C102" s="32">
        <v>4440</v>
      </c>
      <c r="D102" s="33" t="s">
        <v>43</v>
      </c>
      <c r="E102" s="49">
        <v>25680</v>
      </c>
      <c r="F102" s="49">
        <v>25680</v>
      </c>
      <c r="G102" s="51">
        <v>29590</v>
      </c>
      <c r="H102" s="51">
        <v>28880</v>
      </c>
      <c r="I102" s="51"/>
      <c r="J102" s="51">
        <v>28880</v>
      </c>
      <c r="K102" s="51">
        <v>28880</v>
      </c>
      <c r="L102" s="51">
        <v>33942</v>
      </c>
      <c r="M102" s="51">
        <v>38372</v>
      </c>
      <c r="N102" s="51">
        <v>41025</v>
      </c>
      <c r="O102" s="51">
        <v>190</v>
      </c>
      <c r="P102" s="51"/>
      <c r="Q102" s="39">
        <f t="shared" si="12"/>
        <v>41215</v>
      </c>
    </row>
    <row r="103" spans="1:17" ht="12.75">
      <c r="A103" s="35"/>
      <c r="B103" s="40">
        <v>80111</v>
      </c>
      <c r="C103" s="32"/>
      <c r="D103" s="50" t="s">
        <v>89</v>
      </c>
      <c r="E103" s="43">
        <f>SUM(E104:E107)</f>
        <v>593380</v>
      </c>
      <c r="F103" s="43">
        <f>SUM(F104:F107)</f>
        <v>593380</v>
      </c>
      <c r="G103" s="44">
        <f>SUM(G104:G107)</f>
        <v>642293</v>
      </c>
      <c r="H103" s="44">
        <f>SUM(H104:H107)</f>
        <v>633380</v>
      </c>
      <c r="I103" s="44"/>
      <c r="J103" s="44">
        <f>SUM(J104:J107)</f>
        <v>633380</v>
      </c>
      <c r="K103" s="44">
        <f>SUM(K104:K107)</f>
        <v>682930</v>
      </c>
      <c r="L103" s="44">
        <f>SUM(L104:L107)</f>
        <v>594482</v>
      </c>
      <c r="M103" s="44">
        <f>SUM(M104:M107)</f>
        <v>586368</v>
      </c>
      <c r="N103" s="44">
        <v>791449</v>
      </c>
      <c r="O103" s="44">
        <f>SUM(O104:O107)</f>
        <v>239</v>
      </c>
      <c r="P103" s="44">
        <f>SUM(P104:P107)</f>
        <v>11088</v>
      </c>
      <c r="Q103" s="39">
        <f t="shared" si="12"/>
        <v>780600</v>
      </c>
    </row>
    <row r="104" spans="1:17" ht="25.5">
      <c r="A104" s="35"/>
      <c r="B104" s="35"/>
      <c r="C104" s="32">
        <v>4010</v>
      </c>
      <c r="D104" s="33" t="s">
        <v>28</v>
      </c>
      <c r="E104" s="49">
        <v>471470</v>
      </c>
      <c r="F104" s="49">
        <v>471470</v>
      </c>
      <c r="G104" s="51">
        <v>517300</v>
      </c>
      <c r="H104" s="51">
        <v>517300</v>
      </c>
      <c r="I104" s="51">
        <v>517300</v>
      </c>
      <c r="J104" s="51">
        <v>517300</v>
      </c>
      <c r="K104" s="51">
        <v>559730</v>
      </c>
      <c r="L104" s="51">
        <v>477738</v>
      </c>
      <c r="M104" s="51">
        <v>467973</v>
      </c>
      <c r="N104" s="51">
        <v>456283</v>
      </c>
      <c r="O104" s="51"/>
      <c r="P104" s="51">
        <v>6427</v>
      </c>
      <c r="Q104" s="39">
        <f t="shared" si="12"/>
        <v>449856</v>
      </c>
    </row>
    <row r="105" spans="1:17" ht="25.5">
      <c r="A105" s="35"/>
      <c r="B105" s="35"/>
      <c r="C105" s="32">
        <v>4110</v>
      </c>
      <c r="D105" s="33" t="s">
        <v>88</v>
      </c>
      <c r="E105" s="49">
        <v>85530</v>
      </c>
      <c r="F105" s="49">
        <v>85530</v>
      </c>
      <c r="G105" s="51">
        <v>85620</v>
      </c>
      <c r="H105" s="51">
        <v>76920</v>
      </c>
      <c r="I105" s="51"/>
      <c r="J105" s="51">
        <v>76920</v>
      </c>
      <c r="K105" s="51">
        <v>83000</v>
      </c>
      <c r="L105" s="51">
        <v>81000</v>
      </c>
      <c r="M105" s="51">
        <v>78800</v>
      </c>
      <c r="N105" s="51">
        <v>78767</v>
      </c>
      <c r="O105" s="51"/>
      <c r="P105" s="51">
        <v>4153</v>
      </c>
      <c r="Q105" s="39">
        <f t="shared" si="12"/>
        <v>74614</v>
      </c>
    </row>
    <row r="106" spans="1:17" ht="12.75">
      <c r="A106" s="35"/>
      <c r="B106" s="35"/>
      <c r="C106" s="32">
        <v>4120</v>
      </c>
      <c r="D106" s="33" t="s">
        <v>90</v>
      </c>
      <c r="E106" s="49">
        <v>12160</v>
      </c>
      <c r="F106" s="49">
        <v>12160</v>
      </c>
      <c r="G106" s="51">
        <v>13700</v>
      </c>
      <c r="H106" s="51">
        <v>13340</v>
      </c>
      <c r="I106" s="51"/>
      <c r="J106" s="51">
        <v>13340</v>
      </c>
      <c r="K106" s="51">
        <v>14380</v>
      </c>
      <c r="L106" s="51">
        <v>12700</v>
      </c>
      <c r="M106" s="51">
        <v>12500</v>
      </c>
      <c r="N106" s="51">
        <v>12287</v>
      </c>
      <c r="O106" s="51"/>
      <c r="P106" s="51">
        <v>508</v>
      </c>
      <c r="Q106" s="39">
        <f t="shared" si="12"/>
        <v>11779</v>
      </c>
    </row>
    <row r="107" spans="1:17" ht="25.5">
      <c r="A107" s="35"/>
      <c r="B107" s="35"/>
      <c r="C107" s="32">
        <v>4440</v>
      </c>
      <c r="D107" s="33" t="s">
        <v>43</v>
      </c>
      <c r="E107" s="49">
        <v>24220</v>
      </c>
      <c r="F107" s="49">
        <v>24220</v>
      </c>
      <c r="G107" s="51">
        <v>25673</v>
      </c>
      <c r="H107" s="51">
        <v>25820</v>
      </c>
      <c r="I107" s="51"/>
      <c r="J107" s="51">
        <v>25820</v>
      </c>
      <c r="K107" s="51">
        <v>25820</v>
      </c>
      <c r="L107" s="51">
        <v>23044</v>
      </c>
      <c r="M107" s="51">
        <v>27095</v>
      </c>
      <c r="N107" s="51">
        <v>23334</v>
      </c>
      <c r="O107" s="51">
        <v>239</v>
      </c>
      <c r="P107" s="51"/>
      <c r="Q107" s="39">
        <f t="shared" si="12"/>
        <v>23573</v>
      </c>
    </row>
    <row r="108" spans="1:17" ht="12.75">
      <c r="A108" s="35"/>
      <c r="B108" s="40">
        <v>80120</v>
      </c>
      <c r="C108" s="32"/>
      <c r="D108" s="50" t="s">
        <v>93</v>
      </c>
      <c r="E108" s="43">
        <f>SUM(E109:E113)</f>
        <v>1795470</v>
      </c>
      <c r="F108" s="43">
        <f>SUM(F109:F113)</f>
        <v>1795470</v>
      </c>
      <c r="G108" s="44">
        <f>SUM(G109:G113)</f>
        <v>1702195</v>
      </c>
      <c r="H108" s="44">
        <f>SUM(H109:H113)</f>
        <v>1704800</v>
      </c>
      <c r="I108" s="44"/>
      <c r="J108" s="44">
        <f>SUM(J109:J113)</f>
        <v>1704800</v>
      </c>
      <c r="K108" s="44">
        <f>SUM(K109:K113)</f>
        <v>1846571</v>
      </c>
      <c r="L108" s="44">
        <f>SUM(L109:L113)</f>
        <v>1772722</v>
      </c>
      <c r="M108" s="44">
        <f>SUM(M109:M113)</f>
        <v>1945379</v>
      </c>
      <c r="N108" s="44">
        <v>2121987</v>
      </c>
      <c r="O108" s="44">
        <f>SUM(O109:O113)</f>
        <v>6534</v>
      </c>
      <c r="P108" s="44">
        <f>SUM(P109:P113)</f>
        <v>9597</v>
      </c>
      <c r="Q108" s="39">
        <f t="shared" si="12"/>
        <v>2118924</v>
      </c>
    </row>
    <row r="109" spans="1:17" ht="25.5">
      <c r="A109" s="35"/>
      <c r="B109" s="35"/>
      <c r="C109" s="32">
        <v>3020</v>
      </c>
      <c r="D109" s="33" t="s">
        <v>59</v>
      </c>
      <c r="E109" s="49">
        <v>47170</v>
      </c>
      <c r="F109" s="49">
        <v>47170</v>
      </c>
      <c r="G109" s="51">
        <v>48650</v>
      </c>
      <c r="H109" s="51">
        <v>49000</v>
      </c>
      <c r="I109" s="51"/>
      <c r="J109" s="51">
        <v>49000</v>
      </c>
      <c r="K109" s="51">
        <v>53380</v>
      </c>
      <c r="L109" s="51">
        <v>53735</v>
      </c>
      <c r="M109" s="51">
        <v>56686</v>
      </c>
      <c r="N109" s="51">
        <v>61905</v>
      </c>
      <c r="O109" s="51"/>
      <c r="P109" s="51">
        <v>72</v>
      </c>
      <c r="Q109" s="39">
        <f t="shared" si="12"/>
        <v>61833</v>
      </c>
    </row>
    <row r="110" spans="1:17" ht="25.5">
      <c r="A110" s="35"/>
      <c r="B110" s="35"/>
      <c r="C110" s="32">
        <v>4010</v>
      </c>
      <c r="D110" s="33" t="s">
        <v>28</v>
      </c>
      <c r="E110" s="49">
        <v>1378130</v>
      </c>
      <c r="F110" s="49">
        <v>1378130</v>
      </c>
      <c r="G110" s="51">
        <v>1317590</v>
      </c>
      <c r="H110" s="51">
        <v>1326690</v>
      </c>
      <c r="I110" s="51">
        <v>1326690</v>
      </c>
      <c r="J110" s="51">
        <v>1326690</v>
      </c>
      <c r="K110" s="51">
        <v>1443371</v>
      </c>
      <c r="L110" s="51">
        <v>1362522</v>
      </c>
      <c r="M110" s="51">
        <v>1488103</v>
      </c>
      <c r="N110" s="51">
        <v>1522214</v>
      </c>
      <c r="O110" s="51">
        <v>6534</v>
      </c>
      <c r="P110" s="51">
        <v>2040</v>
      </c>
      <c r="Q110" s="39">
        <f t="shared" si="12"/>
        <v>1526708</v>
      </c>
    </row>
    <row r="111" spans="1:17" ht="25.5">
      <c r="A111" s="35"/>
      <c r="B111" s="35"/>
      <c r="C111" s="32">
        <v>4110</v>
      </c>
      <c r="D111" s="33" t="s">
        <v>88</v>
      </c>
      <c r="E111" s="49">
        <v>249480</v>
      </c>
      <c r="F111" s="49">
        <v>249480</v>
      </c>
      <c r="G111" s="51">
        <v>216670</v>
      </c>
      <c r="H111" s="51">
        <v>209310</v>
      </c>
      <c r="I111" s="51"/>
      <c r="J111" s="51">
        <v>209310</v>
      </c>
      <c r="K111" s="51">
        <v>227200</v>
      </c>
      <c r="L111" s="51">
        <v>227900</v>
      </c>
      <c r="M111" s="51">
        <v>256791</v>
      </c>
      <c r="N111" s="51">
        <v>258053</v>
      </c>
      <c r="O111" s="51"/>
      <c r="P111" s="51">
        <v>3934</v>
      </c>
      <c r="Q111" s="39">
        <f t="shared" si="12"/>
        <v>254119</v>
      </c>
    </row>
    <row r="112" spans="1:17" ht="12.75">
      <c r="A112" s="35"/>
      <c r="B112" s="35"/>
      <c r="C112" s="32">
        <v>4120</v>
      </c>
      <c r="D112" s="33" t="s">
        <v>31</v>
      </c>
      <c r="E112" s="49">
        <v>35470</v>
      </c>
      <c r="F112" s="49">
        <v>35470</v>
      </c>
      <c r="G112" s="51">
        <v>34400</v>
      </c>
      <c r="H112" s="51">
        <v>34510</v>
      </c>
      <c r="I112" s="51"/>
      <c r="J112" s="51">
        <v>34510</v>
      </c>
      <c r="K112" s="51">
        <v>37330</v>
      </c>
      <c r="L112" s="51">
        <v>36047</v>
      </c>
      <c r="M112" s="51">
        <v>40538</v>
      </c>
      <c r="N112" s="51">
        <v>40306</v>
      </c>
      <c r="O112" s="51"/>
      <c r="P112" s="51">
        <v>964</v>
      </c>
      <c r="Q112" s="39">
        <f t="shared" si="12"/>
        <v>39342</v>
      </c>
    </row>
    <row r="113" spans="1:17" ht="25.5">
      <c r="A113" s="35"/>
      <c r="B113" s="35"/>
      <c r="C113" s="32">
        <v>4440</v>
      </c>
      <c r="D113" s="33" t="s">
        <v>43</v>
      </c>
      <c r="E113" s="49">
        <v>85220</v>
      </c>
      <c r="F113" s="49">
        <v>85220</v>
      </c>
      <c r="G113" s="51">
        <v>84885</v>
      </c>
      <c r="H113" s="51">
        <v>85290</v>
      </c>
      <c r="I113" s="51"/>
      <c r="J113" s="51">
        <v>85290</v>
      </c>
      <c r="K113" s="51">
        <v>85290</v>
      </c>
      <c r="L113" s="51">
        <v>92518</v>
      </c>
      <c r="M113" s="51">
        <v>103261</v>
      </c>
      <c r="N113" s="51">
        <v>95967</v>
      </c>
      <c r="O113" s="51"/>
      <c r="P113" s="51">
        <v>2587</v>
      </c>
      <c r="Q113" s="39">
        <f t="shared" si="12"/>
        <v>93380</v>
      </c>
    </row>
    <row r="114" spans="1:17" ht="12.75">
      <c r="A114" s="35"/>
      <c r="B114" s="40">
        <v>80130</v>
      </c>
      <c r="C114" s="32"/>
      <c r="D114" s="50" t="s">
        <v>95</v>
      </c>
      <c r="E114" s="43">
        <f>SUM(E115:E136)</f>
        <v>5472115</v>
      </c>
      <c r="F114" s="43">
        <f>SUM(F115:F136)</f>
        <v>5587441</v>
      </c>
      <c r="G114" s="43">
        <f>SUM(G115:G136)</f>
        <v>7176480</v>
      </c>
      <c r="H114" s="43">
        <f>SUM(H115:H136)</f>
        <v>7024180</v>
      </c>
      <c r="I114" s="43"/>
      <c r="J114" s="43">
        <f>SUM(J115:J136)</f>
        <v>5879090</v>
      </c>
      <c r="K114" s="43">
        <f>SUM(K115:K136)</f>
        <v>6635800</v>
      </c>
      <c r="L114" s="43">
        <f>SUM(L115:L136)</f>
        <v>6406306</v>
      </c>
      <c r="M114" s="43">
        <f>SUM(M115:M136)</f>
        <v>9942484</v>
      </c>
      <c r="N114" s="43">
        <v>7217795</v>
      </c>
      <c r="O114" s="43">
        <f>SUM(O115:O136)</f>
        <v>230608</v>
      </c>
      <c r="P114" s="43">
        <f>SUM(P115:P136)</f>
        <v>535593</v>
      </c>
      <c r="Q114" s="39">
        <f aca="true" t="shared" si="13" ref="Q114:Q136">N114+O114-P114</f>
        <v>6912810</v>
      </c>
    </row>
    <row r="115" spans="1:17" ht="76.5">
      <c r="A115" s="35"/>
      <c r="B115" s="35"/>
      <c r="C115" s="32">
        <v>2330</v>
      </c>
      <c r="D115" s="33" t="s">
        <v>96</v>
      </c>
      <c r="E115" s="49">
        <v>34765</v>
      </c>
      <c r="F115" s="49">
        <v>34765</v>
      </c>
      <c r="G115" s="51">
        <v>30000</v>
      </c>
      <c r="H115" s="51">
        <v>30000</v>
      </c>
      <c r="I115" s="51"/>
      <c r="J115" s="51">
        <v>30000</v>
      </c>
      <c r="K115" s="51">
        <v>30000</v>
      </c>
      <c r="L115" s="51">
        <v>30000</v>
      </c>
      <c r="M115" s="51">
        <v>30000</v>
      </c>
      <c r="N115" s="51">
        <v>26000</v>
      </c>
      <c r="O115" s="51">
        <f>130+5120</f>
        <v>5250</v>
      </c>
      <c r="P115" s="51"/>
      <c r="Q115" s="39">
        <f t="shared" si="13"/>
        <v>31250</v>
      </c>
    </row>
    <row r="116" spans="1:17" ht="76.5">
      <c r="A116" s="35"/>
      <c r="B116" s="35"/>
      <c r="C116" s="32">
        <v>2320</v>
      </c>
      <c r="D116" s="70" t="s">
        <v>81</v>
      </c>
      <c r="E116" s="49"/>
      <c r="F116" s="49"/>
      <c r="G116" s="51"/>
      <c r="H116" s="51"/>
      <c r="I116" s="51"/>
      <c r="J116" s="51"/>
      <c r="K116" s="51"/>
      <c r="L116" s="51"/>
      <c r="M116" s="51"/>
      <c r="N116" s="51">
        <v>4000</v>
      </c>
      <c r="O116" s="51">
        <f>50+270</f>
        <v>320</v>
      </c>
      <c r="P116" s="51"/>
      <c r="Q116" s="39">
        <f t="shared" si="13"/>
        <v>4320</v>
      </c>
    </row>
    <row r="117" spans="1:17" ht="25.5">
      <c r="A117" s="35"/>
      <c r="B117" s="35"/>
      <c r="C117" s="32">
        <v>3020</v>
      </c>
      <c r="D117" s="33" t="s">
        <v>59</v>
      </c>
      <c r="E117" s="49">
        <v>191970</v>
      </c>
      <c r="F117" s="49">
        <v>188340</v>
      </c>
      <c r="G117" s="51">
        <v>194440</v>
      </c>
      <c r="H117" s="51">
        <v>192670</v>
      </c>
      <c r="I117" s="51"/>
      <c r="J117" s="51">
        <v>192670</v>
      </c>
      <c r="K117" s="51">
        <v>206710</v>
      </c>
      <c r="L117" s="51">
        <v>220110</v>
      </c>
      <c r="M117" s="51">
        <v>233873</v>
      </c>
      <c r="N117" s="51">
        <v>243120</v>
      </c>
      <c r="O117" s="51"/>
      <c r="P117" s="51">
        <v>5730</v>
      </c>
      <c r="Q117" s="39">
        <f t="shared" si="13"/>
        <v>237390</v>
      </c>
    </row>
    <row r="118" spans="1:17" ht="25.5">
      <c r="A118" s="35"/>
      <c r="B118" s="35"/>
      <c r="C118" s="32">
        <v>4010</v>
      </c>
      <c r="D118" s="33" t="s">
        <v>28</v>
      </c>
      <c r="E118" s="49">
        <v>3318550</v>
      </c>
      <c r="F118" s="49">
        <v>3318550</v>
      </c>
      <c r="G118" s="51">
        <v>3625440</v>
      </c>
      <c r="H118" s="51">
        <v>3653650</v>
      </c>
      <c r="I118" s="51">
        <v>3653650</v>
      </c>
      <c r="J118" s="51">
        <v>3653650</v>
      </c>
      <c r="K118" s="51">
        <v>3882620</v>
      </c>
      <c r="L118" s="51">
        <v>3693111</v>
      </c>
      <c r="M118" s="51">
        <v>3984902</v>
      </c>
      <c r="N118" s="51">
        <v>4010917</v>
      </c>
      <c r="O118" s="51"/>
      <c r="P118" s="51">
        <v>78466</v>
      </c>
      <c r="Q118" s="39">
        <f t="shared" si="13"/>
        <v>3932451</v>
      </c>
    </row>
    <row r="119" spans="1:17" ht="25.5">
      <c r="A119" s="35"/>
      <c r="B119" s="35"/>
      <c r="C119" s="32">
        <v>4110</v>
      </c>
      <c r="D119" s="33" t="s">
        <v>88</v>
      </c>
      <c r="E119" s="49">
        <v>607440</v>
      </c>
      <c r="F119" s="49">
        <v>607440</v>
      </c>
      <c r="G119" s="51">
        <v>617936</v>
      </c>
      <c r="H119" s="51">
        <v>580130</v>
      </c>
      <c r="I119" s="51"/>
      <c r="J119" s="51">
        <v>580130</v>
      </c>
      <c r="K119" s="51">
        <v>618534</v>
      </c>
      <c r="L119" s="51">
        <v>641567</v>
      </c>
      <c r="M119" s="51">
        <v>699665</v>
      </c>
      <c r="N119" s="51">
        <v>658516</v>
      </c>
      <c r="O119" s="51"/>
      <c r="P119" s="51">
        <v>11717</v>
      </c>
      <c r="Q119" s="39">
        <f t="shared" si="13"/>
        <v>646799</v>
      </c>
    </row>
    <row r="120" spans="1:17" ht="12.75">
      <c r="A120" s="35"/>
      <c r="B120" s="35"/>
      <c r="C120" s="32">
        <v>4120</v>
      </c>
      <c r="D120" s="33" t="s">
        <v>31</v>
      </c>
      <c r="E120" s="49">
        <v>85610</v>
      </c>
      <c r="F120" s="49">
        <v>85610</v>
      </c>
      <c r="G120" s="51">
        <v>98808</v>
      </c>
      <c r="H120" s="51">
        <v>94650</v>
      </c>
      <c r="I120" s="51"/>
      <c r="J120" s="51">
        <v>94650</v>
      </c>
      <c r="K120" s="51">
        <v>100770</v>
      </c>
      <c r="L120" s="51">
        <v>102055</v>
      </c>
      <c r="M120" s="51">
        <v>111182</v>
      </c>
      <c r="N120" s="51">
        <v>107820</v>
      </c>
      <c r="O120" s="51"/>
      <c r="P120" s="51">
        <v>946</v>
      </c>
      <c r="Q120" s="39">
        <f t="shared" si="13"/>
        <v>106874</v>
      </c>
    </row>
    <row r="121" spans="1:17" ht="12.75">
      <c r="A121" s="35"/>
      <c r="B121" s="35"/>
      <c r="C121" s="32">
        <v>4140</v>
      </c>
      <c r="D121" s="33" t="s">
        <v>97</v>
      </c>
      <c r="E121" s="49">
        <f>1760+10000</f>
        <v>11760</v>
      </c>
      <c r="F121" s="49">
        <f>1760+10000</f>
        <v>11760</v>
      </c>
      <c r="G121" s="51">
        <v>93600</v>
      </c>
      <c r="H121" s="51">
        <v>93600</v>
      </c>
      <c r="I121" s="51"/>
      <c r="J121" s="51">
        <v>93600</v>
      </c>
      <c r="K121" s="51">
        <v>91600</v>
      </c>
      <c r="L121" s="51">
        <v>14199</v>
      </c>
      <c r="M121" s="51">
        <v>16400</v>
      </c>
      <c r="N121" s="51">
        <v>13000</v>
      </c>
      <c r="O121" s="51"/>
      <c r="P121" s="51">
        <v>13000</v>
      </c>
      <c r="Q121" s="39">
        <f t="shared" si="13"/>
        <v>0</v>
      </c>
    </row>
    <row r="122" spans="1:17" ht="12.75">
      <c r="A122" s="35"/>
      <c r="B122" s="35"/>
      <c r="C122" s="32">
        <v>4170</v>
      </c>
      <c r="D122" s="33" t="s">
        <v>60</v>
      </c>
      <c r="E122" s="49">
        <f>101240+2000</f>
        <v>103240</v>
      </c>
      <c r="F122" s="49">
        <f>101240+2000</f>
        <v>103240</v>
      </c>
      <c r="G122" s="51">
        <v>130080</v>
      </c>
      <c r="H122" s="51">
        <v>124800</v>
      </c>
      <c r="I122" s="51"/>
      <c r="J122" s="51">
        <v>124800</v>
      </c>
      <c r="K122" s="51">
        <v>135367</v>
      </c>
      <c r="L122" s="51">
        <v>135367</v>
      </c>
      <c r="M122" s="51">
        <v>142541</v>
      </c>
      <c r="N122" s="51">
        <v>125933</v>
      </c>
      <c r="O122" s="51"/>
      <c r="P122" s="51">
        <v>50000</v>
      </c>
      <c r="Q122" s="39">
        <f t="shared" si="13"/>
        <v>75933</v>
      </c>
    </row>
    <row r="123" spans="1:17" ht="12.75">
      <c r="A123" s="35"/>
      <c r="B123" s="35"/>
      <c r="C123" s="32">
        <v>4210</v>
      </c>
      <c r="D123" s="33" t="s">
        <v>33</v>
      </c>
      <c r="E123" s="49">
        <v>357690</v>
      </c>
      <c r="F123" s="49">
        <v>374090</v>
      </c>
      <c r="G123" s="51">
        <v>409295</v>
      </c>
      <c r="H123" s="51">
        <v>382700</v>
      </c>
      <c r="I123" s="51"/>
      <c r="J123" s="51">
        <v>365920</v>
      </c>
      <c r="K123" s="51">
        <v>374076</v>
      </c>
      <c r="L123" s="51">
        <v>374076</v>
      </c>
      <c r="M123" s="51">
        <v>425196</v>
      </c>
      <c r="N123" s="51">
        <v>333912</v>
      </c>
      <c r="O123" s="51">
        <v>2561</v>
      </c>
      <c r="P123" s="51">
        <f>20000+20000</f>
        <v>40000</v>
      </c>
      <c r="Q123" s="39">
        <f t="shared" si="13"/>
        <v>296473</v>
      </c>
    </row>
    <row r="124" spans="1:17" ht="25.5">
      <c r="A124" s="35"/>
      <c r="B124" s="35"/>
      <c r="C124" s="32">
        <v>4240</v>
      </c>
      <c r="D124" s="33" t="s">
        <v>98</v>
      </c>
      <c r="E124" s="49"/>
      <c r="F124" s="49"/>
      <c r="G124" s="51"/>
      <c r="H124" s="51"/>
      <c r="I124" s="51"/>
      <c r="J124" s="51"/>
      <c r="K124" s="51">
        <v>30400</v>
      </c>
      <c r="L124" s="51">
        <v>30400</v>
      </c>
      <c r="M124" s="51">
        <v>52908</v>
      </c>
      <c r="N124" s="51">
        <v>31249</v>
      </c>
      <c r="O124" s="51">
        <v>95000</v>
      </c>
      <c r="P124" s="51"/>
      <c r="Q124" s="39">
        <f t="shared" si="13"/>
        <v>126249</v>
      </c>
    </row>
    <row r="125" spans="1:17" ht="12.75">
      <c r="A125" s="35"/>
      <c r="B125" s="35"/>
      <c r="C125" s="32">
        <v>4260</v>
      </c>
      <c r="D125" s="33" t="s">
        <v>34</v>
      </c>
      <c r="E125" s="49">
        <f>ROUND(167751*101.9%,-1)</f>
        <v>170940</v>
      </c>
      <c r="F125" s="49">
        <f>ROUND(167751*101.9%,-1)</f>
        <v>170940</v>
      </c>
      <c r="G125" s="51">
        <v>188479</v>
      </c>
      <c r="H125" s="51">
        <v>174870</v>
      </c>
      <c r="I125" s="51"/>
      <c r="J125" s="51">
        <v>174870</v>
      </c>
      <c r="K125" s="51">
        <v>194870</v>
      </c>
      <c r="L125" s="51">
        <v>194870</v>
      </c>
      <c r="M125" s="51">
        <v>200522</v>
      </c>
      <c r="N125" s="51">
        <v>200520</v>
      </c>
      <c r="O125" s="51">
        <f>5418+15000</f>
        <v>20418</v>
      </c>
      <c r="P125" s="51">
        <f>897+2010</f>
        <v>2907</v>
      </c>
      <c r="Q125" s="39">
        <f t="shared" si="13"/>
        <v>218031</v>
      </c>
    </row>
    <row r="126" spans="1:17" ht="12.75">
      <c r="A126" s="35"/>
      <c r="B126" s="35"/>
      <c r="C126" s="32">
        <v>4270</v>
      </c>
      <c r="D126" s="33" t="s">
        <v>35</v>
      </c>
      <c r="E126" s="49">
        <v>8870</v>
      </c>
      <c r="F126" s="49">
        <v>47626</v>
      </c>
      <c r="G126" s="51">
        <v>98253</v>
      </c>
      <c r="H126" s="51">
        <v>48720</v>
      </c>
      <c r="I126" s="51"/>
      <c r="J126" s="51">
        <v>17910</v>
      </c>
      <c r="K126" s="51">
        <v>211470</v>
      </c>
      <c r="L126" s="51">
        <v>212470</v>
      </c>
      <c r="M126" s="51">
        <v>189135</v>
      </c>
      <c r="N126" s="51">
        <v>104453</v>
      </c>
      <c r="O126" s="51">
        <f>69103+897+80654+17396+30000+1000-98050</f>
        <v>101000</v>
      </c>
      <c r="P126" s="51">
        <f>30000+93</f>
        <v>30093</v>
      </c>
      <c r="Q126" s="39">
        <f t="shared" si="13"/>
        <v>175360</v>
      </c>
    </row>
    <row r="127" spans="1:17" ht="12.75">
      <c r="A127" s="35"/>
      <c r="B127" s="35"/>
      <c r="C127" s="32">
        <v>4280</v>
      </c>
      <c r="D127" s="33" t="s">
        <v>36</v>
      </c>
      <c r="E127" s="49">
        <v>8600</v>
      </c>
      <c r="F127" s="49">
        <v>8600</v>
      </c>
      <c r="G127" s="51">
        <v>8797</v>
      </c>
      <c r="H127" s="51">
        <v>8800</v>
      </c>
      <c r="I127" s="51"/>
      <c r="J127" s="51">
        <v>8800</v>
      </c>
      <c r="K127" s="51">
        <v>8800</v>
      </c>
      <c r="L127" s="51">
        <v>8800</v>
      </c>
      <c r="M127" s="51">
        <v>9055</v>
      </c>
      <c r="N127" s="51">
        <v>6250</v>
      </c>
      <c r="O127" s="51"/>
      <c r="P127" s="51">
        <v>180</v>
      </c>
      <c r="Q127" s="39">
        <f t="shared" si="13"/>
        <v>6070</v>
      </c>
    </row>
    <row r="128" spans="1:17" ht="12.75">
      <c r="A128" s="35"/>
      <c r="B128" s="35"/>
      <c r="C128" s="32">
        <v>4300</v>
      </c>
      <c r="D128" s="33" t="s">
        <v>69</v>
      </c>
      <c r="E128" s="49">
        <v>124310</v>
      </c>
      <c r="F128" s="49">
        <v>115310</v>
      </c>
      <c r="G128" s="51">
        <v>115662</v>
      </c>
      <c r="H128" s="51">
        <v>115660</v>
      </c>
      <c r="I128" s="51"/>
      <c r="J128" s="51">
        <v>115660</v>
      </c>
      <c r="K128" s="51">
        <v>107963</v>
      </c>
      <c r="L128" s="51">
        <v>106963</v>
      </c>
      <c r="M128" s="51">
        <v>110064</v>
      </c>
      <c r="N128" s="51">
        <v>111560</v>
      </c>
      <c r="O128" s="51">
        <v>2000</v>
      </c>
      <c r="P128" s="51"/>
      <c r="Q128" s="39">
        <f t="shared" si="13"/>
        <v>113560</v>
      </c>
    </row>
    <row r="129" spans="1:17" ht="25.5">
      <c r="A129" s="35"/>
      <c r="B129" s="35"/>
      <c r="C129" s="32">
        <v>4350</v>
      </c>
      <c r="D129" s="33" t="s">
        <v>37</v>
      </c>
      <c r="E129" s="49">
        <v>8760</v>
      </c>
      <c r="F129" s="49">
        <v>8760</v>
      </c>
      <c r="G129" s="51">
        <v>8962</v>
      </c>
      <c r="H129" s="51">
        <v>8960</v>
      </c>
      <c r="I129" s="51"/>
      <c r="J129" s="51">
        <v>8960</v>
      </c>
      <c r="K129" s="51">
        <v>7487</v>
      </c>
      <c r="L129" s="51">
        <v>7487</v>
      </c>
      <c r="M129" s="51">
        <v>7705</v>
      </c>
      <c r="N129" s="51">
        <v>7244</v>
      </c>
      <c r="O129" s="51"/>
      <c r="P129" s="51">
        <v>390</v>
      </c>
      <c r="Q129" s="39">
        <f t="shared" si="13"/>
        <v>6854</v>
      </c>
    </row>
    <row r="130" spans="1:17" ht="38.25">
      <c r="A130" s="35"/>
      <c r="B130" s="35"/>
      <c r="C130" s="32">
        <v>4360</v>
      </c>
      <c r="D130" s="33" t="s">
        <v>99</v>
      </c>
      <c r="E130" s="49">
        <v>5000</v>
      </c>
      <c r="F130" s="49">
        <v>5000</v>
      </c>
      <c r="G130" s="51">
        <v>5115</v>
      </c>
      <c r="H130" s="51">
        <v>5120</v>
      </c>
      <c r="I130" s="51"/>
      <c r="J130" s="51">
        <v>5120</v>
      </c>
      <c r="K130" s="51">
        <v>5120</v>
      </c>
      <c r="L130" s="51">
        <v>5120</v>
      </c>
      <c r="M130" s="51">
        <v>5268</v>
      </c>
      <c r="N130" s="51">
        <v>6770</v>
      </c>
      <c r="O130" s="51">
        <v>730</v>
      </c>
      <c r="P130" s="51"/>
      <c r="Q130" s="39">
        <f t="shared" si="13"/>
        <v>7500</v>
      </c>
    </row>
    <row r="131" spans="1:17" ht="38.25">
      <c r="A131" s="35"/>
      <c r="B131" s="35"/>
      <c r="C131" s="32">
        <v>4370</v>
      </c>
      <c r="D131" s="33" t="s">
        <v>100</v>
      </c>
      <c r="E131" s="49">
        <v>26000</v>
      </c>
      <c r="F131" s="49">
        <v>26000</v>
      </c>
      <c r="G131" s="51">
        <v>26598</v>
      </c>
      <c r="H131" s="51">
        <v>26600</v>
      </c>
      <c r="I131" s="51"/>
      <c r="J131" s="51">
        <v>26600</v>
      </c>
      <c r="K131" s="51">
        <v>26100</v>
      </c>
      <c r="L131" s="51">
        <v>26100</v>
      </c>
      <c r="M131" s="51">
        <v>26856</v>
      </c>
      <c r="N131" s="51">
        <v>18726</v>
      </c>
      <c r="O131" s="51"/>
      <c r="P131" s="51">
        <v>1600</v>
      </c>
      <c r="Q131" s="39">
        <f t="shared" si="13"/>
        <v>17126</v>
      </c>
    </row>
    <row r="132" spans="1:17" ht="12.75">
      <c r="A132" s="35"/>
      <c r="B132" s="35"/>
      <c r="C132" s="32">
        <v>4410</v>
      </c>
      <c r="D132" s="33" t="s">
        <v>41</v>
      </c>
      <c r="E132" s="49">
        <v>7720</v>
      </c>
      <c r="F132" s="49">
        <v>8720</v>
      </c>
      <c r="G132" s="51">
        <v>12138</v>
      </c>
      <c r="H132" s="51">
        <v>8920</v>
      </c>
      <c r="I132" s="51"/>
      <c r="J132" s="51">
        <v>8920</v>
      </c>
      <c r="K132" s="51">
        <v>9920</v>
      </c>
      <c r="L132" s="51">
        <v>9920</v>
      </c>
      <c r="M132" s="51">
        <v>12707</v>
      </c>
      <c r="N132" s="51">
        <v>10810</v>
      </c>
      <c r="O132" s="51">
        <v>700</v>
      </c>
      <c r="P132" s="51"/>
      <c r="Q132" s="39">
        <f t="shared" si="13"/>
        <v>11510</v>
      </c>
    </row>
    <row r="133" spans="1:17" ht="25.5">
      <c r="A133" s="35"/>
      <c r="B133" s="35"/>
      <c r="C133" s="32">
        <v>4440</v>
      </c>
      <c r="D133" s="33" t="s">
        <v>43</v>
      </c>
      <c r="E133" s="49">
        <v>214480</v>
      </c>
      <c r="F133" s="49">
        <v>214480</v>
      </c>
      <c r="G133" s="51">
        <v>248562</v>
      </c>
      <c r="H133" s="51">
        <v>211250</v>
      </c>
      <c r="I133" s="51"/>
      <c r="J133" s="51">
        <v>211250</v>
      </c>
      <c r="K133" s="51">
        <v>211250</v>
      </c>
      <c r="L133" s="51">
        <v>210948</v>
      </c>
      <c r="M133" s="51">
        <v>221247</v>
      </c>
      <c r="N133" s="51">
        <v>243389</v>
      </c>
      <c r="O133" s="51">
        <v>629</v>
      </c>
      <c r="P133" s="51">
        <v>564</v>
      </c>
      <c r="Q133" s="39">
        <f t="shared" si="13"/>
        <v>243454</v>
      </c>
    </row>
    <row r="134" spans="1:17" ht="38.25">
      <c r="A134" s="35"/>
      <c r="B134" s="35"/>
      <c r="C134" s="32">
        <v>4750</v>
      </c>
      <c r="D134" s="33" t="s">
        <v>92</v>
      </c>
      <c r="E134" s="87">
        <v>10220</v>
      </c>
      <c r="F134" s="87">
        <v>15220</v>
      </c>
      <c r="G134" s="88">
        <v>16815</v>
      </c>
      <c r="H134" s="88">
        <v>15580</v>
      </c>
      <c r="I134" s="88"/>
      <c r="J134" s="88">
        <v>15580</v>
      </c>
      <c r="K134" s="88">
        <v>26003</v>
      </c>
      <c r="L134" s="88">
        <v>26003</v>
      </c>
      <c r="M134" s="88">
        <v>27258</v>
      </c>
      <c r="N134" s="88">
        <v>28760</v>
      </c>
      <c r="O134" s="88">
        <v>2000</v>
      </c>
      <c r="P134" s="88"/>
      <c r="Q134" s="39">
        <f t="shared" si="13"/>
        <v>30760</v>
      </c>
    </row>
    <row r="135" spans="1:17" ht="25.5">
      <c r="A135" s="35"/>
      <c r="B135" s="35"/>
      <c r="C135" s="32">
        <v>4610</v>
      </c>
      <c r="D135" s="33" t="s">
        <v>53</v>
      </c>
      <c r="E135" s="49"/>
      <c r="F135" s="49"/>
      <c r="G135" s="51"/>
      <c r="H135" s="51"/>
      <c r="I135" s="51"/>
      <c r="J135" s="51"/>
      <c r="K135" s="51">
        <v>1740</v>
      </c>
      <c r="L135" s="51">
        <v>1740</v>
      </c>
      <c r="M135" s="51">
        <v>0</v>
      </c>
      <c r="N135" s="51">
        <v>0</v>
      </c>
      <c r="O135" s="51">
        <v>0</v>
      </c>
      <c r="P135" s="51">
        <v>0</v>
      </c>
      <c r="Q135" s="39">
        <f t="shared" si="13"/>
        <v>0</v>
      </c>
    </row>
    <row r="136" spans="1:17" ht="25.5">
      <c r="A136" s="35"/>
      <c r="B136" s="35"/>
      <c r="C136" s="54">
        <v>6050</v>
      </c>
      <c r="D136" s="55" t="s">
        <v>48</v>
      </c>
      <c r="E136" s="87">
        <v>176190</v>
      </c>
      <c r="F136" s="87">
        <v>242990</v>
      </c>
      <c r="G136" s="88">
        <v>1247500</v>
      </c>
      <c r="H136" s="88">
        <v>1247500</v>
      </c>
      <c r="I136" s="88"/>
      <c r="J136" s="88">
        <v>150000</v>
      </c>
      <c r="K136" s="88">
        <v>355000</v>
      </c>
      <c r="L136" s="88">
        <v>355000</v>
      </c>
      <c r="M136" s="88">
        <v>3436000</v>
      </c>
      <c r="N136" s="88">
        <v>562600</v>
      </c>
      <c r="O136" s="88"/>
      <c r="P136" s="88">
        <v>300000</v>
      </c>
      <c r="Q136" s="39">
        <f t="shared" si="13"/>
        <v>262600</v>
      </c>
    </row>
    <row r="137" spans="1:17" ht="12.75">
      <c r="A137" s="35"/>
      <c r="B137" s="40">
        <v>80132</v>
      </c>
      <c r="C137" s="32"/>
      <c r="D137" s="50" t="s">
        <v>103</v>
      </c>
      <c r="E137" s="43">
        <f>SUM(E138:E145)</f>
        <v>650260</v>
      </c>
      <c r="F137" s="43">
        <f>SUM(F138:F145)</f>
        <v>650260</v>
      </c>
      <c r="G137" s="43">
        <f>SUM(G138:G145)</f>
        <v>803954</v>
      </c>
      <c r="H137" s="43">
        <f>SUM(H138:H145)</f>
        <v>791560</v>
      </c>
      <c r="I137" s="43"/>
      <c r="J137" s="43">
        <f>SUM(J138:J145)</f>
        <v>791560</v>
      </c>
      <c r="K137" s="43">
        <f>SUM(K138:K145)</f>
        <v>843983</v>
      </c>
      <c r="L137" s="43">
        <f>SUM(L138:L145)</f>
        <v>899676</v>
      </c>
      <c r="M137" s="43">
        <f>SUM(M138:M145)</f>
        <v>1092378</v>
      </c>
      <c r="N137" s="43">
        <v>1371137</v>
      </c>
      <c r="O137" s="43">
        <f>SUM(O138:O145)</f>
        <v>2126</v>
      </c>
      <c r="P137" s="43">
        <f>SUM(P138:P145)</f>
        <v>15929</v>
      </c>
      <c r="Q137" s="39">
        <f aca="true" t="shared" si="14" ref="Q137:Q146">N137+O137-P137</f>
        <v>1357334</v>
      </c>
    </row>
    <row r="138" spans="1:17" ht="25.5">
      <c r="A138" s="35"/>
      <c r="B138" s="35"/>
      <c r="C138" s="32">
        <v>3020</v>
      </c>
      <c r="D138" s="33" t="s">
        <v>59</v>
      </c>
      <c r="E138" s="49">
        <v>15540</v>
      </c>
      <c r="F138" s="49">
        <v>15540</v>
      </c>
      <c r="G138" s="51">
        <v>15974</v>
      </c>
      <c r="H138" s="51">
        <v>15900</v>
      </c>
      <c r="I138" s="51"/>
      <c r="J138" s="51">
        <v>15900</v>
      </c>
      <c r="K138" s="51">
        <v>17400</v>
      </c>
      <c r="L138" s="51">
        <v>17400</v>
      </c>
      <c r="M138" s="51">
        <v>24330</v>
      </c>
      <c r="N138" s="51">
        <v>29126</v>
      </c>
      <c r="O138" s="51"/>
      <c r="P138" s="51">
        <v>305</v>
      </c>
      <c r="Q138" s="39">
        <f t="shared" si="14"/>
        <v>28821</v>
      </c>
    </row>
    <row r="139" spans="1:17" ht="25.5">
      <c r="A139" s="35"/>
      <c r="B139" s="35"/>
      <c r="C139" s="32">
        <v>4010</v>
      </c>
      <c r="D139" s="33" t="s">
        <v>28</v>
      </c>
      <c r="E139" s="49">
        <v>478490</v>
      </c>
      <c r="F139" s="49">
        <v>478490</v>
      </c>
      <c r="G139" s="51">
        <v>603377</v>
      </c>
      <c r="H139" s="51">
        <v>603380</v>
      </c>
      <c r="I139" s="51">
        <v>603380</v>
      </c>
      <c r="J139" s="51">
        <v>603380</v>
      </c>
      <c r="K139" s="51">
        <v>645930</v>
      </c>
      <c r="L139" s="51">
        <v>688375</v>
      </c>
      <c r="M139" s="51">
        <v>826676</v>
      </c>
      <c r="N139" s="51">
        <v>905805</v>
      </c>
      <c r="O139" s="51"/>
      <c r="P139" s="51">
        <v>11161</v>
      </c>
      <c r="Q139" s="39">
        <f t="shared" si="14"/>
        <v>894644</v>
      </c>
    </row>
    <row r="140" spans="1:17" ht="25.5">
      <c r="A140" s="35"/>
      <c r="B140" s="35"/>
      <c r="C140" s="32">
        <v>4110</v>
      </c>
      <c r="D140" s="33" t="s">
        <v>88</v>
      </c>
      <c r="E140" s="49">
        <v>86160</v>
      </c>
      <c r="F140" s="49">
        <v>86160</v>
      </c>
      <c r="G140" s="51">
        <v>97530</v>
      </c>
      <c r="H140" s="51">
        <v>88910</v>
      </c>
      <c r="I140" s="51"/>
      <c r="J140" s="51">
        <v>88910</v>
      </c>
      <c r="K140" s="51">
        <v>95170</v>
      </c>
      <c r="L140" s="51">
        <v>100613</v>
      </c>
      <c r="M140" s="51">
        <v>138000</v>
      </c>
      <c r="N140" s="51">
        <v>140693</v>
      </c>
      <c r="O140" s="51"/>
      <c r="P140" s="51">
        <v>4351</v>
      </c>
      <c r="Q140" s="39">
        <f t="shared" si="14"/>
        <v>136342</v>
      </c>
    </row>
    <row r="141" spans="1:17" ht="12.75">
      <c r="A141" s="35"/>
      <c r="B141" s="35"/>
      <c r="C141" s="32">
        <v>4120</v>
      </c>
      <c r="D141" s="33" t="s">
        <v>31</v>
      </c>
      <c r="E141" s="49">
        <v>12250</v>
      </c>
      <c r="F141" s="49">
        <v>12250</v>
      </c>
      <c r="G141" s="51">
        <v>16119</v>
      </c>
      <c r="H141" s="51">
        <v>15550</v>
      </c>
      <c r="I141" s="51"/>
      <c r="J141" s="51">
        <v>15550</v>
      </c>
      <c r="K141" s="51">
        <v>16740</v>
      </c>
      <c r="L141" s="51">
        <v>16750</v>
      </c>
      <c r="M141" s="51">
        <v>22300</v>
      </c>
      <c r="N141" s="51">
        <v>24140</v>
      </c>
      <c r="O141" s="51">
        <v>136</v>
      </c>
      <c r="P141" s="51"/>
      <c r="Q141" s="39">
        <f t="shared" si="14"/>
        <v>24276</v>
      </c>
    </row>
    <row r="142" spans="1:17" ht="12.75">
      <c r="A142" s="35"/>
      <c r="B142" s="35"/>
      <c r="C142" s="32">
        <v>4210</v>
      </c>
      <c r="D142" s="33" t="s">
        <v>33</v>
      </c>
      <c r="E142" s="49">
        <v>23140</v>
      </c>
      <c r="F142" s="49">
        <v>22940</v>
      </c>
      <c r="G142" s="51">
        <v>23790</v>
      </c>
      <c r="H142" s="51">
        <v>23470</v>
      </c>
      <c r="I142" s="51"/>
      <c r="J142" s="51">
        <v>23470</v>
      </c>
      <c r="K142" s="51">
        <v>19970</v>
      </c>
      <c r="L142" s="51">
        <v>23470</v>
      </c>
      <c r="M142" s="51">
        <v>12925</v>
      </c>
      <c r="N142" s="51">
        <v>17332</v>
      </c>
      <c r="O142" s="51">
        <v>112</v>
      </c>
      <c r="P142" s="51"/>
      <c r="Q142" s="39">
        <f t="shared" si="14"/>
        <v>17444</v>
      </c>
    </row>
    <row r="143" spans="1:17" ht="12.75">
      <c r="A143" s="35"/>
      <c r="B143" s="35"/>
      <c r="C143" s="32">
        <v>4430</v>
      </c>
      <c r="D143" s="33" t="s">
        <v>42</v>
      </c>
      <c r="E143" s="49">
        <v>200</v>
      </c>
      <c r="F143" s="49">
        <v>400</v>
      </c>
      <c r="G143" s="51">
        <v>409</v>
      </c>
      <c r="H143" s="51">
        <v>410</v>
      </c>
      <c r="I143" s="51"/>
      <c r="J143" s="51">
        <v>410</v>
      </c>
      <c r="K143" s="51">
        <v>410</v>
      </c>
      <c r="L143" s="51">
        <v>410</v>
      </c>
      <c r="M143" s="51">
        <v>422</v>
      </c>
      <c r="N143" s="51">
        <v>430</v>
      </c>
      <c r="O143" s="51"/>
      <c r="P143" s="51">
        <v>50</v>
      </c>
      <c r="Q143" s="39">
        <f t="shared" si="14"/>
        <v>380</v>
      </c>
    </row>
    <row r="144" spans="1:17" ht="25.5">
      <c r="A144" s="35"/>
      <c r="B144" s="35"/>
      <c r="C144" s="32">
        <v>4440</v>
      </c>
      <c r="D144" s="33" t="s">
        <v>43</v>
      </c>
      <c r="E144" s="49">
        <v>33460</v>
      </c>
      <c r="F144" s="49">
        <v>33460</v>
      </c>
      <c r="G144" s="51">
        <v>42710</v>
      </c>
      <c r="H144" s="51">
        <v>42900</v>
      </c>
      <c r="I144" s="51"/>
      <c r="J144" s="51">
        <v>42900</v>
      </c>
      <c r="K144" s="51">
        <v>42900</v>
      </c>
      <c r="L144" s="51">
        <v>50695</v>
      </c>
      <c r="M144" s="51">
        <v>60685</v>
      </c>
      <c r="N144" s="51">
        <v>63593</v>
      </c>
      <c r="O144" s="51">
        <v>1878</v>
      </c>
      <c r="P144" s="51"/>
      <c r="Q144" s="39">
        <f t="shared" si="14"/>
        <v>65471</v>
      </c>
    </row>
    <row r="145" spans="1:17" ht="38.25">
      <c r="A145" s="35"/>
      <c r="B145" s="35"/>
      <c r="C145" s="32">
        <v>4750</v>
      </c>
      <c r="D145" s="33" t="s">
        <v>92</v>
      </c>
      <c r="E145" s="49">
        <v>1020</v>
      </c>
      <c r="F145" s="49">
        <v>1020</v>
      </c>
      <c r="G145" s="51">
        <v>4045</v>
      </c>
      <c r="H145" s="51">
        <v>1040</v>
      </c>
      <c r="I145" s="51"/>
      <c r="J145" s="51">
        <v>1040</v>
      </c>
      <c r="K145" s="51">
        <v>5463</v>
      </c>
      <c r="L145" s="51">
        <v>1963</v>
      </c>
      <c r="M145" s="51">
        <v>7040</v>
      </c>
      <c r="N145" s="51">
        <v>2240</v>
      </c>
      <c r="O145" s="51"/>
      <c r="P145" s="51">
        <v>62</v>
      </c>
      <c r="Q145" s="39">
        <f t="shared" si="14"/>
        <v>2178</v>
      </c>
    </row>
    <row r="146" spans="1:17" ht="12.75">
      <c r="A146" s="35"/>
      <c r="B146" s="35">
        <v>80134</v>
      </c>
      <c r="C146" s="32"/>
      <c r="D146" s="50" t="s">
        <v>104</v>
      </c>
      <c r="E146" s="43">
        <f>SUM(E147:E150)</f>
        <v>374320</v>
      </c>
      <c r="F146" s="43">
        <f>SUM(F147:F150)</f>
        <v>374320</v>
      </c>
      <c r="G146" s="44">
        <f>SUM(G147:G150)</f>
        <v>333480</v>
      </c>
      <c r="H146" s="44">
        <f>SUM(H147:H150)</f>
        <v>329930</v>
      </c>
      <c r="I146" s="44"/>
      <c r="J146" s="44">
        <f>SUM(J147:J150)</f>
        <v>329930</v>
      </c>
      <c r="K146" s="44">
        <f>SUM(K147:K150)</f>
        <v>356830</v>
      </c>
      <c r="L146" s="44">
        <f>SUM(L147:L150)</f>
        <v>359191</v>
      </c>
      <c r="M146" s="44">
        <f>SUM(M147:M150)</f>
        <v>439752</v>
      </c>
      <c r="N146" s="44">
        <v>445380</v>
      </c>
      <c r="O146" s="44">
        <f>SUM(O147:O150)</f>
        <v>0</v>
      </c>
      <c r="P146" s="44">
        <f>SUM(P147:P150)</f>
        <v>13545</v>
      </c>
      <c r="Q146" s="39">
        <f t="shared" si="14"/>
        <v>431835</v>
      </c>
    </row>
    <row r="147" spans="1:17" ht="25.5">
      <c r="A147" s="35"/>
      <c r="B147" s="35"/>
      <c r="C147" s="32">
        <v>4010</v>
      </c>
      <c r="D147" s="33" t="s">
        <v>28</v>
      </c>
      <c r="E147" s="49">
        <v>294490</v>
      </c>
      <c r="F147" s="49">
        <v>294490</v>
      </c>
      <c r="G147" s="51">
        <v>267760</v>
      </c>
      <c r="H147" s="51">
        <v>267760</v>
      </c>
      <c r="I147" s="51">
        <v>267760</v>
      </c>
      <c r="J147" s="51">
        <v>267760</v>
      </c>
      <c r="K147" s="51">
        <v>290800</v>
      </c>
      <c r="L147" s="51">
        <v>288512</v>
      </c>
      <c r="M147" s="51">
        <v>355536</v>
      </c>
      <c r="N147" s="51">
        <v>340127</v>
      </c>
      <c r="O147" s="51"/>
      <c r="P147" s="51">
        <v>11132</v>
      </c>
      <c r="Q147" s="39">
        <f aca="true" t="shared" si="15" ref="Q147:Q160">N147+O147-P147</f>
        <v>328995</v>
      </c>
    </row>
    <row r="148" spans="1:17" ht="25.5">
      <c r="A148" s="35"/>
      <c r="B148" s="35"/>
      <c r="C148" s="32">
        <v>4110</v>
      </c>
      <c r="D148" s="33" t="s">
        <v>88</v>
      </c>
      <c r="E148" s="49">
        <v>53820</v>
      </c>
      <c r="F148" s="49">
        <v>53820</v>
      </c>
      <c r="G148" s="51">
        <v>44000</v>
      </c>
      <c r="H148" s="51">
        <v>40420</v>
      </c>
      <c r="I148" s="51"/>
      <c r="J148" s="51">
        <v>40420</v>
      </c>
      <c r="K148" s="51">
        <v>43720</v>
      </c>
      <c r="L148" s="51">
        <v>47252</v>
      </c>
      <c r="M148" s="51">
        <v>58800</v>
      </c>
      <c r="N148" s="51">
        <v>56032</v>
      </c>
      <c r="O148" s="51"/>
      <c r="P148" s="51">
        <v>1893</v>
      </c>
      <c r="Q148" s="39">
        <f t="shared" si="15"/>
        <v>54139</v>
      </c>
    </row>
    <row r="149" spans="1:17" ht="12.75">
      <c r="A149" s="35"/>
      <c r="B149" s="35"/>
      <c r="C149" s="32">
        <v>4120</v>
      </c>
      <c r="D149" s="33" t="s">
        <v>31</v>
      </c>
      <c r="E149" s="49">
        <v>7650</v>
      </c>
      <c r="F149" s="49">
        <v>7650</v>
      </c>
      <c r="G149" s="51">
        <v>7050</v>
      </c>
      <c r="H149" s="51">
        <v>7010</v>
      </c>
      <c r="I149" s="51"/>
      <c r="J149" s="51">
        <v>7010</v>
      </c>
      <c r="K149" s="51">
        <v>7570</v>
      </c>
      <c r="L149" s="51">
        <v>7570</v>
      </c>
      <c r="M149" s="51">
        <v>9320</v>
      </c>
      <c r="N149" s="51">
        <v>9078</v>
      </c>
      <c r="O149" s="51"/>
      <c r="P149" s="51">
        <v>400</v>
      </c>
      <c r="Q149" s="39">
        <f t="shared" si="15"/>
        <v>8678</v>
      </c>
    </row>
    <row r="150" spans="1:17" ht="25.5">
      <c r="A150" s="35"/>
      <c r="B150" s="35"/>
      <c r="C150" s="32">
        <v>4440</v>
      </c>
      <c r="D150" s="33" t="s">
        <v>43</v>
      </c>
      <c r="E150" s="49">
        <v>18360</v>
      </c>
      <c r="F150" s="49">
        <v>18360</v>
      </c>
      <c r="G150" s="51">
        <v>14670</v>
      </c>
      <c r="H150" s="51">
        <v>14740</v>
      </c>
      <c r="I150" s="51"/>
      <c r="J150" s="51">
        <v>14740</v>
      </c>
      <c r="K150" s="51">
        <v>14740</v>
      </c>
      <c r="L150" s="51">
        <v>15857</v>
      </c>
      <c r="M150" s="51">
        <v>16096</v>
      </c>
      <c r="N150" s="51">
        <v>15548</v>
      </c>
      <c r="O150" s="51"/>
      <c r="P150" s="51">
        <v>120</v>
      </c>
      <c r="Q150" s="39">
        <f t="shared" si="15"/>
        <v>15428</v>
      </c>
    </row>
    <row r="151" spans="1:17" ht="25.5">
      <c r="A151" s="35"/>
      <c r="B151" s="35">
        <v>80146</v>
      </c>
      <c r="C151" s="32"/>
      <c r="D151" s="50" t="s">
        <v>105</v>
      </c>
      <c r="E151" s="43">
        <f>SUM(E152:E153)</f>
        <v>49920</v>
      </c>
      <c r="F151" s="43">
        <f>SUM(F152:F153)</f>
        <v>51921</v>
      </c>
      <c r="G151" s="43">
        <f>SUM(G152:G153)</f>
        <v>51360</v>
      </c>
      <c r="H151" s="43">
        <f>SUM(H152:H153)</f>
        <v>51360</v>
      </c>
      <c r="I151" s="43"/>
      <c r="J151" s="43">
        <f>SUM(J152:J153)</f>
        <v>54880</v>
      </c>
      <c r="K151" s="43">
        <f>SUM(K152:K153)</f>
        <v>51680</v>
      </c>
      <c r="L151" s="43">
        <f>SUM(L152:L153)</f>
        <v>51680</v>
      </c>
      <c r="M151" s="43">
        <f>SUM(M152:M153)</f>
        <v>59060</v>
      </c>
      <c r="N151" s="43">
        <v>60060</v>
      </c>
      <c r="O151" s="43">
        <f>SUM(O152:O153)</f>
        <v>0</v>
      </c>
      <c r="P151" s="43">
        <f>SUM(P152:P153)</f>
        <v>278</v>
      </c>
      <c r="Q151" s="39">
        <f t="shared" si="15"/>
        <v>59782</v>
      </c>
    </row>
    <row r="152" spans="1:17" ht="12.75">
      <c r="A152" s="35"/>
      <c r="B152" s="35"/>
      <c r="C152" s="32">
        <v>4300</v>
      </c>
      <c r="D152" s="33" t="s">
        <v>69</v>
      </c>
      <c r="E152" s="89">
        <v>42500</v>
      </c>
      <c r="F152" s="89">
        <v>44821</v>
      </c>
      <c r="G152" s="89">
        <v>43760</v>
      </c>
      <c r="H152" s="89">
        <v>43760</v>
      </c>
      <c r="I152" s="89"/>
      <c r="J152" s="89">
        <v>48100</v>
      </c>
      <c r="K152" s="89">
        <v>41900</v>
      </c>
      <c r="L152" s="89">
        <v>41900</v>
      </c>
      <c r="M152" s="89">
        <v>49000</v>
      </c>
      <c r="N152" s="89">
        <v>40746</v>
      </c>
      <c r="O152" s="89"/>
      <c r="P152" s="89">
        <v>170</v>
      </c>
      <c r="Q152" s="39">
        <f t="shared" si="15"/>
        <v>40576</v>
      </c>
    </row>
    <row r="153" spans="1:17" ht="12.75">
      <c r="A153" s="35"/>
      <c r="B153" s="35"/>
      <c r="C153" s="32">
        <v>4410</v>
      </c>
      <c r="D153" s="33" t="s">
        <v>41</v>
      </c>
      <c r="E153" s="87">
        <v>7420</v>
      </c>
      <c r="F153" s="87">
        <v>7100</v>
      </c>
      <c r="G153" s="87">
        <v>7600</v>
      </c>
      <c r="H153" s="87">
        <v>7600</v>
      </c>
      <c r="I153" s="87"/>
      <c r="J153" s="87">
        <v>6780</v>
      </c>
      <c r="K153" s="87">
        <v>9780</v>
      </c>
      <c r="L153" s="87">
        <v>9780</v>
      </c>
      <c r="M153" s="87">
        <v>10060</v>
      </c>
      <c r="N153" s="87">
        <v>8413</v>
      </c>
      <c r="O153" s="87"/>
      <c r="P153" s="87">
        <v>108</v>
      </c>
      <c r="Q153" s="39">
        <f t="shared" si="15"/>
        <v>8305</v>
      </c>
    </row>
    <row r="154" spans="1:17" ht="12.75">
      <c r="A154" s="35"/>
      <c r="B154" s="35">
        <v>80148</v>
      </c>
      <c r="C154" s="32"/>
      <c r="D154" s="50" t="s">
        <v>107</v>
      </c>
      <c r="E154" s="43">
        <f>SUM(E155:E158)</f>
        <v>0</v>
      </c>
      <c r="F154" s="43">
        <f>SUM(F155:F158)</f>
        <v>0</v>
      </c>
      <c r="G154" s="43">
        <f>SUM(G155:G158)</f>
        <v>242417</v>
      </c>
      <c r="H154" s="43">
        <f>SUM(H155:H158)</f>
        <v>241050</v>
      </c>
      <c r="I154" s="43"/>
      <c r="J154" s="43">
        <f>SUM(J155:J158)</f>
        <v>241050</v>
      </c>
      <c r="K154" s="43">
        <f>SUM(K155:K158)</f>
        <v>246050</v>
      </c>
      <c r="L154" s="43">
        <f>SUM(L155:L158)</f>
        <v>254041</v>
      </c>
      <c r="M154" s="43">
        <f>SUM(M155:M158)</f>
        <v>262168</v>
      </c>
      <c r="N154" s="43">
        <v>380819</v>
      </c>
      <c r="O154" s="43">
        <f>SUM(O155:O158)</f>
        <v>5357</v>
      </c>
      <c r="P154" s="43">
        <f>SUM(P155:P158)</f>
        <v>2337</v>
      </c>
      <c r="Q154" s="39">
        <f t="shared" si="15"/>
        <v>383839</v>
      </c>
    </row>
    <row r="155" spans="1:17" ht="25.5">
      <c r="A155" s="35"/>
      <c r="B155" s="35"/>
      <c r="C155" s="32">
        <v>4010</v>
      </c>
      <c r="D155" s="33" t="s">
        <v>28</v>
      </c>
      <c r="E155" s="49">
        <v>0</v>
      </c>
      <c r="F155" s="49">
        <v>0</v>
      </c>
      <c r="G155" s="51">
        <v>191029</v>
      </c>
      <c r="H155" s="51">
        <v>191040</v>
      </c>
      <c r="I155" s="51">
        <v>191040</v>
      </c>
      <c r="J155" s="51">
        <v>191040</v>
      </c>
      <c r="K155" s="51">
        <v>191040</v>
      </c>
      <c r="L155" s="51">
        <v>200961</v>
      </c>
      <c r="M155" s="51">
        <v>205162</v>
      </c>
      <c r="N155" s="51">
        <v>211831</v>
      </c>
      <c r="O155" s="51">
        <v>357</v>
      </c>
      <c r="P155" s="51">
        <v>1438</v>
      </c>
      <c r="Q155" s="39">
        <f t="shared" si="15"/>
        <v>210750</v>
      </c>
    </row>
    <row r="156" spans="1:17" ht="25.5">
      <c r="A156" s="35"/>
      <c r="B156" s="35"/>
      <c r="C156" s="32">
        <v>4110</v>
      </c>
      <c r="D156" s="33" t="s">
        <v>88</v>
      </c>
      <c r="E156" s="49">
        <v>0</v>
      </c>
      <c r="F156" s="49">
        <v>0</v>
      </c>
      <c r="G156" s="51">
        <v>31311</v>
      </c>
      <c r="H156" s="51">
        <v>30060</v>
      </c>
      <c r="I156" s="51"/>
      <c r="J156" s="51">
        <v>30060</v>
      </c>
      <c r="K156" s="51">
        <v>30060</v>
      </c>
      <c r="L156" s="51">
        <v>31020</v>
      </c>
      <c r="M156" s="51">
        <v>34081</v>
      </c>
      <c r="N156" s="51">
        <v>34290</v>
      </c>
      <c r="O156" s="51"/>
      <c r="P156" s="51">
        <v>695</v>
      </c>
      <c r="Q156" s="39">
        <f t="shared" si="15"/>
        <v>33595</v>
      </c>
    </row>
    <row r="157" spans="1:17" ht="12.75">
      <c r="A157" s="35"/>
      <c r="B157" s="35"/>
      <c r="C157" s="32">
        <v>4120</v>
      </c>
      <c r="D157" s="33" t="s">
        <v>31</v>
      </c>
      <c r="E157" s="49">
        <v>0</v>
      </c>
      <c r="F157" s="49">
        <v>0</v>
      </c>
      <c r="G157" s="51">
        <v>5077</v>
      </c>
      <c r="H157" s="51">
        <v>4950</v>
      </c>
      <c r="I157" s="51"/>
      <c r="J157" s="51">
        <v>4950</v>
      </c>
      <c r="K157" s="51">
        <v>4950</v>
      </c>
      <c r="L157" s="51">
        <v>5060</v>
      </c>
      <c r="M157" s="51">
        <v>5432</v>
      </c>
      <c r="N157" s="51">
        <v>5622</v>
      </c>
      <c r="O157" s="51"/>
      <c r="P157" s="51">
        <v>204</v>
      </c>
      <c r="Q157" s="39">
        <f t="shared" si="15"/>
        <v>5418</v>
      </c>
    </row>
    <row r="158" spans="1:17" ht="12.75">
      <c r="A158" s="35"/>
      <c r="B158" s="35"/>
      <c r="C158" s="32">
        <v>4260</v>
      </c>
      <c r="D158" s="33" t="s">
        <v>34</v>
      </c>
      <c r="E158" s="49">
        <v>0</v>
      </c>
      <c r="F158" s="49">
        <v>0</v>
      </c>
      <c r="G158" s="51">
        <v>15000</v>
      </c>
      <c r="H158" s="51">
        <v>15000</v>
      </c>
      <c r="I158" s="51"/>
      <c r="J158" s="51">
        <v>15000</v>
      </c>
      <c r="K158" s="51">
        <v>20000</v>
      </c>
      <c r="L158" s="51">
        <v>17000</v>
      </c>
      <c r="M158" s="51">
        <v>17493</v>
      </c>
      <c r="N158" s="51">
        <v>17490</v>
      </c>
      <c r="O158" s="51">
        <v>5000</v>
      </c>
      <c r="P158" s="51"/>
      <c r="Q158" s="39">
        <f t="shared" si="15"/>
        <v>22490</v>
      </c>
    </row>
    <row r="159" spans="1:17" ht="38.25">
      <c r="A159" s="35"/>
      <c r="B159" s="35"/>
      <c r="C159" s="54">
        <v>6060</v>
      </c>
      <c r="D159" s="55" t="s">
        <v>108</v>
      </c>
      <c r="E159" s="49">
        <v>0</v>
      </c>
      <c r="F159" s="49">
        <v>0</v>
      </c>
      <c r="G159" s="51">
        <v>48000</v>
      </c>
      <c r="H159" s="51">
        <v>48000</v>
      </c>
      <c r="I159" s="51"/>
      <c r="J159" s="51"/>
      <c r="K159" s="51">
        <v>15000</v>
      </c>
      <c r="L159" s="51">
        <v>13100</v>
      </c>
      <c r="M159" s="51">
        <v>0</v>
      </c>
      <c r="N159" s="51">
        <v>0</v>
      </c>
      <c r="O159" s="51">
        <v>0</v>
      </c>
      <c r="P159" s="51">
        <v>0</v>
      </c>
      <c r="Q159" s="39">
        <f t="shared" si="15"/>
        <v>0</v>
      </c>
    </row>
    <row r="160" spans="1:17" ht="12.75">
      <c r="A160" s="35"/>
      <c r="B160" s="40">
        <v>80195</v>
      </c>
      <c r="C160" s="32"/>
      <c r="D160" s="50" t="s">
        <v>80</v>
      </c>
      <c r="E160" s="43">
        <f>SUM(E161:E166)</f>
        <v>201330</v>
      </c>
      <c r="F160" s="43">
        <f>SUM(F161:F166)</f>
        <v>219475</v>
      </c>
      <c r="G160" s="43">
        <f>SUM(G161:G166)</f>
        <v>262928</v>
      </c>
      <c r="H160" s="43">
        <f>SUM(H161:H166)</f>
        <v>248010</v>
      </c>
      <c r="I160" s="43"/>
      <c r="J160" s="43">
        <f>SUM(J161:J166)</f>
        <v>269550</v>
      </c>
      <c r="K160" s="43">
        <f>SUM(K161:K166)</f>
        <v>274380</v>
      </c>
      <c r="L160" s="43">
        <f>SUM(L161:L166)</f>
        <v>258281</v>
      </c>
      <c r="M160" s="43">
        <f>SUM(M161:M166)</f>
        <v>296831</v>
      </c>
      <c r="N160" s="43">
        <v>480522</v>
      </c>
      <c r="O160" s="43">
        <f>SUM(O161:O166)</f>
        <v>9388</v>
      </c>
      <c r="P160" s="43">
        <f>SUM(P161:P166)</f>
        <v>20785</v>
      </c>
      <c r="Q160" s="39">
        <f t="shared" si="15"/>
        <v>469125</v>
      </c>
    </row>
    <row r="161" spans="1:17" ht="25.5">
      <c r="A161" s="35"/>
      <c r="B161" s="35"/>
      <c r="C161" s="32">
        <v>4010</v>
      </c>
      <c r="D161" s="33" t="s">
        <v>28</v>
      </c>
      <c r="E161" s="49">
        <v>157740</v>
      </c>
      <c r="F161" s="49">
        <v>168857</v>
      </c>
      <c r="G161" s="51">
        <v>197838</v>
      </c>
      <c r="H161" s="51">
        <v>197840</v>
      </c>
      <c r="I161" s="51">
        <f>197840+20640</f>
        <v>218480</v>
      </c>
      <c r="J161" s="51">
        <f>197840+20640</f>
        <v>218480</v>
      </c>
      <c r="K161" s="51">
        <f>197840+20640</f>
        <v>218480</v>
      </c>
      <c r="L161" s="51">
        <v>201925</v>
      </c>
      <c r="M161" s="51">
        <v>231838</v>
      </c>
      <c r="N161" s="51">
        <v>257716</v>
      </c>
      <c r="O161" s="51">
        <v>7714</v>
      </c>
      <c r="P161" s="51">
        <v>19749</v>
      </c>
      <c r="Q161" s="39">
        <f aca="true" t="shared" si="16" ref="Q161:Q166">N161+O161-P161</f>
        <v>245681</v>
      </c>
    </row>
    <row r="162" spans="1:17" ht="25.5">
      <c r="A162" s="35"/>
      <c r="B162" s="35"/>
      <c r="C162" s="32">
        <v>4110</v>
      </c>
      <c r="D162" s="33" t="s">
        <v>88</v>
      </c>
      <c r="E162" s="49">
        <v>28750</v>
      </c>
      <c r="F162" s="49">
        <v>30702</v>
      </c>
      <c r="G162" s="51">
        <v>32770</v>
      </c>
      <c r="H162" s="51">
        <v>30280</v>
      </c>
      <c r="I162" s="51"/>
      <c r="J162" s="51">
        <f>30280+780</f>
        <v>31060</v>
      </c>
      <c r="K162" s="51">
        <f>30280+780</f>
        <v>31060</v>
      </c>
      <c r="L162" s="51">
        <v>31699</v>
      </c>
      <c r="M162" s="51">
        <v>36406</v>
      </c>
      <c r="N162" s="51">
        <v>39474</v>
      </c>
      <c r="O162" s="51">
        <v>1177</v>
      </c>
      <c r="P162" s="51">
        <v>602</v>
      </c>
      <c r="Q162" s="39">
        <f t="shared" si="16"/>
        <v>40049</v>
      </c>
    </row>
    <row r="163" spans="1:17" ht="12.75">
      <c r="A163" s="35"/>
      <c r="B163" s="35"/>
      <c r="C163" s="32">
        <v>4120</v>
      </c>
      <c r="D163" s="33" t="s">
        <v>31</v>
      </c>
      <c r="E163" s="49">
        <v>4070</v>
      </c>
      <c r="F163" s="49">
        <v>4346</v>
      </c>
      <c r="G163" s="51">
        <v>5140</v>
      </c>
      <c r="H163" s="51">
        <v>5060</v>
      </c>
      <c r="I163" s="51"/>
      <c r="J163" s="51">
        <f>5060+120</f>
        <v>5180</v>
      </c>
      <c r="K163" s="51">
        <f>5060+120</f>
        <v>5180</v>
      </c>
      <c r="L163" s="51">
        <v>4997</v>
      </c>
      <c r="M163" s="51">
        <v>5746</v>
      </c>
      <c r="N163" s="51">
        <v>6479</v>
      </c>
      <c r="O163" s="51">
        <v>81</v>
      </c>
      <c r="P163" s="51">
        <v>18</v>
      </c>
      <c r="Q163" s="39">
        <f t="shared" si="16"/>
        <v>6542</v>
      </c>
    </row>
    <row r="164" spans="1:17" ht="12.75">
      <c r="A164" s="35"/>
      <c r="B164" s="35"/>
      <c r="C164" s="32">
        <v>4170</v>
      </c>
      <c r="D164" s="33" t="s">
        <v>60</v>
      </c>
      <c r="E164" s="49">
        <v>2000</v>
      </c>
      <c r="F164" s="49">
        <v>4800</v>
      </c>
      <c r="G164" s="51">
        <v>3446</v>
      </c>
      <c r="H164" s="51">
        <v>3450</v>
      </c>
      <c r="I164" s="51"/>
      <c r="J164" s="51">
        <f>2050+1400</f>
        <v>3450</v>
      </c>
      <c r="K164" s="51">
        <f>2050+1400</f>
        <v>3450</v>
      </c>
      <c r="L164" s="51">
        <v>3450</v>
      </c>
      <c r="M164" s="51">
        <v>6200</v>
      </c>
      <c r="N164" s="51">
        <v>7190</v>
      </c>
      <c r="O164" s="51">
        <v>200</v>
      </c>
      <c r="P164" s="51"/>
      <c r="Q164" s="39">
        <f t="shared" si="16"/>
        <v>7390</v>
      </c>
    </row>
    <row r="165" spans="1:17" ht="12.75">
      <c r="A165" s="35"/>
      <c r="B165" s="35"/>
      <c r="C165" s="32">
        <v>4210</v>
      </c>
      <c r="D165" s="33" t="s">
        <v>33</v>
      </c>
      <c r="E165" s="49">
        <v>8150</v>
      </c>
      <c r="F165" s="49">
        <v>10150</v>
      </c>
      <c r="G165" s="51">
        <v>22715</v>
      </c>
      <c r="H165" s="51">
        <v>10740</v>
      </c>
      <c r="I165" s="51"/>
      <c r="J165" s="51">
        <v>10740</v>
      </c>
      <c r="K165" s="51">
        <v>15570</v>
      </c>
      <c r="L165" s="51">
        <v>15570</v>
      </c>
      <c r="M165" s="51">
        <v>15982</v>
      </c>
      <c r="N165" s="51">
        <v>21298</v>
      </c>
      <c r="O165" s="51">
        <v>216</v>
      </c>
      <c r="P165" s="51"/>
      <c r="Q165" s="39">
        <f t="shared" si="16"/>
        <v>21514</v>
      </c>
    </row>
    <row r="166" spans="1:17" ht="12.75">
      <c r="A166" s="35"/>
      <c r="B166" s="35"/>
      <c r="C166" s="32">
        <v>4270</v>
      </c>
      <c r="D166" s="33" t="s">
        <v>52</v>
      </c>
      <c r="E166" s="49">
        <v>620</v>
      </c>
      <c r="F166" s="49">
        <v>620</v>
      </c>
      <c r="G166" s="51">
        <v>1019</v>
      </c>
      <c r="H166" s="51">
        <v>640</v>
      </c>
      <c r="I166" s="51"/>
      <c r="J166" s="51">
        <v>640</v>
      </c>
      <c r="K166" s="51">
        <v>640</v>
      </c>
      <c r="L166" s="51">
        <v>640</v>
      </c>
      <c r="M166" s="51">
        <v>659</v>
      </c>
      <c r="N166" s="51">
        <v>660</v>
      </c>
      <c r="O166" s="51"/>
      <c r="P166" s="51">
        <v>416</v>
      </c>
      <c r="Q166" s="39">
        <f t="shared" si="16"/>
        <v>244</v>
      </c>
    </row>
    <row r="167" spans="1:17" ht="12.75">
      <c r="A167" s="35">
        <v>851</v>
      </c>
      <c r="B167" s="35"/>
      <c r="C167" s="36"/>
      <c r="D167" s="52" t="s">
        <v>109</v>
      </c>
      <c r="E167" s="38" t="e">
        <f>E168+#REF!+#REF!</f>
        <v>#REF!</v>
      </c>
      <c r="F167" s="38" t="e">
        <f>F168+#REF!+#REF!</f>
        <v>#REF!</v>
      </c>
      <c r="G167" s="38" t="e">
        <f>G168+#REF!+#REF!</f>
        <v>#REF!</v>
      </c>
      <c r="H167" s="38" t="e">
        <f>H168+#REF!+#REF!</f>
        <v>#REF!</v>
      </c>
      <c r="I167" s="38"/>
      <c r="J167" s="38" t="e">
        <f>J168+#REF!+#REF!</f>
        <v>#REF!</v>
      </c>
      <c r="K167" s="38" t="e">
        <f>K168+#REF!+#REF!</f>
        <v>#REF!</v>
      </c>
      <c r="L167" s="38" t="e">
        <f>L168+#REF!+#REF!</f>
        <v>#REF!</v>
      </c>
      <c r="M167" s="38" t="e">
        <f>M168+#REF!+#REF!</f>
        <v>#REF!</v>
      </c>
      <c r="N167" s="38">
        <v>2484000</v>
      </c>
      <c r="O167" s="38">
        <f>O168</f>
        <v>1540</v>
      </c>
      <c r="P167" s="38">
        <f>P168</f>
        <v>0</v>
      </c>
      <c r="Q167" s="39">
        <f aca="true" t="shared" si="17" ref="Q167:Q173">N167+O167-P167</f>
        <v>2485540</v>
      </c>
    </row>
    <row r="168" spans="1:17" ht="63.75">
      <c r="A168" s="40"/>
      <c r="B168" s="40">
        <v>85156</v>
      </c>
      <c r="C168" s="41"/>
      <c r="D168" s="50" t="s">
        <v>110</v>
      </c>
      <c r="E168" s="43">
        <f>SUM(E169:E169)</f>
        <v>1158800</v>
      </c>
      <c r="F168" s="43">
        <f>SUM(F169:F169)</f>
        <v>1083000</v>
      </c>
      <c r="G168" s="44" t="e">
        <f>SUM(G169:G169)</f>
        <v>#REF!</v>
      </c>
      <c r="H168" s="44" t="e">
        <f>SUM(H169:H169)</f>
        <v>#REF!</v>
      </c>
      <c r="I168" s="44"/>
      <c r="J168" s="44">
        <f aca="true" t="shared" si="18" ref="J168:P168">SUM(J169:J169)</f>
        <v>1174000</v>
      </c>
      <c r="K168" s="44">
        <f t="shared" si="18"/>
        <v>1521795</v>
      </c>
      <c r="L168" s="44" t="e">
        <f t="shared" si="18"/>
        <v>#REF!</v>
      </c>
      <c r="M168" s="44" t="e">
        <f t="shared" si="18"/>
        <v>#REF!</v>
      </c>
      <c r="N168" s="44">
        <v>1090000</v>
      </c>
      <c r="O168" s="44">
        <f t="shared" si="18"/>
        <v>1540</v>
      </c>
      <c r="P168" s="44">
        <f t="shared" si="18"/>
        <v>0</v>
      </c>
      <c r="Q168" s="39">
        <f t="shared" si="17"/>
        <v>1091540</v>
      </c>
    </row>
    <row r="169" spans="1:17" ht="25.5">
      <c r="A169" s="31"/>
      <c r="B169" s="31"/>
      <c r="C169" s="32">
        <v>4130</v>
      </c>
      <c r="D169" s="33" t="s">
        <v>111</v>
      </c>
      <c r="E169" s="49">
        <v>1158800</v>
      </c>
      <c r="F169" s="49">
        <v>1083000</v>
      </c>
      <c r="G169" s="51" t="e">
        <f>#REF!+#REF!</f>
        <v>#REF!</v>
      </c>
      <c r="H169" s="51" t="e">
        <f>#REF!+#REF!</f>
        <v>#REF!</v>
      </c>
      <c r="I169" s="51"/>
      <c r="J169" s="51">
        <v>1174000</v>
      </c>
      <c r="K169" s="51">
        <v>1521795</v>
      </c>
      <c r="L169" s="51" t="e">
        <f>#REF!+#REF!+#REF!</f>
        <v>#REF!</v>
      </c>
      <c r="M169" s="51" t="e">
        <f>#REF!+#REF!+#REF!</f>
        <v>#REF!</v>
      </c>
      <c r="N169" s="51">
        <v>1090000</v>
      </c>
      <c r="O169" s="51">
        <v>1540</v>
      </c>
      <c r="P169" s="51"/>
      <c r="Q169" s="39">
        <f t="shared" si="17"/>
        <v>1091540</v>
      </c>
    </row>
    <row r="170" spans="1:17" ht="12.75">
      <c r="A170" s="35">
        <v>852</v>
      </c>
      <c r="B170" s="35"/>
      <c r="C170" s="36"/>
      <c r="D170" s="52" t="s">
        <v>113</v>
      </c>
      <c r="E170" s="38" t="e">
        <f>E171+E212+E410+E419+E395+E427+#REF!+E339</f>
        <v>#REF!</v>
      </c>
      <c r="F170" s="38" t="e">
        <f>F171+F212+F410+F419+F395+F427+#REF!+F339</f>
        <v>#REF!</v>
      </c>
      <c r="G170" s="39" t="e">
        <f>G171+G212+G410+G419+G393+G427+#REF!+G339</f>
        <v>#REF!</v>
      </c>
      <c r="H170" s="39" t="e">
        <f>H171+H212+H410+H419+H395+H427+#REF!+H339</f>
        <v>#REF!</v>
      </c>
      <c r="I170" s="39"/>
      <c r="J170" s="39" t="e">
        <f>J171+J212+J410+J419+J395+J427+#REF!+J339</f>
        <v>#REF!</v>
      </c>
      <c r="K170" s="39" t="e">
        <f>K171+K212+K410+K419+K395+K427+#REF!+K339</f>
        <v>#REF!</v>
      </c>
      <c r="L170" s="39" t="e">
        <f>L171+L212+L410+L419+L395+L427+#REF!+L339</f>
        <v>#REF!</v>
      </c>
      <c r="M170" s="39" t="e">
        <f>M171+M212+M410+M419+M395+M427+#REF!+M339</f>
        <v>#REF!</v>
      </c>
      <c r="N170" s="39">
        <v>16638545</v>
      </c>
      <c r="O170" s="39">
        <f>O171+O212+O410+O419+O395+O427+O339</f>
        <v>428487</v>
      </c>
      <c r="P170" s="39">
        <f>P171+P212+P410+P419+P395+P427+P339</f>
        <v>629206</v>
      </c>
      <c r="Q170" s="39">
        <f t="shared" si="17"/>
        <v>16437826</v>
      </c>
    </row>
    <row r="171" spans="1:17" ht="25.5">
      <c r="A171" s="40"/>
      <c r="B171" s="40">
        <v>85201</v>
      </c>
      <c r="C171" s="41"/>
      <c r="D171" s="50" t="s">
        <v>114</v>
      </c>
      <c r="E171" s="90">
        <f>SUM(E172:E179)</f>
        <v>1012650</v>
      </c>
      <c r="F171" s="90">
        <f>SUM(F172:F179)</f>
        <v>1042053</v>
      </c>
      <c r="G171" s="90">
        <f>SUM(G172:G179)</f>
        <v>1112220</v>
      </c>
      <c r="H171" s="90">
        <f>SUM(H172:H179)</f>
        <v>1106516</v>
      </c>
      <c r="I171" s="90"/>
      <c r="J171" s="90">
        <f>SUM(J172:J179)</f>
        <v>1761580</v>
      </c>
      <c r="K171" s="90">
        <f>SUM(K172:K179)</f>
        <v>1721054</v>
      </c>
      <c r="L171" s="90">
        <f>SUM(L172:L179)</f>
        <v>1216594</v>
      </c>
      <c r="M171" s="90">
        <f>SUM(M172:M179)</f>
        <v>1244329</v>
      </c>
      <c r="N171" s="90">
        <v>2300680</v>
      </c>
      <c r="O171" s="90">
        <f>SUM(O172:O179)</f>
        <v>108752</v>
      </c>
      <c r="P171" s="90">
        <f>SUM(P172:P179)</f>
        <v>99667</v>
      </c>
      <c r="Q171" s="39">
        <f t="shared" si="17"/>
        <v>2309765</v>
      </c>
    </row>
    <row r="172" spans="1:17" ht="76.5">
      <c r="A172" s="31"/>
      <c r="B172" s="31"/>
      <c r="C172" s="32">
        <v>2320</v>
      </c>
      <c r="D172" s="33" t="s">
        <v>115</v>
      </c>
      <c r="E172" s="91">
        <v>259150</v>
      </c>
      <c r="F172" s="91">
        <v>248803</v>
      </c>
      <c r="G172" s="92">
        <v>176650</v>
      </c>
      <c r="H172" s="92">
        <v>176650</v>
      </c>
      <c r="I172" s="92"/>
      <c r="J172" s="92">
        <v>176650</v>
      </c>
      <c r="K172" s="92">
        <v>270336</v>
      </c>
      <c r="L172" s="92">
        <f>L210</f>
        <v>270336</v>
      </c>
      <c r="M172" s="92">
        <f>M210</f>
        <v>317022</v>
      </c>
      <c r="N172" s="92">
        <v>318000</v>
      </c>
      <c r="O172" s="92">
        <f>O210</f>
        <v>0</v>
      </c>
      <c r="P172" s="92">
        <v>18509</v>
      </c>
      <c r="Q172" s="39">
        <f t="shared" si="17"/>
        <v>299491</v>
      </c>
    </row>
    <row r="173" spans="1:17" ht="12.75">
      <c r="A173" s="31"/>
      <c r="B173" s="31"/>
      <c r="C173" s="32">
        <v>3110</v>
      </c>
      <c r="D173" s="33" t="s">
        <v>116</v>
      </c>
      <c r="E173" s="93">
        <v>161600</v>
      </c>
      <c r="F173" s="49">
        <f>F182+F207</f>
        <v>161600</v>
      </c>
      <c r="G173" s="53">
        <f>5000+163740</f>
        <v>168740</v>
      </c>
      <c r="H173" s="53">
        <f>5000+163740</f>
        <v>168740</v>
      </c>
      <c r="I173" s="53"/>
      <c r="J173" s="53">
        <v>168740</v>
      </c>
      <c r="K173" s="53">
        <v>171580</v>
      </c>
      <c r="L173" s="53">
        <f>L182+L207</f>
        <v>170740</v>
      </c>
      <c r="M173" s="53">
        <f>M182+M207</f>
        <v>112432</v>
      </c>
      <c r="N173" s="53">
        <v>110552</v>
      </c>
      <c r="O173" s="53">
        <f>O182+O207</f>
        <v>0</v>
      </c>
      <c r="P173" s="53">
        <f>P182+P207</f>
        <v>19889</v>
      </c>
      <c r="Q173" s="39">
        <f t="shared" si="17"/>
        <v>90663</v>
      </c>
    </row>
    <row r="174" spans="1:17" ht="25.5">
      <c r="A174" s="31"/>
      <c r="B174" s="31"/>
      <c r="C174" s="32">
        <v>4010</v>
      </c>
      <c r="D174" s="33" t="s">
        <v>28</v>
      </c>
      <c r="E174" s="93">
        <v>549700</v>
      </c>
      <c r="F174" s="49">
        <v>572450</v>
      </c>
      <c r="G174" s="53">
        <v>717936</v>
      </c>
      <c r="H174" s="53">
        <v>717936</v>
      </c>
      <c r="I174" s="53">
        <v>718000</v>
      </c>
      <c r="J174" s="53">
        <v>718000</v>
      </c>
      <c r="K174" s="53">
        <v>732988</v>
      </c>
      <c r="L174" s="53">
        <f>L183</f>
        <v>732988</v>
      </c>
      <c r="M174" s="53">
        <f>M183</f>
        <v>766802</v>
      </c>
      <c r="N174" s="53">
        <v>756220</v>
      </c>
      <c r="O174" s="53">
        <f>O183</f>
        <v>0</v>
      </c>
      <c r="P174" s="53">
        <f>P183</f>
        <v>28877</v>
      </c>
      <c r="Q174" s="39">
        <f aca="true" t="shared" si="19" ref="Q174:Q217">N174+O174-P174</f>
        <v>727343</v>
      </c>
    </row>
    <row r="175" spans="1:17" ht="12.75">
      <c r="A175" s="31"/>
      <c r="B175" s="31"/>
      <c r="C175" s="32">
        <v>4260</v>
      </c>
      <c r="D175" s="33" t="s">
        <v>34</v>
      </c>
      <c r="E175" s="93">
        <v>18700</v>
      </c>
      <c r="F175" s="49">
        <f>F192</f>
        <v>18700</v>
      </c>
      <c r="G175" s="53">
        <v>19130</v>
      </c>
      <c r="H175" s="53">
        <v>19130</v>
      </c>
      <c r="I175" s="53"/>
      <c r="J175" s="53">
        <v>19130</v>
      </c>
      <c r="K175" s="53">
        <v>19130</v>
      </c>
      <c r="L175" s="53">
        <f>L192</f>
        <v>20110</v>
      </c>
      <c r="M175" s="53">
        <f>M192</f>
        <v>25000</v>
      </c>
      <c r="N175" s="53">
        <v>25000</v>
      </c>
      <c r="O175" s="53">
        <f>O192</f>
        <v>10000</v>
      </c>
      <c r="P175" s="53">
        <f>P192</f>
        <v>0</v>
      </c>
      <c r="Q175" s="39">
        <f t="shared" si="19"/>
        <v>35000</v>
      </c>
    </row>
    <row r="176" spans="1:17" ht="12.75">
      <c r="A176" s="31"/>
      <c r="B176" s="31"/>
      <c r="C176" s="32">
        <v>4270</v>
      </c>
      <c r="D176" s="33" t="s">
        <v>52</v>
      </c>
      <c r="E176" s="93">
        <v>11500</v>
      </c>
      <c r="F176" s="49">
        <f>F193</f>
        <v>11500</v>
      </c>
      <c r="G176" s="53">
        <v>11764</v>
      </c>
      <c r="H176" s="53">
        <v>11760</v>
      </c>
      <c r="I176" s="53"/>
      <c r="J176" s="53">
        <v>11760</v>
      </c>
      <c r="K176" s="53">
        <v>5720</v>
      </c>
      <c r="L176" s="53">
        <f>L193</f>
        <v>6120</v>
      </c>
      <c r="M176" s="53">
        <f>M193</f>
        <v>6300</v>
      </c>
      <c r="N176" s="53">
        <v>31550</v>
      </c>
      <c r="O176" s="53">
        <v>1690</v>
      </c>
      <c r="P176" s="53"/>
      <c r="Q176" s="39">
        <f t="shared" si="19"/>
        <v>33240</v>
      </c>
    </row>
    <row r="177" spans="1:17" ht="12.75">
      <c r="A177" s="31"/>
      <c r="B177" s="31"/>
      <c r="C177" s="32">
        <v>4300</v>
      </c>
      <c r="D177" s="33" t="s">
        <v>69</v>
      </c>
      <c r="E177" s="93">
        <v>12000</v>
      </c>
      <c r="F177" s="49">
        <f>F195</f>
        <v>12000</v>
      </c>
      <c r="G177" s="53">
        <v>18000</v>
      </c>
      <c r="H177" s="53">
        <v>12300</v>
      </c>
      <c r="I177" s="53"/>
      <c r="J177" s="53">
        <v>12300</v>
      </c>
      <c r="K177" s="53">
        <v>16300</v>
      </c>
      <c r="L177" s="53">
        <f>L195</f>
        <v>16300</v>
      </c>
      <c r="M177" s="53">
        <f>M195</f>
        <v>16773</v>
      </c>
      <c r="N177" s="53">
        <v>21800</v>
      </c>
      <c r="O177" s="53">
        <f>O195+O208-486</f>
        <v>10000</v>
      </c>
      <c r="P177" s="53">
        <f>P195+P208</f>
        <v>0</v>
      </c>
      <c r="Q177" s="39">
        <f t="shared" si="19"/>
        <v>31800</v>
      </c>
    </row>
    <row r="178" spans="1:17" ht="25.5">
      <c r="A178" s="31"/>
      <c r="B178" s="31"/>
      <c r="C178" s="32">
        <v>4330</v>
      </c>
      <c r="D178" s="33" t="s">
        <v>218</v>
      </c>
      <c r="E178" s="93"/>
      <c r="F178" s="49"/>
      <c r="G178" s="53"/>
      <c r="H178" s="53"/>
      <c r="I178" s="53"/>
      <c r="J178" s="53"/>
      <c r="K178" s="53"/>
      <c r="L178" s="53"/>
      <c r="M178" s="53"/>
      <c r="N178" s="53"/>
      <c r="O178" s="53">
        <f>O208</f>
        <v>486</v>
      </c>
      <c r="P178" s="53"/>
      <c r="Q178" s="39"/>
    </row>
    <row r="179" spans="1:17" ht="25.5">
      <c r="A179" s="35"/>
      <c r="B179" s="35"/>
      <c r="C179" s="32">
        <v>6050</v>
      </c>
      <c r="D179" s="55" t="s">
        <v>119</v>
      </c>
      <c r="E179" s="63"/>
      <c r="F179" s="63">
        <v>17000</v>
      </c>
      <c r="G179" s="51"/>
      <c r="H179" s="51"/>
      <c r="I179" s="51"/>
      <c r="J179" s="51">
        <v>655000</v>
      </c>
      <c r="K179" s="51">
        <v>505000</v>
      </c>
      <c r="L179" s="51">
        <f>L211</f>
        <v>0</v>
      </c>
      <c r="M179" s="51">
        <f>M211</f>
        <v>0</v>
      </c>
      <c r="N179" s="51">
        <v>668600</v>
      </c>
      <c r="O179" s="51">
        <f>O211</f>
        <v>86576</v>
      </c>
      <c r="P179" s="51">
        <f>P211</f>
        <v>32392</v>
      </c>
      <c r="Q179" s="39">
        <f t="shared" si="19"/>
        <v>722784</v>
      </c>
    </row>
    <row r="180" spans="1:17" ht="25.5">
      <c r="A180" s="40"/>
      <c r="B180" s="94"/>
      <c r="C180" s="31" t="s">
        <v>94</v>
      </c>
      <c r="D180" s="50" t="s">
        <v>112</v>
      </c>
      <c r="E180" s="49">
        <f>SUM(E181:E205)</f>
        <v>943670</v>
      </c>
      <c r="F180" s="49">
        <f>SUM(F181:F205)</f>
        <v>977250</v>
      </c>
      <c r="G180" s="49">
        <f>SUM(G181:G205)</f>
        <v>1133356</v>
      </c>
      <c r="H180" s="49">
        <f>SUM(H181:H205)</f>
        <v>1116446</v>
      </c>
      <c r="I180" s="49"/>
      <c r="J180" s="49">
        <f aca="true" t="shared" si="20" ref="J180:P180">SUM(J181:J205)</f>
        <v>1116510</v>
      </c>
      <c r="K180" s="49">
        <f t="shared" si="20"/>
        <v>1138179</v>
      </c>
      <c r="L180" s="49">
        <f t="shared" si="20"/>
        <v>1138179</v>
      </c>
      <c r="M180" s="49">
        <f t="shared" si="20"/>
        <v>1219306</v>
      </c>
      <c r="N180" s="49">
        <v>1209528</v>
      </c>
      <c r="O180" s="49">
        <f t="shared" si="20"/>
        <v>21690</v>
      </c>
      <c r="P180" s="49">
        <f t="shared" si="20"/>
        <v>28877</v>
      </c>
      <c r="Q180" s="39">
        <f t="shared" si="19"/>
        <v>1202341</v>
      </c>
    </row>
    <row r="181" spans="1:17" ht="25.5">
      <c r="A181" s="31"/>
      <c r="B181" s="31"/>
      <c r="C181" s="32">
        <v>3020</v>
      </c>
      <c r="D181" s="33" t="s">
        <v>59</v>
      </c>
      <c r="E181" s="93">
        <v>45600</v>
      </c>
      <c r="F181" s="49">
        <v>46900</v>
      </c>
      <c r="G181" s="53">
        <v>29700</v>
      </c>
      <c r="H181" s="53">
        <v>29700</v>
      </c>
      <c r="I181" s="53"/>
      <c r="J181" s="53">
        <v>29700</v>
      </c>
      <c r="K181" s="53">
        <v>29700</v>
      </c>
      <c r="L181" s="53">
        <v>29700</v>
      </c>
      <c r="M181" s="53">
        <v>29000</v>
      </c>
      <c r="N181" s="53">
        <v>20600</v>
      </c>
      <c r="O181" s="53"/>
      <c r="P181" s="53"/>
      <c r="Q181" s="39">
        <f t="shared" si="19"/>
        <v>20600</v>
      </c>
    </row>
    <row r="182" spans="1:17" ht="12.75">
      <c r="A182" s="31"/>
      <c r="B182" s="31"/>
      <c r="C182" s="32">
        <v>3110</v>
      </c>
      <c r="D182" s="33" t="s">
        <v>116</v>
      </c>
      <c r="E182" s="93">
        <v>5500</v>
      </c>
      <c r="F182" s="49">
        <v>5500</v>
      </c>
      <c r="G182" s="53">
        <v>5000</v>
      </c>
      <c r="H182" s="53">
        <v>5000</v>
      </c>
      <c r="I182" s="53"/>
      <c r="J182" s="53">
        <v>5000</v>
      </c>
      <c r="K182" s="53">
        <v>7840</v>
      </c>
      <c r="L182" s="53">
        <v>7000</v>
      </c>
      <c r="M182" s="53">
        <v>8000</v>
      </c>
      <c r="N182" s="53">
        <v>6000</v>
      </c>
      <c r="O182" s="53"/>
      <c r="P182" s="53"/>
      <c r="Q182" s="39">
        <f t="shared" si="19"/>
        <v>6000</v>
      </c>
    </row>
    <row r="183" spans="1:17" ht="25.5">
      <c r="A183" s="31"/>
      <c r="B183" s="31"/>
      <c r="C183" s="32">
        <v>4010</v>
      </c>
      <c r="D183" s="33" t="s">
        <v>28</v>
      </c>
      <c r="E183" s="93">
        <v>549700</v>
      </c>
      <c r="F183" s="49">
        <v>572450</v>
      </c>
      <c r="G183" s="53">
        <v>717936</v>
      </c>
      <c r="H183" s="53">
        <v>717936</v>
      </c>
      <c r="I183" s="53"/>
      <c r="J183" s="53">
        <v>718000</v>
      </c>
      <c r="K183" s="53">
        <v>732988</v>
      </c>
      <c r="L183" s="53">
        <v>732988</v>
      </c>
      <c r="M183" s="53">
        <v>766802</v>
      </c>
      <c r="N183" s="53">
        <v>756220</v>
      </c>
      <c r="O183" s="53"/>
      <c r="P183" s="53">
        <v>28877</v>
      </c>
      <c r="Q183" s="39">
        <f t="shared" si="19"/>
        <v>727343</v>
      </c>
    </row>
    <row r="184" spans="1:17" ht="12.75">
      <c r="A184" s="31"/>
      <c r="B184" s="31"/>
      <c r="C184" s="32">
        <v>4040</v>
      </c>
      <c r="D184" s="33" t="s">
        <v>29</v>
      </c>
      <c r="E184" s="93">
        <v>45000</v>
      </c>
      <c r="F184" s="49">
        <v>45000</v>
      </c>
      <c r="G184" s="53">
        <v>48700</v>
      </c>
      <c r="H184" s="53">
        <v>46240</v>
      </c>
      <c r="I184" s="53"/>
      <c r="J184" s="53">
        <f>46240+2260</f>
        <v>48500</v>
      </c>
      <c r="K184" s="53">
        <v>48500</v>
      </c>
      <c r="L184" s="53">
        <v>48500</v>
      </c>
      <c r="M184" s="53">
        <v>52000</v>
      </c>
      <c r="N184" s="53">
        <v>46250</v>
      </c>
      <c r="O184" s="53"/>
      <c r="P184" s="53"/>
      <c r="Q184" s="39">
        <f t="shared" si="19"/>
        <v>46250</v>
      </c>
    </row>
    <row r="185" spans="1:17" ht="25.5">
      <c r="A185" s="31"/>
      <c r="B185" s="31"/>
      <c r="C185" s="32">
        <v>4110</v>
      </c>
      <c r="D185" s="33" t="s">
        <v>30</v>
      </c>
      <c r="E185" s="93">
        <v>104427</v>
      </c>
      <c r="F185" s="49">
        <v>108397</v>
      </c>
      <c r="G185" s="53">
        <v>115529</v>
      </c>
      <c r="H185" s="53">
        <v>110560</v>
      </c>
      <c r="I185" s="53"/>
      <c r="J185" s="53">
        <v>110560</v>
      </c>
      <c r="K185" s="53">
        <v>112874</v>
      </c>
      <c r="L185" s="53">
        <v>112874</v>
      </c>
      <c r="M185" s="53">
        <v>126807</v>
      </c>
      <c r="N185" s="53">
        <v>121894</v>
      </c>
      <c r="O185" s="53"/>
      <c r="P185" s="53"/>
      <c r="Q185" s="39">
        <f t="shared" si="19"/>
        <v>121894</v>
      </c>
    </row>
    <row r="186" spans="1:17" ht="12.75">
      <c r="A186" s="31"/>
      <c r="B186" s="31"/>
      <c r="C186" s="32">
        <v>4120</v>
      </c>
      <c r="D186" s="33" t="s">
        <v>31</v>
      </c>
      <c r="E186" s="93">
        <v>15043</v>
      </c>
      <c r="F186" s="49">
        <v>15603</v>
      </c>
      <c r="G186" s="53">
        <v>18300</v>
      </c>
      <c r="H186" s="53">
        <v>17540</v>
      </c>
      <c r="I186" s="53"/>
      <c r="J186" s="53">
        <v>17540</v>
      </c>
      <c r="K186" s="53">
        <v>17907</v>
      </c>
      <c r="L186" s="53">
        <v>17907</v>
      </c>
      <c r="M186" s="53">
        <v>20122</v>
      </c>
      <c r="N186" s="53">
        <v>19314</v>
      </c>
      <c r="O186" s="53"/>
      <c r="P186" s="53"/>
      <c r="Q186" s="39">
        <f t="shared" si="19"/>
        <v>19314</v>
      </c>
    </row>
    <row r="187" spans="1:17" ht="12.75">
      <c r="A187" s="31"/>
      <c r="B187" s="31"/>
      <c r="C187" s="32">
        <v>4170</v>
      </c>
      <c r="D187" s="33" t="s">
        <v>133</v>
      </c>
      <c r="E187" s="93"/>
      <c r="F187" s="49"/>
      <c r="G187" s="53"/>
      <c r="H187" s="53"/>
      <c r="I187" s="53"/>
      <c r="J187" s="53">
        <v>0</v>
      </c>
      <c r="K187" s="53">
        <v>0</v>
      </c>
      <c r="L187" s="53">
        <v>0</v>
      </c>
      <c r="M187" s="53">
        <v>20000</v>
      </c>
      <c r="N187" s="53">
        <v>8000</v>
      </c>
      <c r="O187" s="53"/>
      <c r="P187" s="53"/>
      <c r="Q187" s="39">
        <f t="shared" si="19"/>
        <v>8000</v>
      </c>
    </row>
    <row r="188" spans="1:17" ht="12.75">
      <c r="A188" s="31"/>
      <c r="B188" s="31"/>
      <c r="C188" s="32">
        <v>4210</v>
      </c>
      <c r="D188" s="33" t="s">
        <v>33</v>
      </c>
      <c r="E188" s="93">
        <v>33600</v>
      </c>
      <c r="F188" s="49">
        <v>38600</v>
      </c>
      <c r="G188" s="53">
        <v>39487</v>
      </c>
      <c r="H188" s="53">
        <v>39490</v>
      </c>
      <c r="I188" s="53"/>
      <c r="J188" s="53">
        <f>39490-2260</f>
        <v>37230</v>
      </c>
      <c r="K188" s="53">
        <v>37230</v>
      </c>
      <c r="L188" s="53">
        <v>37230</v>
      </c>
      <c r="M188" s="53">
        <v>38310</v>
      </c>
      <c r="N188" s="53">
        <v>40300</v>
      </c>
      <c r="O188" s="53"/>
      <c r="P188" s="53"/>
      <c r="Q188" s="39">
        <f t="shared" si="19"/>
        <v>40300</v>
      </c>
    </row>
    <row r="189" spans="1:17" ht="12.75">
      <c r="A189" s="31"/>
      <c r="B189" s="31"/>
      <c r="C189" s="32">
        <v>4220</v>
      </c>
      <c r="D189" s="33" t="s">
        <v>117</v>
      </c>
      <c r="E189" s="93">
        <v>45000</v>
      </c>
      <c r="F189" s="49">
        <v>45000</v>
      </c>
      <c r="G189" s="53">
        <v>46035</v>
      </c>
      <c r="H189" s="53">
        <v>46000</v>
      </c>
      <c r="I189" s="53"/>
      <c r="J189" s="53">
        <v>46000</v>
      </c>
      <c r="K189" s="53">
        <v>46000</v>
      </c>
      <c r="L189" s="53">
        <v>46000</v>
      </c>
      <c r="M189" s="53">
        <v>47334</v>
      </c>
      <c r="N189" s="53">
        <v>47300</v>
      </c>
      <c r="O189" s="53"/>
      <c r="P189" s="53"/>
      <c r="Q189" s="39">
        <f t="shared" si="19"/>
        <v>47300</v>
      </c>
    </row>
    <row r="190" spans="1:17" ht="38.25">
      <c r="A190" s="31"/>
      <c r="B190" s="31"/>
      <c r="C190" s="32">
        <v>4230</v>
      </c>
      <c r="D190" s="33" t="s">
        <v>73</v>
      </c>
      <c r="E190" s="93">
        <v>2000</v>
      </c>
      <c r="F190" s="49">
        <v>2000</v>
      </c>
      <c r="G190" s="53">
        <v>3500</v>
      </c>
      <c r="H190" s="53">
        <v>2050</v>
      </c>
      <c r="I190" s="53"/>
      <c r="J190" s="53">
        <v>2050</v>
      </c>
      <c r="K190" s="53">
        <v>2050</v>
      </c>
      <c r="L190" s="53">
        <v>2050</v>
      </c>
      <c r="M190" s="53">
        <v>2110</v>
      </c>
      <c r="N190" s="53">
        <v>2100</v>
      </c>
      <c r="O190" s="53"/>
      <c r="P190" s="53"/>
      <c r="Q190" s="39">
        <f t="shared" si="19"/>
        <v>2100</v>
      </c>
    </row>
    <row r="191" spans="1:17" ht="25.5">
      <c r="A191" s="31"/>
      <c r="B191" s="31"/>
      <c r="C191" s="32">
        <v>4240</v>
      </c>
      <c r="D191" s="33" t="s">
        <v>91</v>
      </c>
      <c r="E191" s="93">
        <v>2000</v>
      </c>
      <c r="F191" s="49">
        <v>2000</v>
      </c>
      <c r="G191" s="53">
        <v>2046</v>
      </c>
      <c r="H191" s="53">
        <v>2050</v>
      </c>
      <c r="I191" s="53"/>
      <c r="J191" s="53">
        <v>2050</v>
      </c>
      <c r="K191" s="53">
        <v>2050</v>
      </c>
      <c r="L191" s="53">
        <v>2050</v>
      </c>
      <c r="M191" s="53">
        <v>2110</v>
      </c>
      <c r="N191" s="53">
        <v>2100</v>
      </c>
      <c r="O191" s="53"/>
      <c r="P191" s="53"/>
      <c r="Q191" s="39">
        <f t="shared" si="19"/>
        <v>2100</v>
      </c>
    </row>
    <row r="192" spans="1:17" ht="12.75">
      <c r="A192" s="31"/>
      <c r="B192" s="31"/>
      <c r="C192" s="32">
        <v>4260</v>
      </c>
      <c r="D192" s="33" t="s">
        <v>34</v>
      </c>
      <c r="E192" s="93">
        <v>18700</v>
      </c>
      <c r="F192" s="49">
        <v>18700</v>
      </c>
      <c r="G192" s="53">
        <v>19130</v>
      </c>
      <c r="H192" s="53">
        <v>19130</v>
      </c>
      <c r="I192" s="53"/>
      <c r="J192" s="53">
        <v>19130</v>
      </c>
      <c r="K192" s="53">
        <v>19130</v>
      </c>
      <c r="L192" s="53">
        <v>20110</v>
      </c>
      <c r="M192" s="53">
        <v>25000</v>
      </c>
      <c r="N192" s="53">
        <v>25000</v>
      </c>
      <c r="O192" s="53">
        <v>10000</v>
      </c>
      <c r="P192" s="53"/>
      <c r="Q192" s="39">
        <f t="shared" si="19"/>
        <v>35000</v>
      </c>
    </row>
    <row r="193" spans="1:17" ht="12.75">
      <c r="A193" s="31"/>
      <c r="B193" s="31"/>
      <c r="C193" s="32">
        <v>4270</v>
      </c>
      <c r="D193" s="33" t="s">
        <v>52</v>
      </c>
      <c r="E193" s="93">
        <v>11500</v>
      </c>
      <c r="F193" s="49">
        <v>11500</v>
      </c>
      <c r="G193" s="53">
        <v>11764</v>
      </c>
      <c r="H193" s="53">
        <v>11760</v>
      </c>
      <c r="I193" s="53"/>
      <c r="J193" s="53">
        <v>11760</v>
      </c>
      <c r="K193" s="53">
        <v>5720</v>
      </c>
      <c r="L193" s="53">
        <v>6120</v>
      </c>
      <c r="M193" s="53">
        <v>6300</v>
      </c>
      <c r="N193" s="53">
        <v>31550</v>
      </c>
      <c r="O193" s="53">
        <v>1690</v>
      </c>
      <c r="P193" s="53"/>
      <c r="Q193" s="39">
        <f t="shared" si="19"/>
        <v>33240</v>
      </c>
    </row>
    <row r="194" spans="1:17" ht="12.75">
      <c r="A194" s="31"/>
      <c r="B194" s="31"/>
      <c r="C194" s="32">
        <v>4280</v>
      </c>
      <c r="D194" s="33" t="s">
        <v>36</v>
      </c>
      <c r="E194" s="93">
        <v>300</v>
      </c>
      <c r="F194" s="49">
        <v>300</v>
      </c>
      <c r="G194" s="53">
        <v>307</v>
      </c>
      <c r="H194" s="53">
        <v>310</v>
      </c>
      <c r="I194" s="53"/>
      <c r="J194" s="53">
        <v>310</v>
      </c>
      <c r="K194" s="53">
        <v>1010</v>
      </c>
      <c r="L194" s="53">
        <v>1000</v>
      </c>
      <c r="M194" s="53">
        <v>300</v>
      </c>
      <c r="N194" s="53">
        <v>700</v>
      </c>
      <c r="O194" s="53"/>
      <c r="P194" s="53"/>
      <c r="Q194" s="39">
        <f t="shared" si="19"/>
        <v>700</v>
      </c>
    </row>
    <row r="195" spans="1:17" ht="12.75">
      <c r="A195" s="31"/>
      <c r="B195" s="31"/>
      <c r="C195" s="32">
        <v>4300</v>
      </c>
      <c r="D195" s="33" t="s">
        <v>120</v>
      </c>
      <c r="E195" s="93">
        <v>12000</v>
      </c>
      <c r="F195" s="49">
        <v>12000</v>
      </c>
      <c r="G195" s="53">
        <v>18000</v>
      </c>
      <c r="H195" s="53">
        <v>12300</v>
      </c>
      <c r="I195" s="53"/>
      <c r="J195" s="53">
        <v>12300</v>
      </c>
      <c r="K195" s="53">
        <v>16300</v>
      </c>
      <c r="L195" s="53">
        <v>16300</v>
      </c>
      <c r="M195" s="53">
        <v>16773</v>
      </c>
      <c r="N195" s="53">
        <v>21800</v>
      </c>
      <c r="O195" s="53">
        <v>10000</v>
      </c>
      <c r="P195" s="53"/>
      <c r="Q195" s="39">
        <f t="shared" si="19"/>
        <v>31800</v>
      </c>
    </row>
    <row r="196" spans="1:17" ht="25.5">
      <c r="A196" s="31"/>
      <c r="B196" s="31"/>
      <c r="C196" s="32">
        <v>4350</v>
      </c>
      <c r="D196" s="33" t="s">
        <v>37</v>
      </c>
      <c r="E196" s="93">
        <v>1100</v>
      </c>
      <c r="F196" s="49">
        <v>1100</v>
      </c>
      <c r="G196" s="53">
        <v>1125</v>
      </c>
      <c r="H196" s="53">
        <v>1130</v>
      </c>
      <c r="I196" s="53"/>
      <c r="J196" s="53">
        <v>1130</v>
      </c>
      <c r="K196" s="53">
        <v>1130</v>
      </c>
      <c r="L196" s="53">
        <v>1130</v>
      </c>
      <c r="M196" s="53">
        <v>1163</v>
      </c>
      <c r="N196" s="53">
        <v>1200</v>
      </c>
      <c r="O196" s="53"/>
      <c r="P196" s="53"/>
      <c r="Q196" s="39">
        <f t="shared" si="19"/>
        <v>1200</v>
      </c>
    </row>
    <row r="197" spans="1:17" ht="38.25">
      <c r="A197" s="31"/>
      <c r="B197" s="31"/>
      <c r="C197" s="32">
        <v>4360</v>
      </c>
      <c r="D197" s="33" t="s">
        <v>99</v>
      </c>
      <c r="E197" s="93">
        <v>1200</v>
      </c>
      <c r="F197" s="95">
        <v>1200</v>
      </c>
      <c r="G197" s="53">
        <v>1228</v>
      </c>
      <c r="H197" s="53">
        <v>1230</v>
      </c>
      <c r="I197" s="53"/>
      <c r="J197" s="53">
        <v>1230</v>
      </c>
      <c r="K197" s="53">
        <v>1230</v>
      </c>
      <c r="L197" s="53">
        <v>1230</v>
      </c>
      <c r="M197" s="53">
        <v>1266</v>
      </c>
      <c r="N197" s="53">
        <v>1300</v>
      </c>
      <c r="O197" s="53"/>
      <c r="P197" s="53"/>
      <c r="Q197" s="39">
        <f t="shared" si="19"/>
        <v>1300</v>
      </c>
    </row>
    <row r="198" spans="1:17" ht="38.25">
      <c r="A198" s="31"/>
      <c r="B198" s="31"/>
      <c r="C198" s="32">
        <v>4370</v>
      </c>
      <c r="D198" s="33" t="s">
        <v>101</v>
      </c>
      <c r="E198" s="93">
        <v>5000</v>
      </c>
      <c r="F198" s="95">
        <v>5000</v>
      </c>
      <c r="G198" s="53">
        <v>5115</v>
      </c>
      <c r="H198" s="53">
        <v>5100</v>
      </c>
      <c r="I198" s="53"/>
      <c r="J198" s="53">
        <v>5100</v>
      </c>
      <c r="K198" s="53">
        <v>5100</v>
      </c>
      <c r="L198" s="53">
        <v>5100</v>
      </c>
      <c r="M198" s="53">
        <v>5248</v>
      </c>
      <c r="N198" s="53">
        <v>5200</v>
      </c>
      <c r="O198" s="53"/>
      <c r="P198" s="53"/>
      <c r="Q198" s="39">
        <f t="shared" si="19"/>
        <v>5200</v>
      </c>
    </row>
    <row r="199" spans="1:17" ht="12.75">
      <c r="A199" s="31"/>
      <c r="B199" s="31"/>
      <c r="C199" s="32">
        <v>4410</v>
      </c>
      <c r="D199" s="33" t="s">
        <v>41</v>
      </c>
      <c r="E199" s="93">
        <v>3000</v>
      </c>
      <c r="F199" s="49">
        <v>3000</v>
      </c>
      <c r="G199" s="53">
        <v>3069</v>
      </c>
      <c r="H199" s="53">
        <v>3070</v>
      </c>
      <c r="I199" s="53"/>
      <c r="J199" s="53">
        <v>3070</v>
      </c>
      <c r="K199" s="53">
        <v>3070</v>
      </c>
      <c r="L199" s="53">
        <v>3070</v>
      </c>
      <c r="M199" s="53">
        <v>3159</v>
      </c>
      <c r="N199" s="53">
        <v>3200</v>
      </c>
      <c r="O199" s="53"/>
      <c r="P199" s="53"/>
      <c r="Q199" s="39">
        <f t="shared" si="19"/>
        <v>3200</v>
      </c>
    </row>
    <row r="200" spans="1:17" ht="12.75">
      <c r="A200" s="31"/>
      <c r="B200" s="31"/>
      <c r="C200" s="32">
        <v>4430</v>
      </c>
      <c r="D200" s="33" t="s">
        <v>42</v>
      </c>
      <c r="E200" s="93">
        <v>2500</v>
      </c>
      <c r="F200" s="49">
        <v>2500</v>
      </c>
      <c r="G200" s="53">
        <v>2557</v>
      </c>
      <c r="H200" s="53">
        <v>2560</v>
      </c>
      <c r="I200" s="53"/>
      <c r="J200" s="53">
        <v>2560</v>
      </c>
      <c r="K200" s="53">
        <v>2560</v>
      </c>
      <c r="L200" s="53">
        <v>2560</v>
      </c>
      <c r="M200" s="53">
        <v>2634</v>
      </c>
      <c r="N200" s="53">
        <v>2600</v>
      </c>
      <c r="O200" s="53"/>
      <c r="P200" s="53"/>
      <c r="Q200" s="39">
        <f t="shared" si="19"/>
        <v>2600</v>
      </c>
    </row>
    <row r="201" spans="1:17" ht="25.5">
      <c r="A201" s="31"/>
      <c r="B201" s="31"/>
      <c r="C201" s="32">
        <v>4440</v>
      </c>
      <c r="D201" s="33" t="s">
        <v>43</v>
      </c>
      <c r="E201" s="93">
        <v>32000</v>
      </c>
      <c r="F201" s="49">
        <v>32000</v>
      </c>
      <c r="G201" s="53">
        <v>34800</v>
      </c>
      <c r="H201" s="53">
        <v>35230</v>
      </c>
      <c r="I201" s="53"/>
      <c r="J201" s="53">
        <v>35230</v>
      </c>
      <c r="K201" s="53">
        <v>35230</v>
      </c>
      <c r="L201" s="53">
        <v>35230</v>
      </c>
      <c r="M201" s="53">
        <v>36575</v>
      </c>
      <c r="N201" s="53">
        <v>38600</v>
      </c>
      <c r="O201" s="53"/>
      <c r="P201" s="53"/>
      <c r="Q201" s="39">
        <f t="shared" si="19"/>
        <v>38600</v>
      </c>
    </row>
    <row r="202" spans="1:17" ht="12.75">
      <c r="A202" s="31"/>
      <c r="B202" s="31"/>
      <c r="C202" s="32">
        <v>4480</v>
      </c>
      <c r="D202" s="33" t="s">
        <v>55</v>
      </c>
      <c r="E202" s="93">
        <v>5000</v>
      </c>
      <c r="F202" s="49">
        <v>5000</v>
      </c>
      <c r="G202" s="53">
        <v>4500</v>
      </c>
      <c r="H202" s="53">
        <v>4500</v>
      </c>
      <c r="I202" s="53"/>
      <c r="J202" s="53">
        <v>4500</v>
      </c>
      <c r="K202" s="53">
        <v>4500</v>
      </c>
      <c r="L202" s="53">
        <v>4500</v>
      </c>
      <c r="M202" s="53">
        <v>4630</v>
      </c>
      <c r="N202" s="53">
        <v>4600</v>
      </c>
      <c r="O202" s="53"/>
      <c r="P202" s="53"/>
      <c r="Q202" s="39">
        <f t="shared" si="19"/>
        <v>4600</v>
      </c>
    </row>
    <row r="203" spans="1:17" ht="25.5">
      <c r="A203" s="31"/>
      <c r="B203" s="31"/>
      <c r="C203" s="32">
        <v>4520</v>
      </c>
      <c r="D203" s="33" t="s">
        <v>118</v>
      </c>
      <c r="E203" s="93">
        <v>1300</v>
      </c>
      <c r="F203" s="49">
        <v>1300</v>
      </c>
      <c r="G203" s="53">
        <v>1300</v>
      </c>
      <c r="H203" s="53">
        <v>1300</v>
      </c>
      <c r="I203" s="53"/>
      <c r="J203" s="53">
        <v>1300</v>
      </c>
      <c r="K203" s="53">
        <v>1300</v>
      </c>
      <c r="L203" s="53">
        <v>1300</v>
      </c>
      <c r="M203" s="53">
        <v>1338</v>
      </c>
      <c r="N203" s="53">
        <v>1300</v>
      </c>
      <c r="O203" s="53"/>
      <c r="P203" s="53"/>
      <c r="Q203" s="39">
        <f t="shared" si="19"/>
        <v>1300</v>
      </c>
    </row>
    <row r="204" spans="1:17" ht="38.25">
      <c r="A204" s="31"/>
      <c r="B204" s="31"/>
      <c r="C204" s="32">
        <v>4740</v>
      </c>
      <c r="D204" s="33" t="s">
        <v>63</v>
      </c>
      <c r="E204" s="93">
        <v>1200</v>
      </c>
      <c r="F204" s="95">
        <v>1200</v>
      </c>
      <c r="G204" s="53">
        <v>1228</v>
      </c>
      <c r="H204" s="53">
        <v>1230</v>
      </c>
      <c r="I204" s="53"/>
      <c r="J204" s="53">
        <v>1230</v>
      </c>
      <c r="K204" s="53">
        <v>1230</v>
      </c>
      <c r="L204" s="53">
        <v>1230</v>
      </c>
      <c r="M204" s="53">
        <v>1265</v>
      </c>
      <c r="N204" s="53">
        <v>1300</v>
      </c>
      <c r="O204" s="53"/>
      <c r="P204" s="53"/>
      <c r="Q204" s="39">
        <f t="shared" si="19"/>
        <v>1300</v>
      </c>
    </row>
    <row r="205" spans="1:17" ht="38.25">
      <c r="A205" s="31"/>
      <c r="B205" s="31"/>
      <c r="C205" s="32">
        <v>4750</v>
      </c>
      <c r="D205" s="33" t="s">
        <v>92</v>
      </c>
      <c r="E205" s="93">
        <v>1000</v>
      </c>
      <c r="F205" s="95">
        <v>1000</v>
      </c>
      <c r="G205" s="53">
        <v>3000</v>
      </c>
      <c r="H205" s="53">
        <v>1030</v>
      </c>
      <c r="I205" s="53"/>
      <c r="J205" s="53">
        <v>1030</v>
      </c>
      <c r="K205" s="53">
        <v>3530</v>
      </c>
      <c r="L205" s="53">
        <v>3000</v>
      </c>
      <c r="M205" s="53">
        <v>1060</v>
      </c>
      <c r="N205" s="53">
        <v>1100</v>
      </c>
      <c r="O205" s="53"/>
      <c r="P205" s="53"/>
      <c r="Q205" s="39">
        <f t="shared" si="19"/>
        <v>1100</v>
      </c>
    </row>
    <row r="206" spans="1:17" ht="12.75">
      <c r="A206" s="40"/>
      <c r="B206" s="40"/>
      <c r="C206" s="41"/>
      <c r="D206" s="50" t="s">
        <v>121</v>
      </c>
      <c r="E206" s="49">
        <f>SUM(E207:E207)</f>
        <v>0</v>
      </c>
      <c r="F206" s="49">
        <f>SUM(F207:F207)</f>
        <v>156100</v>
      </c>
      <c r="G206" s="49">
        <f>SUM(G207:G207)</f>
        <v>163740</v>
      </c>
      <c r="H206" s="49">
        <f>SUM(H207:H207)</f>
        <v>163740</v>
      </c>
      <c r="I206" s="49"/>
      <c r="J206" s="49">
        <f>SUM(J207:J207)</f>
        <v>163740</v>
      </c>
      <c r="K206" s="49">
        <f>SUM(K207:K207)</f>
        <v>163740</v>
      </c>
      <c r="L206" s="49">
        <f>SUM(L207:L207)</f>
        <v>163740</v>
      </c>
      <c r="M206" s="49">
        <f>SUM(M207:M207)</f>
        <v>104432</v>
      </c>
      <c r="N206" s="49">
        <v>104552</v>
      </c>
      <c r="O206" s="49">
        <f>SUM(O207:O208)</f>
        <v>486</v>
      </c>
      <c r="P206" s="49">
        <f>SUM(P207:P208)</f>
        <v>19889</v>
      </c>
      <c r="Q206" s="39">
        <f t="shared" si="19"/>
        <v>85149</v>
      </c>
    </row>
    <row r="207" spans="1:17" ht="12.75">
      <c r="A207" s="31"/>
      <c r="B207" s="31"/>
      <c r="C207" s="32">
        <v>3110</v>
      </c>
      <c r="D207" s="33" t="s">
        <v>116</v>
      </c>
      <c r="E207" s="49"/>
      <c r="F207" s="49">
        <v>156100</v>
      </c>
      <c r="G207" s="49">
        <v>163740</v>
      </c>
      <c r="H207" s="49">
        <v>163740</v>
      </c>
      <c r="I207" s="49"/>
      <c r="J207" s="49">
        <v>163740</v>
      </c>
      <c r="K207" s="49">
        <v>163740</v>
      </c>
      <c r="L207" s="49">
        <v>163740</v>
      </c>
      <c r="M207" s="49">
        <v>104432</v>
      </c>
      <c r="N207" s="49">
        <v>104552</v>
      </c>
      <c r="O207" s="49"/>
      <c r="P207" s="49">
        <v>19889</v>
      </c>
      <c r="Q207" s="39">
        <f t="shared" si="19"/>
        <v>84663</v>
      </c>
    </row>
    <row r="208" spans="1:17" ht="25.5">
      <c r="A208" s="31"/>
      <c r="B208" s="31"/>
      <c r="C208" s="32">
        <v>4330</v>
      </c>
      <c r="D208" s="33" t="s">
        <v>218</v>
      </c>
      <c r="E208" s="93">
        <v>12000</v>
      </c>
      <c r="F208" s="49">
        <v>12000</v>
      </c>
      <c r="G208" s="53">
        <v>18000</v>
      </c>
      <c r="H208" s="53">
        <v>12300</v>
      </c>
      <c r="I208" s="53"/>
      <c r="J208" s="53">
        <v>12300</v>
      </c>
      <c r="K208" s="53">
        <v>16300</v>
      </c>
      <c r="L208" s="53">
        <v>16300</v>
      </c>
      <c r="M208" s="53">
        <v>16773</v>
      </c>
      <c r="N208" s="53"/>
      <c r="O208" s="53">
        <v>486</v>
      </c>
      <c r="P208" s="53"/>
      <c r="Q208" s="39">
        <f>N208+O208-P208</f>
        <v>486</v>
      </c>
    </row>
    <row r="209" spans="1:17" ht="12.75">
      <c r="A209" s="96"/>
      <c r="B209" s="96"/>
      <c r="C209" s="97"/>
      <c r="D209" s="42" t="s">
        <v>122</v>
      </c>
      <c r="E209" s="91">
        <f>E210</f>
        <v>259150</v>
      </c>
      <c r="F209" s="91">
        <f>F210</f>
        <v>248803</v>
      </c>
      <c r="G209" s="91">
        <f>G210</f>
        <v>176650</v>
      </c>
      <c r="H209" s="91">
        <f>H210</f>
        <v>176650</v>
      </c>
      <c r="I209" s="91"/>
      <c r="J209" s="91">
        <f aca="true" t="shared" si="21" ref="J209:P209">SUM(J210:J211)</f>
        <v>831650</v>
      </c>
      <c r="K209" s="91">
        <f t="shared" si="21"/>
        <v>775336</v>
      </c>
      <c r="L209" s="91">
        <f t="shared" si="21"/>
        <v>270336</v>
      </c>
      <c r="M209" s="91">
        <f t="shared" si="21"/>
        <v>317022</v>
      </c>
      <c r="N209" s="91">
        <v>986600</v>
      </c>
      <c r="O209" s="91">
        <f t="shared" si="21"/>
        <v>86576</v>
      </c>
      <c r="P209" s="91">
        <f t="shared" si="21"/>
        <v>50901</v>
      </c>
      <c r="Q209" s="39">
        <f t="shared" si="19"/>
        <v>1022275</v>
      </c>
    </row>
    <row r="210" spans="1:17" ht="76.5">
      <c r="A210" s="98"/>
      <c r="B210" s="98"/>
      <c r="C210" s="57">
        <v>2320</v>
      </c>
      <c r="D210" s="70" t="s">
        <v>115</v>
      </c>
      <c r="E210" s="59">
        <v>259150</v>
      </c>
      <c r="F210" s="59">
        <v>248803</v>
      </c>
      <c r="G210" s="71">
        <v>176650</v>
      </c>
      <c r="H210" s="71">
        <v>176650</v>
      </c>
      <c r="I210" s="71"/>
      <c r="J210" s="71">
        <v>176650</v>
      </c>
      <c r="K210" s="71">
        <v>270336</v>
      </c>
      <c r="L210" s="71">
        <v>270336</v>
      </c>
      <c r="M210" s="71">
        <v>317022</v>
      </c>
      <c r="N210" s="71">
        <v>318000</v>
      </c>
      <c r="O210" s="71"/>
      <c r="P210" s="71">
        <v>18509</v>
      </c>
      <c r="Q210" s="39">
        <f t="shared" si="19"/>
        <v>299491</v>
      </c>
    </row>
    <row r="211" spans="1:17" ht="25.5">
      <c r="A211" s="35"/>
      <c r="B211" s="35"/>
      <c r="C211" s="32">
        <v>6050</v>
      </c>
      <c r="D211" s="55" t="s">
        <v>119</v>
      </c>
      <c r="E211" s="63"/>
      <c r="F211" s="63">
        <v>17000</v>
      </c>
      <c r="G211" s="51"/>
      <c r="H211" s="51"/>
      <c r="I211" s="51"/>
      <c r="J211" s="51">
        <v>655000</v>
      </c>
      <c r="K211" s="51">
        <v>505000</v>
      </c>
      <c r="L211" s="51"/>
      <c r="M211" s="51"/>
      <c r="N211" s="51">
        <v>668600</v>
      </c>
      <c r="O211" s="51">
        <v>86576</v>
      </c>
      <c r="P211" s="51">
        <v>32392</v>
      </c>
      <c r="Q211" s="39">
        <f t="shared" si="19"/>
        <v>722784</v>
      </c>
    </row>
    <row r="212" spans="1:17" ht="12.75">
      <c r="A212" s="40"/>
      <c r="B212" s="40">
        <v>85202</v>
      </c>
      <c r="C212" s="41"/>
      <c r="D212" s="50" t="s">
        <v>123</v>
      </c>
      <c r="E212" s="43">
        <f>SUM(E213:E231)</f>
        <v>7972090</v>
      </c>
      <c r="F212" s="43">
        <f>SUM(F213:F231)</f>
        <v>8412253</v>
      </c>
      <c r="G212" s="43">
        <f>SUM(G213:G231)</f>
        <v>9266183</v>
      </c>
      <c r="H212" s="43">
        <f>SUM(H213:H231)</f>
        <v>8945632</v>
      </c>
      <c r="I212" s="43"/>
      <c r="J212" s="43">
        <f>SUM(J213:J231)</f>
        <v>8795830</v>
      </c>
      <c r="K212" s="43">
        <f>SUM(K213:K231)</f>
        <v>9325625</v>
      </c>
      <c r="L212" s="43">
        <f>SUM(L213:L231)</f>
        <v>9325035</v>
      </c>
      <c r="M212" s="43">
        <f>SUM(M213:M231)</f>
        <v>10536602</v>
      </c>
      <c r="N212" s="43">
        <v>10500298</v>
      </c>
      <c r="O212" s="43">
        <f>SUM(O213:O231)</f>
        <v>303252</v>
      </c>
      <c r="P212" s="43">
        <f>SUM(P213:P231)</f>
        <v>324145</v>
      </c>
      <c r="Q212" s="39">
        <f t="shared" si="19"/>
        <v>10479405</v>
      </c>
    </row>
    <row r="213" spans="1:17" ht="25.5">
      <c r="A213" s="31"/>
      <c r="B213" s="31"/>
      <c r="C213" s="32">
        <v>3020</v>
      </c>
      <c r="D213" s="33" t="s">
        <v>124</v>
      </c>
      <c r="E213" s="49">
        <f aca="true" t="shared" si="22" ref="E213:H214">E233+E260+E287+E313</f>
        <v>78600</v>
      </c>
      <c r="F213" s="49">
        <f t="shared" si="22"/>
        <v>34800</v>
      </c>
      <c r="G213" s="51">
        <f t="shared" si="22"/>
        <v>34090</v>
      </c>
      <c r="H213" s="51">
        <f t="shared" si="22"/>
        <v>24600</v>
      </c>
      <c r="I213" s="51"/>
      <c r="J213" s="51">
        <v>22600</v>
      </c>
      <c r="K213" s="51">
        <v>26858</v>
      </c>
      <c r="L213" s="51">
        <f>L233+L260+L287+L313</f>
        <v>28258</v>
      </c>
      <c r="M213" s="51">
        <f>M233+M260+M287+M313</f>
        <v>29400</v>
      </c>
      <c r="N213" s="51">
        <v>23682</v>
      </c>
      <c r="O213" s="51">
        <f>O233+O260+O287+O313</f>
        <v>0</v>
      </c>
      <c r="P213" s="51">
        <f>P233+P260+P287+P313</f>
        <v>4400</v>
      </c>
      <c r="Q213" s="39">
        <f t="shared" si="19"/>
        <v>19282</v>
      </c>
    </row>
    <row r="214" spans="1:17" ht="25.5">
      <c r="A214" s="31"/>
      <c r="B214" s="31"/>
      <c r="C214" s="32">
        <v>4010</v>
      </c>
      <c r="D214" s="33" t="s">
        <v>28</v>
      </c>
      <c r="E214" s="49">
        <f t="shared" si="22"/>
        <v>4248770</v>
      </c>
      <c r="F214" s="49">
        <f t="shared" si="22"/>
        <v>4510000</v>
      </c>
      <c r="G214" s="51">
        <f t="shared" si="22"/>
        <v>5062743</v>
      </c>
      <c r="H214" s="51">
        <f t="shared" si="22"/>
        <v>5022032</v>
      </c>
      <c r="I214" s="51">
        <v>4926200</v>
      </c>
      <c r="J214" s="51">
        <v>4714700</v>
      </c>
      <c r="K214" s="51">
        <v>4985336</v>
      </c>
      <c r="L214" s="51">
        <f>L234+L261+L288+L314</f>
        <v>4954086</v>
      </c>
      <c r="M214" s="51">
        <f>M234+M261+M288+M314</f>
        <v>5318955</v>
      </c>
      <c r="N214" s="51">
        <v>5147848</v>
      </c>
      <c r="O214" s="51">
        <f>O234+O261+O288+O314</f>
        <v>121309</v>
      </c>
      <c r="P214" s="51">
        <f>P234+P261+P288+P314</f>
        <v>136838</v>
      </c>
      <c r="Q214" s="39">
        <f t="shared" si="19"/>
        <v>5132319</v>
      </c>
    </row>
    <row r="215" spans="1:17" ht="25.5">
      <c r="A215" s="31"/>
      <c r="B215" s="31"/>
      <c r="C215" s="32">
        <v>4110</v>
      </c>
      <c r="D215" s="33" t="s">
        <v>30</v>
      </c>
      <c r="E215" s="49">
        <f>E236+E263+E290+E316</f>
        <v>771300</v>
      </c>
      <c r="F215" s="49">
        <f>F236+F263+F290+F316</f>
        <v>805230</v>
      </c>
      <c r="G215" s="51">
        <f>G236+G263+G290+G316</f>
        <v>831990</v>
      </c>
      <c r="H215" s="51">
        <f>H236+H263+H290+H316</f>
        <v>825450</v>
      </c>
      <c r="I215" s="51"/>
      <c r="J215" s="51">
        <v>788410</v>
      </c>
      <c r="K215" s="51">
        <v>826472</v>
      </c>
      <c r="L215" s="51">
        <f>L236+L263+L290+L316</f>
        <v>826472</v>
      </c>
      <c r="M215" s="51">
        <f>M236+M263+M290+M316</f>
        <v>861053</v>
      </c>
      <c r="N215" s="51">
        <v>815970</v>
      </c>
      <c r="O215" s="51">
        <f>O236+O263+O290+O316</f>
        <v>5000</v>
      </c>
      <c r="P215" s="51">
        <f>P236+P263+P290+P316</f>
        <v>0</v>
      </c>
      <c r="Q215" s="39">
        <f t="shared" si="19"/>
        <v>820970</v>
      </c>
    </row>
    <row r="216" spans="1:17" ht="12.75">
      <c r="A216" s="31"/>
      <c r="B216" s="31"/>
      <c r="C216" s="32">
        <v>4170</v>
      </c>
      <c r="D216" s="33" t="s">
        <v>102</v>
      </c>
      <c r="E216" s="49">
        <f aca="true" t="shared" si="23" ref="E216:H221">E238+E266+E292+E318</f>
        <v>17900</v>
      </c>
      <c r="F216" s="49">
        <f t="shared" si="23"/>
        <v>18020</v>
      </c>
      <c r="G216" s="51">
        <f t="shared" si="23"/>
        <v>111400</v>
      </c>
      <c r="H216" s="51">
        <f t="shared" si="23"/>
        <v>109900</v>
      </c>
      <c r="I216" s="51"/>
      <c r="J216" s="51">
        <v>109900</v>
      </c>
      <c r="K216" s="51">
        <f>K238+K266+K292+K318</f>
        <v>105700</v>
      </c>
      <c r="L216" s="51">
        <f>L238+L266+L292+L318</f>
        <v>107200</v>
      </c>
      <c r="M216" s="51">
        <f>M238+M266+M292+M318</f>
        <v>116150</v>
      </c>
      <c r="N216" s="51">
        <v>80957</v>
      </c>
      <c r="O216" s="51">
        <f aca="true" t="shared" si="24" ref="O216:P221">O238+O266+O292+O318</f>
        <v>0</v>
      </c>
      <c r="P216" s="51">
        <f t="shared" si="24"/>
        <v>3000</v>
      </c>
      <c r="Q216" s="39">
        <f t="shared" si="19"/>
        <v>77957</v>
      </c>
    </row>
    <row r="217" spans="1:17" ht="12.75">
      <c r="A217" s="31"/>
      <c r="B217" s="31"/>
      <c r="C217" s="32">
        <v>4210</v>
      </c>
      <c r="D217" s="33" t="s">
        <v>33</v>
      </c>
      <c r="E217" s="49">
        <f t="shared" si="23"/>
        <v>975900</v>
      </c>
      <c r="F217" s="49">
        <f t="shared" si="23"/>
        <v>987851</v>
      </c>
      <c r="G217" s="51">
        <f t="shared" si="23"/>
        <v>1235100</v>
      </c>
      <c r="H217" s="51">
        <f t="shared" si="23"/>
        <v>1010700</v>
      </c>
      <c r="I217" s="51"/>
      <c r="J217" s="51">
        <v>983700</v>
      </c>
      <c r="K217" s="51">
        <v>1066292</v>
      </c>
      <c r="L217" s="51">
        <f aca="true" t="shared" si="25" ref="L217:M221">L239+L267+L293+L319</f>
        <v>1113992</v>
      </c>
      <c r="M217" s="51">
        <f t="shared" si="25"/>
        <v>1573700</v>
      </c>
      <c r="N217" s="51">
        <v>1127900</v>
      </c>
      <c r="O217" s="51">
        <f t="shared" si="24"/>
        <v>99704</v>
      </c>
      <c r="P217" s="51">
        <f t="shared" si="24"/>
        <v>102942</v>
      </c>
      <c r="Q217" s="39">
        <f t="shared" si="19"/>
        <v>1124662</v>
      </c>
    </row>
    <row r="218" spans="1:17" ht="12.75">
      <c r="A218" s="31"/>
      <c r="B218" s="31"/>
      <c r="C218" s="32">
        <v>4220</v>
      </c>
      <c r="D218" s="33" t="s">
        <v>117</v>
      </c>
      <c r="E218" s="49">
        <f t="shared" si="23"/>
        <v>887400</v>
      </c>
      <c r="F218" s="49">
        <f t="shared" si="23"/>
        <v>887400</v>
      </c>
      <c r="G218" s="51">
        <f t="shared" si="23"/>
        <v>865160</v>
      </c>
      <c r="H218" s="51">
        <f t="shared" si="23"/>
        <v>882600</v>
      </c>
      <c r="I218" s="51"/>
      <c r="J218" s="51">
        <v>568500</v>
      </c>
      <c r="K218" s="51">
        <v>539346</v>
      </c>
      <c r="L218" s="51">
        <f t="shared" si="25"/>
        <v>543046</v>
      </c>
      <c r="M218" s="51">
        <f t="shared" si="25"/>
        <v>529300</v>
      </c>
      <c r="N218" s="51">
        <v>521350</v>
      </c>
      <c r="O218" s="51">
        <f t="shared" si="24"/>
        <v>6310</v>
      </c>
      <c r="P218" s="51">
        <f t="shared" si="24"/>
        <v>7000</v>
      </c>
      <c r="Q218" s="39">
        <f aca="true" t="shared" si="26" ref="Q218:Q275">N218+O218-P218</f>
        <v>520660</v>
      </c>
    </row>
    <row r="219" spans="1:17" ht="38.25">
      <c r="A219" s="31"/>
      <c r="B219" s="31"/>
      <c r="C219" s="32">
        <v>4230</v>
      </c>
      <c r="D219" s="33" t="s">
        <v>73</v>
      </c>
      <c r="E219" s="49">
        <f t="shared" si="23"/>
        <v>134720</v>
      </c>
      <c r="F219" s="49">
        <f t="shared" si="23"/>
        <v>142475</v>
      </c>
      <c r="G219" s="51">
        <f t="shared" si="23"/>
        <v>168100</v>
      </c>
      <c r="H219" s="51">
        <f t="shared" si="23"/>
        <v>158330</v>
      </c>
      <c r="I219" s="51"/>
      <c r="J219" s="51">
        <v>158330</v>
      </c>
      <c r="K219" s="51">
        <v>190330</v>
      </c>
      <c r="L219" s="51">
        <f t="shared" si="25"/>
        <v>190330</v>
      </c>
      <c r="M219" s="51">
        <f t="shared" si="25"/>
        <v>202960</v>
      </c>
      <c r="N219" s="51">
        <v>206380</v>
      </c>
      <c r="O219" s="51">
        <f t="shared" si="24"/>
        <v>3000</v>
      </c>
      <c r="P219" s="51">
        <f t="shared" si="24"/>
        <v>2000</v>
      </c>
      <c r="Q219" s="39">
        <f t="shared" si="26"/>
        <v>207380</v>
      </c>
    </row>
    <row r="220" spans="1:17" ht="12.75">
      <c r="A220" s="31"/>
      <c r="B220" s="31"/>
      <c r="C220" s="32">
        <v>4260</v>
      </c>
      <c r="D220" s="33" t="s">
        <v>34</v>
      </c>
      <c r="E220" s="49">
        <f t="shared" si="23"/>
        <v>225700</v>
      </c>
      <c r="F220" s="49">
        <f t="shared" si="23"/>
        <v>225700</v>
      </c>
      <c r="G220" s="51">
        <f t="shared" si="23"/>
        <v>243500</v>
      </c>
      <c r="H220" s="51">
        <f t="shared" si="23"/>
        <v>230900</v>
      </c>
      <c r="I220" s="51"/>
      <c r="J220" s="51">
        <v>225700</v>
      </c>
      <c r="K220" s="51">
        <v>250900</v>
      </c>
      <c r="L220" s="51">
        <f t="shared" si="25"/>
        <v>270000</v>
      </c>
      <c r="M220" s="51">
        <f t="shared" si="25"/>
        <v>289600</v>
      </c>
      <c r="N220" s="51">
        <v>279000</v>
      </c>
      <c r="O220" s="51">
        <f t="shared" si="24"/>
        <v>14000</v>
      </c>
      <c r="P220" s="51">
        <f t="shared" si="24"/>
        <v>0</v>
      </c>
      <c r="Q220" s="39">
        <f t="shared" si="26"/>
        <v>293000</v>
      </c>
    </row>
    <row r="221" spans="1:17" ht="12.75">
      <c r="A221" s="31"/>
      <c r="B221" s="31"/>
      <c r="C221" s="32">
        <v>4270</v>
      </c>
      <c r="D221" s="33" t="s">
        <v>35</v>
      </c>
      <c r="E221" s="49">
        <f t="shared" si="23"/>
        <v>88790</v>
      </c>
      <c r="F221" s="49">
        <f t="shared" si="23"/>
        <v>208540</v>
      </c>
      <c r="G221" s="51">
        <f t="shared" si="23"/>
        <v>98500</v>
      </c>
      <c r="H221" s="51">
        <f t="shared" si="23"/>
        <v>96200</v>
      </c>
      <c r="I221" s="51"/>
      <c r="J221" s="51">
        <v>151800</v>
      </c>
      <c r="K221" s="51">
        <v>218000</v>
      </c>
      <c r="L221" s="51">
        <f t="shared" si="25"/>
        <v>178000</v>
      </c>
      <c r="M221" s="51">
        <f t="shared" si="25"/>
        <v>93400</v>
      </c>
      <c r="N221" s="51">
        <v>147750</v>
      </c>
      <c r="O221" s="51">
        <f t="shared" si="24"/>
        <v>7000</v>
      </c>
      <c r="P221" s="51">
        <f t="shared" si="24"/>
        <v>10600</v>
      </c>
      <c r="Q221" s="39">
        <f t="shared" si="26"/>
        <v>144150</v>
      </c>
    </row>
    <row r="222" spans="1:17" ht="12.75">
      <c r="A222" s="31"/>
      <c r="B222" s="31"/>
      <c r="C222" s="32">
        <v>4300</v>
      </c>
      <c r="D222" s="33" t="s">
        <v>16</v>
      </c>
      <c r="E222" s="49">
        <f>E245+E273+E299+E325</f>
        <v>251650</v>
      </c>
      <c r="F222" s="49">
        <f>F245+F273+F299+F325</f>
        <v>246535</v>
      </c>
      <c r="G222" s="51">
        <f>G245+G273+G299+G325</f>
        <v>264850</v>
      </c>
      <c r="H222" s="51">
        <f>H245+H273+H299+H325</f>
        <v>250800</v>
      </c>
      <c r="I222" s="51"/>
      <c r="J222" s="51">
        <v>785000</v>
      </c>
      <c r="K222" s="51">
        <v>792900</v>
      </c>
      <c r="L222" s="51">
        <f>L245+L273+L299+L325</f>
        <v>792900</v>
      </c>
      <c r="M222" s="51">
        <f>M245+M273+M299+M325</f>
        <v>971210</v>
      </c>
      <c r="N222" s="51">
        <v>972020</v>
      </c>
      <c r="O222" s="51">
        <f>O245+O273+O299+O325</f>
        <v>1000</v>
      </c>
      <c r="P222" s="51">
        <f>P245+P273+P299+P325</f>
        <v>54600</v>
      </c>
      <c r="Q222" s="39">
        <f t="shared" si="26"/>
        <v>918420</v>
      </c>
    </row>
    <row r="223" spans="1:17" ht="38.25">
      <c r="A223" s="31"/>
      <c r="B223" s="31"/>
      <c r="C223" s="32">
        <v>4360</v>
      </c>
      <c r="D223" s="33" t="s">
        <v>99</v>
      </c>
      <c r="E223" s="49">
        <f aca="true" t="shared" si="27" ref="E223:H224">E247+E275+E301+E327</f>
        <v>16000</v>
      </c>
      <c r="F223" s="49">
        <f t="shared" si="27"/>
        <v>16000</v>
      </c>
      <c r="G223" s="51">
        <f t="shared" si="27"/>
        <v>15400</v>
      </c>
      <c r="H223" s="51">
        <f t="shared" si="27"/>
        <v>15250</v>
      </c>
      <c r="I223" s="51"/>
      <c r="J223" s="51">
        <v>14650</v>
      </c>
      <c r="K223" s="51">
        <f>K247+K275+K301+K327</f>
        <v>14750</v>
      </c>
      <c r="L223" s="51">
        <f>L247+L275+L301+L327</f>
        <v>14750</v>
      </c>
      <c r="M223" s="51">
        <f>M247+M275+M301+M327</f>
        <v>15340</v>
      </c>
      <c r="N223" s="51">
        <v>12710</v>
      </c>
      <c r="O223" s="51">
        <f>O247+O275+O301+O327</f>
        <v>0</v>
      </c>
      <c r="P223" s="51">
        <f>P247+P275+P301+P327</f>
        <v>700</v>
      </c>
      <c r="Q223" s="39">
        <f t="shared" si="26"/>
        <v>12010</v>
      </c>
    </row>
    <row r="224" spans="1:17" ht="38.25">
      <c r="A224" s="31"/>
      <c r="B224" s="31"/>
      <c r="C224" s="32">
        <v>4370</v>
      </c>
      <c r="D224" s="33" t="s">
        <v>101</v>
      </c>
      <c r="E224" s="49">
        <f t="shared" si="27"/>
        <v>45700</v>
      </c>
      <c r="F224" s="49">
        <f t="shared" si="27"/>
        <v>45700</v>
      </c>
      <c r="G224" s="51">
        <f t="shared" si="27"/>
        <v>40050</v>
      </c>
      <c r="H224" s="51">
        <f t="shared" si="27"/>
        <v>40050</v>
      </c>
      <c r="I224" s="51"/>
      <c r="J224" s="51">
        <v>37750</v>
      </c>
      <c r="K224" s="51">
        <v>34850</v>
      </c>
      <c r="L224" s="51">
        <f>L248+L276+L302+L328</f>
        <v>31750</v>
      </c>
      <c r="M224" s="51">
        <f>M248+M276+M302+M328</f>
        <v>30800</v>
      </c>
      <c r="N224" s="51">
        <v>22450</v>
      </c>
      <c r="O224" s="51">
        <f>O248+O276+O302+O328</f>
        <v>0</v>
      </c>
      <c r="P224" s="51">
        <f>P248+P276+P302+P328</f>
        <v>800</v>
      </c>
      <c r="Q224" s="39">
        <f t="shared" si="26"/>
        <v>21650</v>
      </c>
    </row>
    <row r="225" spans="1:17" ht="38.25">
      <c r="A225" s="31"/>
      <c r="B225" s="31"/>
      <c r="C225" s="32">
        <v>4390</v>
      </c>
      <c r="D225" s="33" t="s">
        <v>125</v>
      </c>
      <c r="E225" s="49">
        <f>E329</f>
        <v>0</v>
      </c>
      <c r="F225" s="49">
        <f>F329</f>
        <v>4026</v>
      </c>
      <c r="G225" s="49">
        <f>G329</f>
        <v>0</v>
      </c>
      <c r="H225" s="49">
        <f>H329</f>
        <v>0</v>
      </c>
      <c r="I225" s="49"/>
      <c r="J225" s="49">
        <f aca="true" t="shared" si="28" ref="J225:P225">J329</f>
        <v>0</v>
      </c>
      <c r="K225" s="49">
        <f t="shared" si="28"/>
        <v>0</v>
      </c>
      <c r="L225" s="51">
        <f t="shared" si="28"/>
        <v>0</v>
      </c>
      <c r="M225" s="51">
        <f t="shared" si="28"/>
        <v>0</v>
      </c>
      <c r="N225" s="51">
        <v>0</v>
      </c>
      <c r="O225" s="51">
        <f t="shared" si="28"/>
        <v>0</v>
      </c>
      <c r="P225" s="51">
        <f t="shared" si="28"/>
        <v>0</v>
      </c>
      <c r="Q225" s="39">
        <f t="shared" si="26"/>
        <v>0</v>
      </c>
    </row>
    <row r="226" spans="1:17" ht="12.75">
      <c r="A226" s="31"/>
      <c r="B226" s="31"/>
      <c r="C226" s="32">
        <v>4410</v>
      </c>
      <c r="D226" s="33" t="s">
        <v>41</v>
      </c>
      <c r="E226" s="49">
        <f>E249+E277+E303+E330</f>
        <v>10690</v>
      </c>
      <c r="F226" s="49">
        <f>F249+F277+F303+F330</f>
        <v>7990</v>
      </c>
      <c r="G226" s="51">
        <f>G249+G277+G303+G330</f>
        <v>9400</v>
      </c>
      <c r="H226" s="51">
        <f>H249+H277+H303+H330</f>
        <v>7130</v>
      </c>
      <c r="I226" s="51"/>
      <c r="J226" s="51">
        <v>6800</v>
      </c>
      <c r="K226" s="51">
        <v>9100</v>
      </c>
      <c r="L226" s="51">
        <f>L249+L277+L303+L330</f>
        <v>9100</v>
      </c>
      <c r="M226" s="51">
        <f>M249+M277+M303+M330</f>
        <v>10400</v>
      </c>
      <c r="N226" s="51">
        <v>11060</v>
      </c>
      <c r="O226" s="51">
        <f>O249+O277+O303+O330</f>
        <v>700</v>
      </c>
      <c r="P226" s="51">
        <f>P249+P277+P303+P330</f>
        <v>300</v>
      </c>
      <c r="Q226" s="39">
        <f t="shared" si="26"/>
        <v>11460</v>
      </c>
    </row>
    <row r="227" spans="1:17" ht="25.5">
      <c r="A227" s="31"/>
      <c r="B227" s="31"/>
      <c r="C227" s="32">
        <v>4440</v>
      </c>
      <c r="D227" s="33" t="s">
        <v>43</v>
      </c>
      <c r="E227" s="49">
        <f aca="true" t="shared" si="29" ref="E227:H228">E251+E279+E305+E332</f>
        <v>176900</v>
      </c>
      <c r="F227" s="49">
        <f t="shared" si="29"/>
        <v>184653</v>
      </c>
      <c r="G227" s="51">
        <f t="shared" si="29"/>
        <v>184300</v>
      </c>
      <c r="H227" s="51">
        <f t="shared" si="29"/>
        <v>185960</v>
      </c>
      <c r="I227" s="51"/>
      <c r="J227" s="51">
        <v>178260</v>
      </c>
      <c r="K227" s="51">
        <v>192356</v>
      </c>
      <c r="L227" s="51">
        <f>L251+L279+L305+L332</f>
        <v>191456</v>
      </c>
      <c r="M227" s="51">
        <f>M251+M279+M305+M332</f>
        <v>209344</v>
      </c>
      <c r="N227" s="51">
        <v>218050</v>
      </c>
      <c r="O227" s="51">
        <f>O251+O279+O305+O332</f>
        <v>30298</v>
      </c>
      <c r="P227" s="51">
        <f>P251+P279+P305+P332</f>
        <v>0</v>
      </c>
      <c r="Q227" s="39">
        <f t="shared" si="26"/>
        <v>248348</v>
      </c>
    </row>
    <row r="228" spans="1:17" ht="12.75">
      <c r="A228" s="31"/>
      <c r="B228" s="31"/>
      <c r="C228" s="32">
        <v>4480</v>
      </c>
      <c r="D228" s="33" t="s">
        <v>55</v>
      </c>
      <c r="E228" s="49">
        <f t="shared" si="29"/>
        <v>31470</v>
      </c>
      <c r="F228" s="49">
        <f t="shared" si="29"/>
        <v>30883</v>
      </c>
      <c r="G228" s="51">
        <f t="shared" si="29"/>
        <v>34100</v>
      </c>
      <c r="H228" s="51">
        <f t="shared" si="29"/>
        <v>31660</v>
      </c>
      <c r="I228" s="51"/>
      <c r="J228" s="51">
        <v>31660</v>
      </c>
      <c r="K228" s="51">
        <v>30060</v>
      </c>
      <c r="L228" s="51">
        <f>L252+L280+L306+L333</f>
        <v>30920</v>
      </c>
      <c r="M228" s="51">
        <f>M252+M280+M306+M333</f>
        <v>33990</v>
      </c>
      <c r="N228" s="51">
        <v>40877</v>
      </c>
      <c r="O228" s="51">
        <f>O252+O280+O306+O333</f>
        <v>4081</v>
      </c>
      <c r="P228" s="51">
        <f>P252+P280+P306+P333</f>
        <v>0</v>
      </c>
      <c r="Q228" s="39">
        <f t="shared" si="26"/>
        <v>44958</v>
      </c>
    </row>
    <row r="229" spans="1:17" ht="38.25">
      <c r="A229" s="31"/>
      <c r="B229" s="31"/>
      <c r="C229" s="32">
        <v>4700</v>
      </c>
      <c r="D229" s="33" t="s">
        <v>45</v>
      </c>
      <c r="E229" s="49">
        <f>E254+E281+E307+E334</f>
        <v>8000</v>
      </c>
      <c r="F229" s="49">
        <f>F254+F281+F307+F334</f>
        <v>13350</v>
      </c>
      <c r="G229" s="51">
        <f>G254+G281+G307+G334</f>
        <v>18400</v>
      </c>
      <c r="H229" s="51">
        <f>H254+H281+H307+H334</f>
        <v>14100</v>
      </c>
      <c r="I229" s="51"/>
      <c r="J229" s="51">
        <v>14100</v>
      </c>
      <c r="K229" s="51">
        <f>K254+K281+K307+K334</f>
        <v>14100</v>
      </c>
      <c r="L229" s="51">
        <f>L254+L281+L307+L334</f>
        <v>13500</v>
      </c>
      <c r="M229" s="51">
        <f>M254+M281+M307+M334</f>
        <v>18700</v>
      </c>
      <c r="N229" s="51">
        <v>13390</v>
      </c>
      <c r="O229" s="51">
        <f>O254+O281+O307+O334</f>
        <v>1000</v>
      </c>
      <c r="P229" s="51">
        <f>P254+P281+P307+P334</f>
        <v>965</v>
      </c>
      <c r="Q229" s="39">
        <f t="shared" si="26"/>
        <v>13425</v>
      </c>
    </row>
    <row r="230" spans="1:17" ht="38.25">
      <c r="A230" s="31"/>
      <c r="B230" s="31"/>
      <c r="C230" s="32">
        <v>4750</v>
      </c>
      <c r="D230" s="33" t="s">
        <v>92</v>
      </c>
      <c r="E230" s="49">
        <f>E256+E283+E309+E336</f>
        <v>2600</v>
      </c>
      <c r="F230" s="49">
        <f>F256+F283+F309+F336</f>
        <v>4600</v>
      </c>
      <c r="G230" s="51">
        <f>G256+G283+G309+G336</f>
        <v>14100</v>
      </c>
      <c r="H230" s="51">
        <f>H256+H283+H309+H336</f>
        <v>4970</v>
      </c>
      <c r="I230" s="51"/>
      <c r="J230" s="51">
        <v>3970</v>
      </c>
      <c r="K230" s="51">
        <v>11775</v>
      </c>
      <c r="L230" s="51">
        <f>L256+L283+L309+L336</f>
        <v>12775</v>
      </c>
      <c r="M230" s="51">
        <f>M256+M283+M309+M336</f>
        <v>13500</v>
      </c>
      <c r="N230" s="51">
        <v>10763</v>
      </c>
      <c r="O230" s="51">
        <f>O256+O283+O309+O336</f>
        <v>700</v>
      </c>
      <c r="P230" s="51">
        <f>P256+P283+P309+P336</f>
        <v>0</v>
      </c>
      <c r="Q230" s="39">
        <f t="shared" si="26"/>
        <v>11463</v>
      </c>
    </row>
    <row r="231" spans="1:17" ht="25.5">
      <c r="A231" s="35"/>
      <c r="B231" s="35"/>
      <c r="C231" s="32">
        <v>6060</v>
      </c>
      <c r="D231" s="55" t="s">
        <v>49</v>
      </c>
      <c r="E231" s="99">
        <f>E258+E285+E311</f>
        <v>0</v>
      </c>
      <c r="F231" s="99">
        <f>F258+F285+F311</f>
        <v>38500</v>
      </c>
      <c r="G231" s="99">
        <f>G258+G285+G311</f>
        <v>35000</v>
      </c>
      <c r="H231" s="99">
        <f>H258+H285+H311</f>
        <v>35000</v>
      </c>
      <c r="I231" s="99"/>
      <c r="J231" s="99"/>
      <c r="K231" s="99">
        <v>16500</v>
      </c>
      <c r="L231" s="51">
        <f>L258+L285+L311</f>
        <v>16500</v>
      </c>
      <c r="M231" s="51">
        <f>M258+M285+M311</f>
        <v>218800</v>
      </c>
      <c r="N231" s="51">
        <v>30000</v>
      </c>
      <c r="O231" s="51">
        <f>O258+O285+O311</f>
        <v>9150</v>
      </c>
      <c r="P231" s="51">
        <f>P258+P285+P311</f>
        <v>0</v>
      </c>
      <c r="Q231" s="39">
        <f t="shared" si="26"/>
        <v>39150</v>
      </c>
    </row>
    <row r="232" spans="1:17" ht="12.75">
      <c r="A232" s="31"/>
      <c r="B232" s="31"/>
      <c r="C232" s="32" t="s">
        <v>94</v>
      </c>
      <c r="D232" s="50" t="s">
        <v>126</v>
      </c>
      <c r="E232" s="49">
        <f>SUM(E233:E258)</f>
        <v>1518030</v>
      </c>
      <c r="F232" s="49">
        <f>SUM(F233:F258)</f>
        <v>1620627</v>
      </c>
      <c r="G232" s="49">
        <f>SUM(G233:G258)</f>
        <v>1882673</v>
      </c>
      <c r="H232" s="49">
        <f>SUM(H233:H258)</f>
        <v>1723028</v>
      </c>
      <c r="I232" s="49"/>
      <c r="J232" s="43">
        <f aca="true" t="shared" si="30" ref="J232:P232">SUM(J233:J258)</f>
        <v>1723040</v>
      </c>
      <c r="K232" s="43">
        <f t="shared" si="30"/>
        <v>1862078</v>
      </c>
      <c r="L232" s="43">
        <f t="shared" si="30"/>
        <v>1825538</v>
      </c>
      <c r="M232" s="43">
        <f t="shared" si="30"/>
        <v>2079723</v>
      </c>
      <c r="N232" s="43">
        <v>1963700</v>
      </c>
      <c r="O232" s="43">
        <f t="shared" si="30"/>
        <v>30546</v>
      </c>
      <c r="P232" s="43">
        <f t="shared" si="30"/>
        <v>25800</v>
      </c>
      <c r="Q232" s="39">
        <f t="shared" si="26"/>
        <v>1968446</v>
      </c>
    </row>
    <row r="233" spans="1:17" ht="25.5">
      <c r="A233" s="31"/>
      <c r="B233" s="31"/>
      <c r="C233" s="32">
        <v>3020</v>
      </c>
      <c r="D233" s="33" t="s">
        <v>124</v>
      </c>
      <c r="E233" s="93">
        <v>3800</v>
      </c>
      <c r="F233" s="49">
        <v>3800</v>
      </c>
      <c r="G233" s="53">
        <v>9490</v>
      </c>
      <c r="H233" s="100">
        <v>3900</v>
      </c>
      <c r="I233" s="100"/>
      <c r="J233" s="100">
        <v>3900</v>
      </c>
      <c r="K233" s="100">
        <v>3900</v>
      </c>
      <c r="L233" s="100">
        <v>3900</v>
      </c>
      <c r="M233" s="100">
        <v>9300</v>
      </c>
      <c r="N233" s="100">
        <v>4000</v>
      </c>
      <c r="O233" s="100"/>
      <c r="P233" s="100"/>
      <c r="Q233" s="39">
        <f t="shared" si="26"/>
        <v>4000</v>
      </c>
    </row>
    <row r="234" spans="1:17" ht="25.5">
      <c r="A234" s="31"/>
      <c r="B234" s="31"/>
      <c r="C234" s="32">
        <v>4010</v>
      </c>
      <c r="D234" s="33" t="s">
        <v>28</v>
      </c>
      <c r="E234" s="93">
        <v>792300</v>
      </c>
      <c r="F234" s="49">
        <v>834710</v>
      </c>
      <c r="G234" s="53">
        <f>1795*46*12+2262+5904+6400+10100</f>
        <v>1015506</v>
      </c>
      <c r="H234" s="100">
        <v>950888</v>
      </c>
      <c r="I234" s="100"/>
      <c r="J234" s="100">
        <v>950900</v>
      </c>
      <c r="K234" s="100">
        <v>995592</v>
      </c>
      <c r="L234" s="100">
        <v>995592</v>
      </c>
      <c r="M234" s="100">
        <v>1094335</v>
      </c>
      <c r="N234" s="100">
        <v>1063775</v>
      </c>
      <c r="O234" s="100">
        <v>1600</v>
      </c>
      <c r="P234" s="100"/>
      <c r="Q234" s="39">
        <f t="shared" si="26"/>
        <v>1065375</v>
      </c>
    </row>
    <row r="235" spans="1:17" ht="12.75">
      <c r="A235" s="31"/>
      <c r="B235" s="31"/>
      <c r="C235" s="32">
        <v>4040</v>
      </c>
      <c r="D235" s="33" t="s">
        <v>29</v>
      </c>
      <c r="E235" s="93">
        <v>64800</v>
      </c>
      <c r="F235" s="49">
        <v>64800</v>
      </c>
      <c r="G235" s="53">
        <v>72200</v>
      </c>
      <c r="H235" s="100">
        <v>72400</v>
      </c>
      <c r="I235" s="100"/>
      <c r="J235" s="100">
        <v>72400</v>
      </c>
      <c r="K235" s="100">
        <v>72400</v>
      </c>
      <c r="L235" s="100">
        <v>67300</v>
      </c>
      <c r="M235" s="100">
        <v>83160</v>
      </c>
      <c r="N235" s="100">
        <v>85200</v>
      </c>
      <c r="O235" s="100"/>
      <c r="P235" s="100"/>
      <c r="Q235" s="39">
        <f t="shared" si="26"/>
        <v>85200</v>
      </c>
    </row>
    <row r="236" spans="1:17" ht="25.5">
      <c r="A236" s="31"/>
      <c r="B236" s="31"/>
      <c r="C236" s="32">
        <v>4110</v>
      </c>
      <c r="D236" s="33" t="s">
        <v>30</v>
      </c>
      <c r="E236" s="93">
        <v>144300</v>
      </c>
      <c r="F236" s="49">
        <v>151320</v>
      </c>
      <c r="G236" s="53">
        <f>158530+362+945+11600</f>
        <v>171437</v>
      </c>
      <c r="H236" s="100">
        <v>161100</v>
      </c>
      <c r="I236" s="100"/>
      <c r="J236" s="100">
        <v>161100</v>
      </c>
      <c r="K236" s="100">
        <v>168251</v>
      </c>
      <c r="L236" s="100">
        <v>168251</v>
      </c>
      <c r="M236" s="100">
        <v>183438</v>
      </c>
      <c r="N236" s="100">
        <v>172470</v>
      </c>
      <c r="O236" s="100"/>
      <c r="P236" s="100"/>
      <c r="Q236" s="39">
        <f t="shared" si="26"/>
        <v>172470</v>
      </c>
    </row>
    <row r="237" spans="1:17" ht="12.75">
      <c r="A237" s="31"/>
      <c r="B237" s="31"/>
      <c r="C237" s="32">
        <v>4120</v>
      </c>
      <c r="D237" s="33" t="s">
        <v>31</v>
      </c>
      <c r="E237" s="93">
        <v>20800</v>
      </c>
      <c r="F237" s="49">
        <v>21770</v>
      </c>
      <c r="G237" s="53">
        <f>24280+55+145+1800</f>
        <v>26280</v>
      </c>
      <c r="H237" s="100">
        <v>24700</v>
      </c>
      <c r="I237" s="100"/>
      <c r="J237" s="100">
        <v>24700</v>
      </c>
      <c r="K237" s="100">
        <v>25795</v>
      </c>
      <c r="L237" s="100">
        <v>25795</v>
      </c>
      <c r="M237" s="100">
        <v>28090</v>
      </c>
      <c r="N237" s="100">
        <v>27468</v>
      </c>
      <c r="O237" s="100"/>
      <c r="P237" s="100"/>
      <c r="Q237" s="39">
        <f t="shared" si="26"/>
        <v>27468</v>
      </c>
    </row>
    <row r="238" spans="1:17" ht="12.75">
      <c r="A238" s="31"/>
      <c r="B238" s="31"/>
      <c r="C238" s="32">
        <v>4170</v>
      </c>
      <c r="D238" s="33" t="s">
        <v>32</v>
      </c>
      <c r="E238" s="93">
        <v>3000</v>
      </c>
      <c r="F238" s="49">
        <v>3000</v>
      </c>
      <c r="G238" s="53">
        <v>5000</v>
      </c>
      <c r="H238" s="101">
        <v>4000</v>
      </c>
      <c r="I238" s="101"/>
      <c r="J238" s="101">
        <v>4000</v>
      </c>
      <c r="K238" s="101">
        <v>4000</v>
      </c>
      <c r="L238" s="101">
        <v>5500</v>
      </c>
      <c r="M238" s="101">
        <v>6000</v>
      </c>
      <c r="N238" s="100">
        <v>15657</v>
      </c>
      <c r="O238" s="100"/>
      <c r="P238" s="100"/>
      <c r="Q238" s="39">
        <f t="shared" si="26"/>
        <v>15657</v>
      </c>
    </row>
    <row r="239" spans="1:17" ht="12.75">
      <c r="A239" s="31"/>
      <c r="B239" s="31"/>
      <c r="C239" s="32">
        <v>4210</v>
      </c>
      <c r="D239" s="33" t="s">
        <v>33</v>
      </c>
      <c r="E239" s="93">
        <v>140700</v>
      </c>
      <c r="F239" s="49">
        <v>140700</v>
      </c>
      <c r="G239" s="53">
        <v>214800</v>
      </c>
      <c r="H239" s="100">
        <v>144000</v>
      </c>
      <c r="I239" s="100"/>
      <c r="J239" s="100">
        <v>144000</v>
      </c>
      <c r="K239" s="100">
        <v>144000</v>
      </c>
      <c r="L239" s="100">
        <v>170000</v>
      </c>
      <c r="M239" s="100">
        <v>292000</v>
      </c>
      <c r="N239" s="100">
        <v>178400</v>
      </c>
      <c r="O239" s="100">
        <v>7800</v>
      </c>
      <c r="P239" s="100">
        <v>18000</v>
      </c>
      <c r="Q239" s="39">
        <f t="shared" si="26"/>
        <v>168200</v>
      </c>
    </row>
    <row r="240" spans="1:17" ht="12.75">
      <c r="A240" s="31"/>
      <c r="B240" s="31"/>
      <c r="C240" s="32">
        <v>4220</v>
      </c>
      <c r="D240" s="33" t="s">
        <v>117</v>
      </c>
      <c r="E240" s="93">
        <v>154600</v>
      </c>
      <c r="F240" s="49">
        <v>154600</v>
      </c>
      <c r="G240" s="53">
        <v>158160</v>
      </c>
      <c r="H240" s="100">
        <v>158200</v>
      </c>
      <c r="I240" s="100"/>
      <c r="J240" s="100">
        <v>158200</v>
      </c>
      <c r="K240" s="100">
        <v>158200</v>
      </c>
      <c r="L240" s="100">
        <v>158200</v>
      </c>
      <c r="M240" s="100">
        <v>162800</v>
      </c>
      <c r="N240" s="100">
        <v>162750</v>
      </c>
      <c r="O240" s="100"/>
      <c r="P240" s="100"/>
      <c r="Q240" s="39">
        <f t="shared" si="26"/>
        <v>162750</v>
      </c>
    </row>
    <row r="241" spans="1:17" ht="38.25">
      <c r="A241" s="31"/>
      <c r="B241" s="31"/>
      <c r="C241" s="32">
        <v>4230</v>
      </c>
      <c r="D241" s="33" t="s">
        <v>73</v>
      </c>
      <c r="E241" s="93">
        <v>24830</v>
      </c>
      <c r="F241" s="49">
        <f>21100+3730</f>
        <v>24830</v>
      </c>
      <c r="G241" s="53">
        <v>36000</v>
      </c>
      <c r="H241" s="100">
        <v>35600</v>
      </c>
      <c r="I241" s="100"/>
      <c r="J241" s="100">
        <v>35600</v>
      </c>
      <c r="K241" s="100">
        <v>39600</v>
      </c>
      <c r="L241" s="100">
        <v>39600</v>
      </c>
      <c r="M241" s="100">
        <v>40700</v>
      </c>
      <c r="N241" s="100">
        <v>38780</v>
      </c>
      <c r="O241" s="100"/>
      <c r="P241" s="100">
        <v>2000</v>
      </c>
      <c r="Q241" s="39">
        <f t="shared" si="26"/>
        <v>36780</v>
      </c>
    </row>
    <row r="242" spans="1:17" ht="12.75">
      <c r="A242" s="31"/>
      <c r="B242" s="31"/>
      <c r="C242" s="32">
        <v>4260</v>
      </c>
      <c r="D242" s="33" t="s">
        <v>34</v>
      </c>
      <c r="E242" s="93">
        <v>13100</v>
      </c>
      <c r="F242" s="49">
        <v>13100</v>
      </c>
      <c r="G242" s="53">
        <v>13400</v>
      </c>
      <c r="H242" s="100">
        <v>13400</v>
      </c>
      <c r="I242" s="100"/>
      <c r="J242" s="100">
        <v>13400</v>
      </c>
      <c r="K242" s="100">
        <v>13400</v>
      </c>
      <c r="L242" s="100">
        <v>17500</v>
      </c>
      <c r="M242" s="100">
        <v>18000</v>
      </c>
      <c r="N242" s="100">
        <v>21300</v>
      </c>
      <c r="O242" s="100"/>
      <c r="P242" s="100"/>
      <c r="Q242" s="39">
        <f t="shared" si="26"/>
        <v>21300</v>
      </c>
    </row>
    <row r="243" spans="1:17" ht="12.75">
      <c r="A243" s="31"/>
      <c r="B243" s="31"/>
      <c r="C243" s="32">
        <v>4270</v>
      </c>
      <c r="D243" s="33" t="s">
        <v>35</v>
      </c>
      <c r="E243" s="93">
        <v>28290</v>
      </c>
      <c r="F243" s="49">
        <f>16700+11590</f>
        <v>28290</v>
      </c>
      <c r="G243" s="53">
        <v>31100</v>
      </c>
      <c r="H243" s="100">
        <v>29000</v>
      </c>
      <c r="I243" s="100"/>
      <c r="J243" s="100">
        <v>29000</v>
      </c>
      <c r="K243" s="100">
        <v>37200</v>
      </c>
      <c r="L243" s="100">
        <v>37200</v>
      </c>
      <c r="M243" s="100">
        <v>17600</v>
      </c>
      <c r="N243" s="100">
        <v>37000</v>
      </c>
      <c r="O243" s="100"/>
      <c r="P243" s="100">
        <v>600</v>
      </c>
      <c r="Q243" s="39">
        <f t="shared" si="26"/>
        <v>36400</v>
      </c>
    </row>
    <row r="244" spans="1:17" ht="12.75">
      <c r="A244" s="31"/>
      <c r="B244" s="31"/>
      <c r="C244" s="32">
        <v>4280</v>
      </c>
      <c r="D244" s="33" t="s">
        <v>36</v>
      </c>
      <c r="E244" s="93">
        <v>3500</v>
      </c>
      <c r="F244" s="49">
        <v>3500</v>
      </c>
      <c r="G244" s="53">
        <v>3600</v>
      </c>
      <c r="H244" s="100">
        <v>3600</v>
      </c>
      <c r="I244" s="100"/>
      <c r="J244" s="100">
        <v>3600</v>
      </c>
      <c r="K244" s="100">
        <v>3600</v>
      </c>
      <c r="L244" s="100">
        <v>3600</v>
      </c>
      <c r="M244" s="100">
        <v>3700</v>
      </c>
      <c r="N244" s="100">
        <v>1700</v>
      </c>
      <c r="O244" s="100"/>
      <c r="P244" s="100"/>
      <c r="Q244" s="39">
        <f t="shared" si="26"/>
        <v>1700</v>
      </c>
    </row>
    <row r="245" spans="1:17" ht="12.75">
      <c r="A245" s="31"/>
      <c r="B245" s="31"/>
      <c r="C245" s="32">
        <v>4300</v>
      </c>
      <c r="D245" s="33" t="s">
        <v>16</v>
      </c>
      <c r="E245" s="93">
        <v>52600</v>
      </c>
      <c r="F245" s="49">
        <v>52600</v>
      </c>
      <c r="G245" s="53">
        <v>53800</v>
      </c>
      <c r="H245" s="100">
        <v>53800</v>
      </c>
      <c r="I245" s="100"/>
      <c r="J245" s="100">
        <v>53800</v>
      </c>
      <c r="K245" s="100">
        <v>53800</v>
      </c>
      <c r="L245" s="100">
        <v>53800</v>
      </c>
      <c r="M245" s="100">
        <v>55400</v>
      </c>
      <c r="N245" s="100">
        <v>55400</v>
      </c>
      <c r="O245" s="100"/>
      <c r="P245" s="100">
        <v>4600</v>
      </c>
      <c r="Q245" s="39">
        <f t="shared" si="26"/>
        <v>50800</v>
      </c>
    </row>
    <row r="246" spans="1:17" ht="25.5">
      <c r="A246" s="31"/>
      <c r="B246" s="31"/>
      <c r="C246" s="32">
        <v>4350</v>
      </c>
      <c r="D246" s="33" t="s">
        <v>37</v>
      </c>
      <c r="E246" s="93">
        <v>2030</v>
      </c>
      <c r="F246" s="49">
        <v>2030</v>
      </c>
      <c r="G246" s="53">
        <v>2100</v>
      </c>
      <c r="H246" s="100">
        <v>2100</v>
      </c>
      <c r="I246" s="100"/>
      <c r="J246" s="100">
        <v>2100</v>
      </c>
      <c r="K246" s="100">
        <v>2100</v>
      </c>
      <c r="L246" s="100">
        <v>2100</v>
      </c>
      <c r="M246" s="100">
        <v>2200</v>
      </c>
      <c r="N246" s="100">
        <v>1000</v>
      </c>
      <c r="O246" s="100"/>
      <c r="P246" s="100"/>
      <c r="Q246" s="39">
        <f t="shared" si="26"/>
        <v>1000</v>
      </c>
    </row>
    <row r="247" spans="1:17" ht="38.25">
      <c r="A247" s="31"/>
      <c r="B247" s="31"/>
      <c r="C247" s="32">
        <v>4360</v>
      </c>
      <c r="D247" s="33" t="s">
        <v>99</v>
      </c>
      <c r="E247" s="93">
        <v>2100</v>
      </c>
      <c r="F247" s="49">
        <v>2100</v>
      </c>
      <c r="G247" s="53">
        <v>2200</v>
      </c>
      <c r="H247" s="100">
        <v>2200</v>
      </c>
      <c r="I247" s="100"/>
      <c r="J247" s="100">
        <v>2200</v>
      </c>
      <c r="K247" s="100">
        <v>2200</v>
      </c>
      <c r="L247" s="100">
        <v>2200</v>
      </c>
      <c r="M247" s="100">
        <v>2300</v>
      </c>
      <c r="N247" s="100">
        <v>2800</v>
      </c>
      <c r="O247" s="100"/>
      <c r="P247" s="100"/>
      <c r="Q247" s="39">
        <f t="shared" si="26"/>
        <v>2800</v>
      </c>
    </row>
    <row r="248" spans="1:17" ht="38.25">
      <c r="A248" s="31"/>
      <c r="B248" s="31"/>
      <c r="C248" s="32">
        <v>4370</v>
      </c>
      <c r="D248" s="33" t="s">
        <v>101</v>
      </c>
      <c r="E248" s="93">
        <v>9100</v>
      </c>
      <c r="F248" s="49">
        <v>9100</v>
      </c>
      <c r="G248" s="53">
        <v>9300</v>
      </c>
      <c r="H248" s="100">
        <v>9300</v>
      </c>
      <c r="I248" s="100"/>
      <c r="J248" s="100">
        <v>9300</v>
      </c>
      <c r="K248" s="100">
        <v>9300</v>
      </c>
      <c r="L248" s="100">
        <v>9300</v>
      </c>
      <c r="M248" s="100">
        <v>9600</v>
      </c>
      <c r="N248" s="100">
        <v>3000</v>
      </c>
      <c r="O248" s="100"/>
      <c r="P248" s="100">
        <v>300</v>
      </c>
      <c r="Q248" s="39">
        <f t="shared" si="26"/>
        <v>2700</v>
      </c>
    </row>
    <row r="249" spans="1:17" ht="12.75">
      <c r="A249" s="31"/>
      <c r="B249" s="31"/>
      <c r="C249" s="32">
        <v>4410</v>
      </c>
      <c r="D249" s="33" t="s">
        <v>41</v>
      </c>
      <c r="E249" s="93">
        <v>2040</v>
      </c>
      <c r="F249" s="49">
        <v>2040</v>
      </c>
      <c r="G249" s="53">
        <v>2100</v>
      </c>
      <c r="H249" s="100">
        <v>2100</v>
      </c>
      <c r="I249" s="100"/>
      <c r="J249" s="100">
        <v>2100</v>
      </c>
      <c r="K249" s="100">
        <v>2100</v>
      </c>
      <c r="L249" s="100">
        <v>2100</v>
      </c>
      <c r="M249" s="100">
        <v>2200</v>
      </c>
      <c r="N249" s="100">
        <v>3500</v>
      </c>
      <c r="O249" s="100"/>
      <c r="P249" s="100">
        <v>300</v>
      </c>
      <c r="Q249" s="39">
        <f t="shared" si="26"/>
        <v>3200</v>
      </c>
    </row>
    <row r="250" spans="1:17" ht="12.75">
      <c r="A250" s="31"/>
      <c r="B250" s="31"/>
      <c r="C250" s="32">
        <v>4430</v>
      </c>
      <c r="D250" s="33" t="s">
        <v>42</v>
      </c>
      <c r="E250" s="93">
        <v>6500</v>
      </c>
      <c r="F250" s="49">
        <v>6500</v>
      </c>
      <c r="G250" s="53">
        <v>6600</v>
      </c>
      <c r="H250" s="100">
        <v>6600</v>
      </c>
      <c r="I250" s="100"/>
      <c r="J250" s="100">
        <v>6600</v>
      </c>
      <c r="K250" s="100">
        <v>6600</v>
      </c>
      <c r="L250" s="100">
        <v>6600</v>
      </c>
      <c r="M250" s="100">
        <v>6800</v>
      </c>
      <c r="N250" s="100">
        <v>3800</v>
      </c>
      <c r="O250" s="100"/>
      <c r="P250" s="100"/>
      <c r="Q250" s="39">
        <f t="shared" si="26"/>
        <v>3800</v>
      </c>
    </row>
    <row r="251" spans="1:17" ht="25.5">
      <c r="A251" s="31"/>
      <c r="B251" s="31"/>
      <c r="C251" s="32">
        <v>4440</v>
      </c>
      <c r="D251" s="33" t="s">
        <v>43</v>
      </c>
      <c r="E251" s="93">
        <v>33500</v>
      </c>
      <c r="F251" s="49">
        <v>34597</v>
      </c>
      <c r="G251" s="53">
        <v>34600</v>
      </c>
      <c r="H251" s="100">
        <v>35690</v>
      </c>
      <c r="I251" s="100"/>
      <c r="J251" s="100">
        <v>35690</v>
      </c>
      <c r="K251" s="100">
        <v>36590</v>
      </c>
      <c r="L251" s="100">
        <v>35690</v>
      </c>
      <c r="M251" s="100">
        <v>36700</v>
      </c>
      <c r="N251" s="100">
        <v>40400</v>
      </c>
      <c r="O251" s="100">
        <v>21146</v>
      </c>
      <c r="P251" s="100"/>
      <c r="Q251" s="39">
        <f t="shared" si="26"/>
        <v>61546</v>
      </c>
    </row>
    <row r="252" spans="1:17" ht="12.75">
      <c r="A252" s="31"/>
      <c r="B252" s="31"/>
      <c r="C252" s="32">
        <v>4480</v>
      </c>
      <c r="D252" s="33" t="s">
        <v>55</v>
      </c>
      <c r="E252" s="93">
        <v>1430</v>
      </c>
      <c r="F252" s="49">
        <v>1430</v>
      </c>
      <c r="G252" s="53">
        <v>1500</v>
      </c>
      <c r="H252" s="100">
        <v>1500</v>
      </c>
      <c r="I252" s="100"/>
      <c r="J252" s="100">
        <v>1500</v>
      </c>
      <c r="K252" s="100">
        <v>1500</v>
      </c>
      <c r="L252" s="100">
        <v>2360</v>
      </c>
      <c r="M252" s="100">
        <v>2400</v>
      </c>
      <c r="N252" s="100">
        <v>2400</v>
      </c>
      <c r="O252" s="100"/>
      <c r="P252" s="100"/>
      <c r="Q252" s="39">
        <f t="shared" si="26"/>
        <v>2400</v>
      </c>
    </row>
    <row r="253" spans="1:17" ht="25.5">
      <c r="A253" s="31"/>
      <c r="B253" s="31"/>
      <c r="C253" s="32">
        <v>4520</v>
      </c>
      <c r="D253" s="33" t="s">
        <v>127</v>
      </c>
      <c r="E253" s="93">
        <v>4600</v>
      </c>
      <c r="F253" s="49">
        <v>4600</v>
      </c>
      <c r="G253" s="53">
        <v>4600</v>
      </c>
      <c r="H253" s="100">
        <v>4600</v>
      </c>
      <c r="I253" s="100"/>
      <c r="J253" s="100">
        <v>4600</v>
      </c>
      <c r="K253" s="100">
        <v>4600</v>
      </c>
      <c r="L253" s="100">
        <v>4600</v>
      </c>
      <c r="M253" s="100">
        <v>4600</v>
      </c>
      <c r="N253" s="100">
        <v>4600</v>
      </c>
      <c r="O253" s="100"/>
      <c r="P253" s="100"/>
      <c r="Q253" s="39">
        <f t="shared" si="26"/>
        <v>4600</v>
      </c>
    </row>
    <row r="254" spans="1:17" ht="38.25">
      <c r="A254" s="31"/>
      <c r="B254" s="31"/>
      <c r="C254" s="32">
        <v>4700</v>
      </c>
      <c r="D254" s="33" t="s">
        <v>45</v>
      </c>
      <c r="E254" s="93">
        <v>1500</v>
      </c>
      <c r="F254" s="49">
        <v>1500</v>
      </c>
      <c r="G254" s="53">
        <v>3500</v>
      </c>
      <c r="H254" s="100">
        <v>2000</v>
      </c>
      <c r="I254" s="100"/>
      <c r="J254" s="100">
        <v>2000</v>
      </c>
      <c r="K254" s="100">
        <v>2000</v>
      </c>
      <c r="L254" s="100">
        <v>2000</v>
      </c>
      <c r="M254" s="100">
        <v>5000</v>
      </c>
      <c r="N254" s="100">
        <v>2400</v>
      </c>
      <c r="O254" s="100"/>
      <c r="P254" s="100"/>
      <c r="Q254" s="39">
        <f t="shared" si="26"/>
        <v>2400</v>
      </c>
    </row>
    <row r="255" spans="1:17" ht="38.25">
      <c r="A255" s="31"/>
      <c r="B255" s="31"/>
      <c r="C255" s="32">
        <v>4740</v>
      </c>
      <c r="D255" s="33" t="s">
        <v>63</v>
      </c>
      <c r="E255" s="93">
        <v>1300</v>
      </c>
      <c r="F255" s="49">
        <v>1300</v>
      </c>
      <c r="G255" s="53">
        <v>1400</v>
      </c>
      <c r="H255" s="100">
        <v>1350</v>
      </c>
      <c r="I255" s="100"/>
      <c r="J255" s="100">
        <v>1350</v>
      </c>
      <c r="K255" s="100">
        <v>1350</v>
      </c>
      <c r="L255" s="100">
        <v>1350</v>
      </c>
      <c r="M255" s="100">
        <v>1400</v>
      </c>
      <c r="N255" s="100">
        <v>1400</v>
      </c>
      <c r="O255" s="100"/>
      <c r="P255" s="100"/>
      <c r="Q255" s="39">
        <f t="shared" si="26"/>
        <v>1400</v>
      </c>
    </row>
    <row r="256" spans="1:17" ht="38.25">
      <c r="A256" s="31"/>
      <c r="B256" s="31"/>
      <c r="C256" s="32">
        <v>4750</v>
      </c>
      <c r="D256" s="33" t="s">
        <v>92</v>
      </c>
      <c r="E256" s="93">
        <v>700</v>
      </c>
      <c r="F256" s="49">
        <v>700</v>
      </c>
      <c r="G256" s="53">
        <v>4000</v>
      </c>
      <c r="H256" s="100">
        <v>1000</v>
      </c>
      <c r="I256" s="100"/>
      <c r="J256" s="100">
        <v>1000</v>
      </c>
      <c r="K256" s="100">
        <v>1000</v>
      </c>
      <c r="L256" s="100">
        <v>2000</v>
      </c>
      <c r="M256" s="100">
        <v>4000</v>
      </c>
      <c r="N256" s="100">
        <v>4500</v>
      </c>
      <c r="O256" s="100"/>
      <c r="P256" s="100"/>
      <c r="Q256" s="39">
        <f t="shared" si="26"/>
        <v>4500</v>
      </c>
    </row>
    <row r="257" spans="1:17" ht="12.75">
      <c r="A257" s="31"/>
      <c r="B257" s="31"/>
      <c r="C257" s="32">
        <v>6050</v>
      </c>
      <c r="D257" s="33" t="s">
        <v>128</v>
      </c>
      <c r="E257" s="93">
        <v>6610</v>
      </c>
      <c r="F257" s="49">
        <v>31210</v>
      </c>
      <c r="G257" s="51">
        <v>0</v>
      </c>
      <c r="H257" s="51">
        <v>0</v>
      </c>
      <c r="I257" s="51"/>
      <c r="J257" s="51">
        <v>0</v>
      </c>
      <c r="K257" s="51">
        <v>64000</v>
      </c>
      <c r="L257" s="51">
        <v>0</v>
      </c>
      <c r="M257" s="51">
        <v>0</v>
      </c>
      <c r="N257" s="51">
        <v>0</v>
      </c>
      <c r="O257" s="51">
        <v>0</v>
      </c>
      <c r="P257" s="51">
        <v>0</v>
      </c>
      <c r="Q257" s="39">
        <f t="shared" si="26"/>
        <v>0</v>
      </c>
    </row>
    <row r="258" spans="1:17" ht="25.5">
      <c r="A258" s="35"/>
      <c r="B258" s="35"/>
      <c r="C258" s="32">
        <v>6060</v>
      </c>
      <c r="D258" s="55" t="s">
        <v>49</v>
      </c>
      <c r="E258" s="63">
        <v>0</v>
      </c>
      <c r="F258" s="63">
        <v>26500</v>
      </c>
      <c r="G258" s="64">
        <v>0</v>
      </c>
      <c r="H258" s="64">
        <v>0</v>
      </c>
      <c r="I258" s="64"/>
      <c r="J258" s="64">
        <v>0</v>
      </c>
      <c r="K258" s="64">
        <v>9000</v>
      </c>
      <c r="L258" s="64">
        <v>9000</v>
      </c>
      <c r="M258" s="64">
        <v>8000</v>
      </c>
      <c r="N258" s="64">
        <v>30000</v>
      </c>
      <c r="O258" s="64"/>
      <c r="P258" s="64"/>
      <c r="Q258" s="39">
        <f t="shared" si="26"/>
        <v>30000</v>
      </c>
    </row>
    <row r="259" spans="1:17" ht="12.75">
      <c r="A259" s="40"/>
      <c r="B259" s="40"/>
      <c r="C259" s="41"/>
      <c r="D259" s="50" t="s">
        <v>129</v>
      </c>
      <c r="E259" s="51">
        <f>SUM(E260:E285)</f>
        <v>3985135</v>
      </c>
      <c r="F259" s="51">
        <f>SUM(F260:F285)</f>
        <v>4903503</v>
      </c>
      <c r="G259" s="51">
        <f>SUM(G260:G285)</f>
        <v>4408700</v>
      </c>
      <c r="H259" s="51">
        <f>SUM(H260:H285)</f>
        <v>4296988</v>
      </c>
      <c r="I259" s="51"/>
      <c r="J259" s="44">
        <f aca="true" t="shared" si="31" ref="J259:P259">SUM(J260:J285)</f>
        <v>4151750</v>
      </c>
      <c r="K259" s="44">
        <f t="shared" si="31"/>
        <v>4392991</v>
      </c>
      <c r="L259" s="44">
        <f t="shared" si="31"/>
        <v>4392991</v>
      </c>
      <c r="M259" s="44">
        <f t="shared" si="31"/>
        <v>6050010</v>
      </c>
      <c r="N259" s="44">
        <v>4378348</v>
      </c>
      <c r="O259" s="44">
        <f t="shared" si="31"/>
        <v>234799</v>
      </c>
      <c r="P259" s="44">
        <f t="shared" si="31"/>
        <v>256534</v>
      </c>
      <c r="Q259" s="39">
        <f t="shared" si="26"/>
        <v>4356613</v>
      </c>
    </row>
    <row r="260" spans="1:17" ht="25.5">
      <c r="A260" s="31"/>
      <c r="B260" s="31"/>
      <c r="C260" s="32">
        <v>3020</v>
      </c>
      <c r="D260" s="33" t="s">
        <v>124</v>
      </c>
      <c r="E260" s="93">
        <v>68800</v>
      </c>
      <c r="F260" s="93">
        <v>25000</v>
      </c>
      <c r="G260" s="53">
        <v>14500</v>
      </c>
      <c r="H260" s="53">
        <v>14500</v>
      </c>
      <c r="I260" s="53"/>
      <c r="J260" s="51">
        <v>14500</v>
      </c>
      <c r="K260" s="51">
        <v>16758</v>
      </c>
      <c r="L260" s="51">
        <v>16758</v>
      </c>
      <c r="M260" s="51">
        <v>11500</v>
      </c>
      <c r="N260" s="51">
        <v>11500</v>
      </c>
      <c r="O260" s="51"/>
      <c r="P260" s="51">
        <v>4400</v>
      </c>
      <c r="Q260" s="39">
        <f t="shared" si="26"/>
        <v>7100</v>
      </c>
    </row>
    <row r="261" spans="1:17" ht="25.5">
      <c r="A261" s="31"/>
      <c r="B261" s="31"/>
      <c r="C261" s="32">
        <v>4010</v>
      </c>
      <c r="D261" s="33" t="s">
        <v>28</v>
      </c>
      <c r="E261" s="93">
        <v>1904500</v>
      </c>
      <c r="F261" s="53">
        <v>2045720</v>
      </c>
      <c r="G261" s="53">
        <v>2187500</v>
      </c>
      <c r="H261" s="53">
        <v>2184838</v>
      </c>
      <c r="I261" s="53"/>
      <c r="J261" s="51">
        <v>2088900</v>
      </c>
      <c r="K261" s="51">
        <v>1983434</v>
      </c>
      <c r="L261" s="51">
        <v>1983434</v>
      </c>
      <c r="M261" s="51">
        <v>2098440</v>
      </c>
      <c r="N261" s="51">
        <v>1998593</v>
      </c>
      <c r="O261" s="51">
        <f>116199+3000</f>
        <v>119199</v>
      </c>
      <c r="P261" s="51">
        <f>116199+16735</f>
        <v>132934</v>
      </c>
      <c r="Q261" s="39">
        <f t="shared" si="26"/>
        <v>1984858</v>
      </c>
    </row>
    <row r="262" spans="1:17" ht="12.75">
      <c r="A262" s="31"/>
      <c r="B262" s="31"/>
      <c r="C262" s="32">
        <v>4040</v>
      </c>
      <c r="D262" s="33" t="s">
        <v>29</v>
      </c>
      <c r="E262" s="93">
        <v>161000</v>
      </c>
      <c r="F262" s="49">
        <v>154247</v>
      </c>
      <c r="G262" s="53">
        <v>168000</v>
      </c>
      <c r="H262" s="53">
        <v>176860</v>
      </c>
      <c r="I262" s="53"/>
      <c r="J262" s="51">
        <v>176860</v>
      </c>
      <c r="K262" s="51">
        <v>154472</v>
      </c>
      <c r="L262" s="51">
        <v>154472</v>
      </c>
      <c r="M262" s="51">
        <v>156450</v>
      </c>
      <c r="N262" s="51">
        <v>164570</v>
      </c>
      <c r="O262" s="51"/>
      <c r="P262" s="51"/>
      <c r="Q262" s="39">
        <f t="shared" si="26"/>
        <v>164570</v>
      </c>
    </row>
    <row r="263" spans="1:17" ht="25.5">
      <c r="A263" s="31"/>
      <c r="B263" s="31"/>
      <c r="C263" s="32">
        <v>4110</v>
      </c>
      <c r="D263" s="33" t="s">
        <v>30</v>
      </c>
      <c r="E263" s="93">
        <v>346500</v>
      </c>
      <c r="F263" s="49">
        <v>359650</v>
      </c>
      <c r="G263" s="53">
        <v>354400</v>
      </c>
      <c r="H263" s="53">
        <v>361700</v>
      </c>
      <c r="I263" s="53"/>
      <c r="J263" s="51">
        <v>360000</v>
      </c>
      <c r="K263" s="51">
        <v>341776</v>
      </c>
      <c r="L263" s="51">
        <v>341776</v>
      </c>
      <c r="M263" s="51">
        <v>345600</v>
      </c>
      <c r="N263" s="51">
        <v>312814</v>
      </c>
      <c r="O263" s="51">
        <v>5000</v>
      </c>
      <c r="P263" s="51"/>
      <c r="Q263" s="39">
        <f t="shared" si="26"/>
        <v>317814</v>
      </c>
    </row>
    <row r="264" spans="1:17" ht="12.75">
      <c r="A264" s="31"/>
      <c r="B264" s="31"/>
      <c r="C264" s="32">
        <v>4120</v>
      </c>
      <c r="D264" s="33" t="s">
        <v>31</v>
      </c>
      <c r="E264" s="93">
        <v>49900</v>
      </c>
      <c r="F264" s="49">
        <v>52290</v>
      </c>
      <c r="G264" s="53">
        <v>54700</v>
      </c>
      <c r="H264" s="53">
        <v>55800</v>
      </c>
      <c r="I264" s="53"/>
      <c r="J264" s="51">
        <v>55500</v>
      </c>
      <c r="K264" s="51">
        <v>52979</v>
      </c>
      <c r="L264" s="51">
        <v>52979</v>
      </c>
      <c r="M264" s="51">
        <v>55760</v>
      </c>
      <c r="N264" s="51">
        <v>49911</v>
      </c>
      <c r="O264" s="51"/>
      <c r="P264" s="51"/>
      <c r="Q264" s="39">
        <f t="shared" si="26"/>
        <v>49911</v>
      </c>
    </row>
    <row r="265" spans="1:17" ht="12.75">
      <c r="A265" s="31"/>
      <c r="B265" s="31"/>
      <c r="C265" s="32">
        <v>4140</v>
      </c>
      <c r="D265" s="33" t="s">
        <v>97</v>
      </c>
      <c r="E265" s="93"/>
      <c r="F265" s="49">
        <v>7000</v>
      </c>
      <c r="G265" s="53">
        <v>0</v>
      </c>
      <c r="H265" s="53">
        <v>0</v>
      </c>
      <c r="I265" s="53"/>
      <c r="J265" s="51">
        <v>0</v>
      </c>
      <c r="K265" s="51">
        <v>0</v>
      </c>
      <c r="L265" s="51">
        <v>0</v>
      </c>
      <c r="M265" s="51">
        <v>0</v>
      </c>
      <c r="N265" s="51">
        <v>0</v>
      </c>
      <c r="O265" s="51"/>
      <c r="P265" s="51"/>
      <c r="Q265" s="39">
        <f t="shared" si="26"/>
        <v>0</v>
      </c>
    </row>
    <row r="266" spans="1:17" ht="12.75">
      <c r="A266" s="31"/>
      <c r="B266" s="31"/>
      <c r="C266" s="32">
        <v>4170</v>
      </c>
      <c r="D266" s="33" t="s">
        <v>102</v>
      </c>
      <c r="E266" s="93">
        <v>5500</v>
      </c>
      <c r="F266" s="49">
        <v>5620</v>
      </c>
      <c r="G266" s="53">
        <v>96000</v>
      </c>
      <c r="H266" s="53">
        <v>96000</v>
      </c>
      <c r="I266" s="53"/>
      <c r="J266" s="51">
        <v>96000</v>
      </c>
      <c r="K266" s="51">
        <v>96000</v>
      </c>
      <c r="L266" s="51">
        <v>96000</v>
      </c>
      <c r="M266" s="51">
        <v>99750</v>
      </c>
      <c r="N266" s="51">
        <v>55000</v>
      </c>
      <c r="O266" s="51"/>
      <c r="P266" s="51">
        <v>3000</v>
      </c>
      <c r="Q266" s="39">
        <f t="shared" si="26"/>
        <v>52000</v>
      </c>
    </row>
    <row r="267" spans="1:17" ht="12.75">
      <c r="A267" s="31"/>
      <c r="B267" s="31"/>
      <c r="C267" s="32">
        <v>4210</v>
      </c>
      <c r="D267" s="33" t="s">
        <v>33</v>
      </c>
      <c r="E267" s="93">
        <v>472000</v>
      </c>
      <c r="F267" s="49">
        <v>472000</v>
      </c>
      <c r="G267" s="53">
        <v>616700</v>
      </c>
      <c r="H267" s="53">
        <v>482900</v>
      </c>
      <c r="I267" s="53"/>
      <c r="J267" s="51">
        <v>482900</v>
      </c>
      <c r="K267" s="51">
        <v>538492</v>
      </c>
      <c r="L267" s="51">
        <v>538492</v>
      </c>
      <c r="M267" s="51">
        <v>828200</v>
      </c>
      <c r="N267" s="51">
        <v>562500</v>
      </c>
      <c r="O267" s="51">
        <f>50000+33503</f>
        <v>83503</v>
      </c>
      <c r="P267" s="51">
        <v>55000</v>
      </c>
      <c r="Q267" s="39">
        <f t="shared" si="26"/>
        <v>591003</v>
      </c>
    </row>
    <row r="268" spans="1:17" ht="12.75">
      <c r="A268" s="31"/>
      <c r="B268" s="31"/>
      <c r="C268" s="32">
        <v>4220</v>
      </c>
      <c r="D268" s="33" t="s">
        <v>117</v>
      </c>
      <c r="E268" s="93">
        <v>392200</v>
      </c>
      <c r="F268" s="49">
        <v>392200</v>
      </c>
      <c r="G268" s="53">
        <v>358000</v>
      </c>
      <c r="H268" s="53">
        <v>375900</v>
      </c>
      <c r="I268" s="53"/>
      <c r="J268" s="51">
        <v>375900</v>
      </c>
      <c r="K268" s="51">
        <v>32646</v>
      </c>
      <c r="L268" s="51">
        <v>32646</v>
      </c>
      <c r="M268" s="51">
        <v>0</v>
      </c>
      <c r="N268" s="51">
        <v>0</v>
      </c>
      <c r="O268" s="51"/>
      <c r="P268" s="51"/>
      <c r="Q268" s="39">
        <f t="shared" si="26"/>
        <v>0</v>
      </c>
    </row>
    <row r="269" spans="1:17" ht="38.25">
      <c r="A269" s="31"/>
      <c r="B269" s="31"/>
      <c r="C269" s="32">
        <v>4230</v>
      </c>
      <c r="D269" s="33" t="s">
        <v>73</v>
      </c>
      <c r="E269" s="93">
        <v>62950</v>
      </c>
      <c r="F269" s="49">
        <v>70705</v>
      </c>
      <c r="G269" s="53">
        <v>70000</v>
      </c>
      <c r="H269" s="53">
        <v>74730</v>
      </c>
      <c r="I269" s="53"/>
      <c r="J269" s="51">
        <v>74730</v>
      </c>
      <c r="K269" s="51">
        <v>84730</v>
      </c>
      <c r="L269" s="51">
        <v>84730</v>
      </c>
      <c r="M269" s="51">
        <v>85060</v>
      </c>
      <c r="N269" s="51">
        <v>88000</v>
      </c>
      <c r="O269" s="51"/>
      <c r="P269" s="51"/>
      <c r="Q269" s="39">
        <f t="shared" si="26"/>
        <v>88000</v>
      </c>
    </row>
    <row r="270" spans="1:17" ht="12.75">
      <c r="A270" s="31"/>
      <c r="B270" s="31"/>
      <c r="C270" s="32">
        <v>4260</v>
      </c>
      <c r="D270" s="33" t="s">
        <v>34</v>
      </c>
      <c r="E270" s="93">
        <v>105800</v>
      </c>
      <c r="F270" s="49">
        <v>105800</v>
      </c>
      <c r="G270" s="53">
        <v>113000</v>
      </c>
      <c r="H270" s="53">
        <v>108200</v>
      </c>
      <c r="I270" s="53"/>
      <c r="J270" s="51">
        <v>108200</v>
      </c>
      <c r="K270" s="51">
        <v>118200</v>
      </c>
      <c r="L270" s="51">
        <v>118200</v>
      </c>
      <c r="M270" s="51">
        <v>130000</v>
      </c>
      <c r="N270" s="51">
        <v>121600</v>
      </c>
      <c r="O270" s="51">
        <v>10000</v>
      </c>
      <c r="P270" s="51"/>
      <c r="Q270" s="39">
        <f t="shared" si="26"/>
        <v>131600</v>
      </c>
    </row>
    <row r="271" spans="1:17" ht="12.75">
      <c r="A271" s="31"/>
      <c r="B271" s="31"/>
      <c r="C271" s="32">
        <v>4270</v>
      </c>
      <c r="D271" s="33" t="s">
        <v>35</v>
      </c>
      <c r="E271" s="93">
        <v>30000</v>
      </c>
      <c r="F271" s="49">
        <v>147150</v>
      </c>
      <c r="G271" s="53">
        <v>34100</v>
      </c>
      <c r="H271" s="53">
        <v>34100</v>
      </c>
      <c r="I271" s="53"/>
      <c r="J271" s="53">
        <v>34100</v>
      </c>
      <c r="K271" s="53">
        <v>107100</v>
      </c>
      <c r="L271" s="53">
        <v>107100</v>
      </c>
      <c r="M271" s="53">
        <v>39000</v>
      </c>
      <c r="N271" s="53">
        <v>44000</v>
      </c>
      <c r="O271" s="53"/>
      <c r="P271" s="53">
        <v>10000</v>
      </c>
      <c r="Q271" s="39">
        <f t="shared" si="26"/>
        <v>34000</v>
      </c>
    </row>
    <row r="272" spans="1:17" ht="12.75">
      <c r="A272" s="31"/>
      <c r="B272" s="31"/>
      <c r="C272" s="32">
        <v>4280</v>
      </c>
      <c r="D272" s="33" t="s">
        <v>36</v>
      </c>
      <c r="E272" s="93">
        <v>6500</v>
      </c>
      <c r="F272" s="49">
        <v>6500</v>
      </c>
      <c r="G272" s="53">
        <v>5450</v>
      </c>
      <c r="H272" s="53">
        <v>5450</v>
      </c>
      <c r="I272" s="53"/>
      <c r="J272" s="53">
        <v>5450</v>
      </c>
      <c r="K272" s="53">
        <v>4800</v>
      </c>
      <c r="L272" s="53">
        <v>4800</v>
      </c>
      <c r="M272" s="53">
        <v>7250</v>
      </c>
      <c r="N272" s="53">
        <v>4900</v>
      </c>
      <c r="O272" s="53"/>
      <c r="P272" s="53"/>
      <c r="Q272" s="39">
        <f t="shared" si="26"/>
        <v>4900</v>
      </c>
    </row>
    <row r="273" spans="1:17" ht="12.75">
      <c r="A273" s="31"/>
      <c r="B273" s="31"/>
      <c r="C273" s="32">
        <v>4300</v>
      </c>
      <c r="D273" s="33" t="s">
        <v>16</v>
      </c>
      <c r="E273" s="93">
        <v>131050</v>
      </c>
      <c r="F273" s="49">
        <v>125050</v>
      </c>
      <c r="G273" s="53">
        <v>126500</v>
      </c>
      <c r="H273" s="53">
        <v>126500</v>
      </c>
      <c r="I273" s="53"/>
      <c r="J273" s="53">
        <v>126500</v>
      </c>
      <c r="K273" s="53">
        <v>666700</v>
      </c>
      <c r="L273" s="53">
        <v>666700</v>
      </c>
      <c r="M273" s="53">
        <v>836810</v>
      </c>
      <c r="N273" s="53">
        <v>802000</v>
      </c>
      <c r="O273" s="53"/>
      <c r="P273" s="53">
        <v>50000</v>
      </c>
      <c r="Q273" s="39">
        <f t="shared" si="26"/>
        <v>752000</v>
      </c>
    </row>
    <row r="274" spans="1:17" ht="25.5">
      <c r="A274" s="31"/>
      <c r="B274" s="31"/>
      <c r="C274" s="32">
        <v>4350</v>
      </c>
      <c r="D274" s="33" t="s">
        <v>37</v>
      </c>
      <c r="E274" s="93">
        <v>4000</v>
      </c>
      <c r="F274" s="49">
        <v>2000</v>
      </c>
      <c r="G274" s="53">
        <v>2500</v>
      </c>
      <c r="H274" s="53">
        <v>2050</v>
      </c>
      <c r="I274" s="53"/>
      <c r="J274" s="51">
        <v>2050</v>
      </c>
      <c r="K274" s="51">
        <v>2050</v>
      </c>
      <c r="L274" s="51">
        <v>2050</v>
      </c>
      <c r="M274" s="51">
        <v>2100</v>
      </c>
      <c r="N274" s="51">
        <v>2100</v>
      </c>
      <c r="O274" s="51"/>
      <c r="P274" s="51"/>
      <c r="Q274" s="39">
        <f t="shared" si="26"/>
        <v>2100</v>
      </c>
    </row>
    <row r="275" spans="1:17" ht="38.25">
      <c r="A275" s="31"/>
      <c r="B275" s="31"/>
      <c r="C275" s="32">
        <v>4360</v>
      </c>
      <c r="D275" s="33" t="s">
        <v>99</v>
      </c>
      <c r="E275" s="93">
        <v>9000</v>
      </c>
      <c r="F275" s="49">
        <v>9000</v>
      </c>
      <c r="G275" s="53">
        <v>8000</v>
      </c>
      <c r="H275" s="53">
        <v>8000</v>
      </c>
      <c r="I275" s="53"/>
      <c r="J275" s="51">
        <v>8000</v>
      </c>
      <c r="K275" s="51">
        <v>7400</v>
      </c>
      <c r="L275" s="51">
        <v>7400</v>
      </c>
      <c r="M275" s="51">
        <v>6640</v>
      </c>
      <c r="N275" s="51">
        <v>4700</v>
      </c>
      <c r="O275" s="51"/>
      <c r="P275" s="51">
        <v>700</v>
      </c>
      <c r="Q275" s="39">
        <f t="shared" si="26"/>
        <v>4000</v>
      </c>
    </row>
    <row r="276" spans="1:17" ht="38.25">
      <c r="A276" s="31"/>
      <c r="B276" s="31"/>
      <c r="C276" s="32">
        <v>4370</v>
      </c>
      <c r="D276" s="33" t="s">
        <v>101</v>
      </c>
      <c r="E276" s="93">
        <v>19000</v>
      </c>
      <c r="F276" s="49">
        <v>19000</v>
      </c>
      <c r="G276" s="53">
        <v>12950</v>
      </c>
      <c r="H276" s="53">
        <v>12950</v>
      </c>
      <c r="I276" s="53"/>
      <c r="J276" s="51">
        <v>12950</v>
      </c>
      <c r="K276" s="51">
        <v>10650</v>
      </c>
      <c r="L276" s="51">
        <v>10650</v>
      </c>
      <c r="M276" s="51">
        <v>8700</v>
      </c>
      <c r="N276" s="51">
        <v>7500</v>
      </c>
      <c r="O276" s="51"/>
      <c r="P276" s="51">
        <v>500</v>
      </c>
      <c r="Q276" s="39">
        <f aca="true" t="shared" si="32" ref="Q276:Q339">N276+O276-P276</f>
        <v>7000</v>
      </c>
    </row>
    <row r="277" spans="1:17" ht="12.75">
      <c r="A277" s="31"/>
      <c r="B277" s="31"/>
      <c r="C277" s="32">
        <v>4410</v>
      </c>
      <c r="D277" s="33" t="s">
        <v>41</v>
      </c>
      <c r="E277" s="93">
        <v>4000</v>
      </c>
      <c r="F277" s="49">
        <v>1300</v>
      </c>
      <c r="G277" s="53">
        <v>3600</v>
      </c>
      <c r="H277" s="53">
        <v>1330</v>
      </c>
      <c r="I277" s="53"/>
      <c r="J277" s="51">
        <v>1330</v>
      </c>
      <c r="K277" s="51">
        <v>4200</v>
      </c>
      <c r="L277" s="51">
        <v>4200</v>
      </c>
      <c r="M277" s="51">
        <v>4200</v>
      </c>
      <c r="N277" s="51">
        <v>4300</v>
      </c>
      <c r="O277" s="51">
        <v>700</v>
      </c>
      <c r="P277" s="51"/>
      <c r="Q277" s="39">
        <f t="shared" si="32"/>
        <v>5000</v>
      </c>
    </row>
    <row r="278" spans="1:17" ht="12.75">
      <c r="A278" s="31"/>
      <c r="B278" s="31"/>
      <c r="C278" s="32">
        <v>4430</v>
      </c>
      <c r="D278" s="33" t="s">
        <v>42</v>
      </c>
      <c r="E278" s="93">
        <v>9200</v>
      </c>
      <c r="F278" s="49">
        <v>9200</v>
      </c>
      <c r="G278" s="53">
        <v>9000</v>
      </c>
      <c r="H278" s="53">
        <v>9000</v>
      </c>
      <c r="I278" s="53"/>
      <c r="J278" s="51">
        <v>9000</v>
      </c>
      <c r="K278" s="51">
        <v>9500</v>
      </c>
      <c r="L278" s="51">
        <v>9500</v>
      </c>
      <c r="M278" s="51">
        <v>13000</v>
      </c>
      <c r="N278" s="51">
        <v>9800</v>
      </c>
      <c r="O278" s="51"/>
      <c r="P278" s="51"/>
      <c r="Q278" s="39">
        <f t="shared" si="32"/>
        <v>9800</v>
      </c>
    </row>
    <row r="279" spans="1:17" ht="25.5">
      <c r="A279" s="31"/>
      <c r="B279" s="31"/>
      <c r="C279" s="32">
        <v>4440</v>
      </c>
      <c r="D279" s="33" t="s">
        <v>43</v>
      </c>
      <c r="E279" s="93">
        <v>80300</v>
      </c>
      <c r="F279" s="49">
        <v>82873</v>
      </c>
      <c r="G279" s="53">
        <v>81000</v>
      </c>
      <c r="H279" s="53">
        <v>80930</v>
      </c>
      <c r="I279" s="53"/>
      <c r="J279" s="51">
        <v>80930</v>
      </c>
      <c r="K279" s="51">
        <v>82749</v>
      </c>
      <c r="L279" s="51">
        <v>82749</v>
      </c>
      <c r="M279" s="51">
        <v>90200</v>
      </c>
      <c r="N279" s="51">
        <v>87160</v>
      </c>
      <c r="O279" s="51">
        <v>1520</v>
      </c>
      <c r="P279" s="51"/>
      <c r="Q279" s="39">
        <f t="shared" si="32"/>
        <v>88680</v>
      </c>
    </row>
    <row r="280" spans="1:17" ht="12.75">
      <c r="A280" s="31"/>
      <c r="B280" s="31"/>
      <c r="C280" s="32">
        <v>4480</v>
      </c>
      <c r="D280" s="33" t="s">
        <v>55</v>
      </c>
      <c r="E280" s="93">
        <v>24700</v>
      </c>
      <c r="F280" s="49">
        <v>25498</v>
      </c>
      <c r="G280" s="53">
        <v>28500</v>
      </c>
      <c r="H280" s="53">
        <v>26100</v>
      </c>
      <c r="I280" s="53"/>
      <c r="J280" s="51">
        <v>26100</v>
      </c>
      <c r="K280" s="51">
        <v>26100</v>
      </c>
      <c r="L280" s="51">
        <v>26100</v>
      </c>
      <c r="M280" s="51">
        <v>26850</v>
      </c>
      <c r="N280" s="51">
        <v>35807</v>
      </c>
      <c r="O280" s="51">
        <v>4027</v>
      </c>
      <c r="P280" s="51"/>
      <c r="Q280" s="39">
        <f t="shared" si="32"/>
        <v>39834</v>
      </c>
    </row>
    <row r="281" spans="1:17" ht="38.25">
      <c r="A281" s="31"/>
      <c r="B281" s="31"/>
      <c r="C281" s="32">
        <v>4700</v>
      </c>
      <c r="D281" s="33" t="s">
        <v>45</v>
      </c>
      <c r="E281" s="93">
        <v>3600</v>
      </c>
      <c r="F281" s="49">
        <v>5600</v>
      </c>
      <c r="G281" s="53">
        <v>6100</v>
      </c>
      <c r="H281" s="53">
        <v>5700</v>
      </c>
      <c r="I281" s="53"/>
      <c r="J281" s="51">
        <v>5700</v>
      </c>
      <c r="K281" s="51">
        <v>5700</v>
      </c>
      <c r="L281" s="51">
        <v>5700</v>
      </c>
      <c r="M281" s="51">
        <v>5700</v>
      </c>
      <c r="N281" s="51">
        <v>5900</v>
      </c>
      <c r="O281" s="51">
        <v>1000</v>
      </c>
      <c r="P281" s="51"/>
      <c r="Q281" s="39">
        <f t="shared" si="32"/>
        <v>6900</v>
      </c>
    </row>
    <row r="282" spans="1:17" ht="38.25">
      <c r="A282" s="31"/>
      <c r="B282" s="31"/>
      <c r="C282" s="32">
        <v>4740</v>
      </c>
      <c r="D282" s="33" t="s">
        <v>63</v>
      </c>
      <c r="E282" s="93">
        <v>1500</v>
      </c>
      <c r="F282" s="49">
        <v>3900</v>
      </c>
      <c r="G282" s="53">
        <v>3900</v>
      </c>
      <c r="H282" s="53">
        <v>3900</v>
      </c>
      <c r="I282" s="53"/>
      <c r="J282" s="51">
        <v>3900</v>
      </c>
      <c r="K282" s="51">
        <v>3000</v>
      </c>
      <c r="L282" s="51">
        <v>3000</v>
      </c>
      <c r="M282" s="51">
        <v>3000</v>
      </c>
      <c r="N282" s="51">
        <v>3100</v>
      </c>
      <c r="O282" s="51"/>
      <c r="P282" s="51"/>
      <c r="Q282" s="39">
        <f t="shared" si="32"/>
        <v>3100</v>
      </c>
    </row>
    <row r="283" spans="1:17" ht="38.25">
      <c r="A283" s="31"/>
      <c r="B283" s="31"/>
      <c r="C283" s="32">
        <v>4750</v>
      </c>
      <c r="D283" s="33" t="s">
        <v>92</v>
      </c>
      <c r="E283" s="93">
        <v>700</v>
      </c>
      <c r="F283" s="49">
        <v>2200</v>
      </c>
      <c r="G283" s="53">
        <v>7000</v>
      </c>
      <c r="H283" s="53">
        <v>2250</v>
      </c>
      <c r="I283" s="53"/>
      <c r="J283" s="51">
        <v>2250</v>
      </c>
      <c r="K283" s="51">
        <v>9055</v>
      </c>
      <c r="L283" s="51">
        <v>9055</v>
      </c>
      <c r="M283" s="51">
        <v>5000</v>
      </c>
      <c r="N283" s="51">
        <v>2593</v>
      </c>
      <c r="O283" s="51">
        <v>700</v>
      </c>
      <c r="P283" s="51"/>
      <c r="Q283" s="39">
        <f t="shared" si="32"/>
        <v>3293</v>
      </c>
    </row>
    <row r="284" spans="1:17" ht="25.5">
      <c r="A284" s="31"/>
      <c r="B284" s="31"/>
      <c r="C284" s="32">
        <v>6050</v>
      </c>
      <c r="D284" s="33" t="s">
        <v>130</v>
      </c>
      <c r="E284" s="93">
        <v>92435</v>
      </c>
      <c r="F284" s="95">
        <v>774000</v>
      </c>
      <c r="G284" s="53">
        <v>23300</v>
      </c>
      <c r="H284" s="53">
        <v>23300</v>
      </c>
      <c r="I284" s="53"/>
      <c r="J284" s="102">
        <v>0</v>
      </c>
      <c r="K284" s="102">
        <v>34500</v>
      </c>
      <c r="L284" s="102">
        <v>34500</v>
      </c>
      <c r="M284" s="102">
        <v>1000000</v>
      </c>
      <c r="N284" s="102">
        <v>0</v>
      </c>
      <c r="O284" s="102"/>
      <c r="P284" s="102"/>
      <c r="Q284" s="39">
        <f t="shared" si="32"/>
        <v>0</v>
      </c>
    </row>
    <row r="285" spans="1:17" ht="25.5">
      <c r="A285" s="31"/>
      <c r="B285" s="31"/>
      <c r="C285" s="32">
        <v>6060</v>
      </c>
      <c r="D285" s="33" t="s">
        <v>131</v>
      </c>
      <c r="E285" s="93">
        <v>0</v>
      </c>
      <c r="F285" s="95">
        <v>0</v>
      </c>
      <c r="G285" s="53">
        <v>24000</v>
      </c>
      <c r="H285" s="53">
        <v>24000</v>
      </c>
      <c r="I285" s="53"/>
      <c r="J285" s="102">
        <v>0</v>
      </c>
      <c r="K285" s="102">
        <v>0</v>
      </c>
      <c r="L285" s="102">
        <v>0</v>
      </c>
      <c r="M285" s="102">
        <v>190800</v>
      </c>
      <c r="N285" s="102">
        <v>0</v>
      </c>
      <c r="O285" s="102">
        <v>9150</v>
      </c>
      <c r="P285" s="102">
        <v>0</v>
      </c>
      <c r="Q285" s="39">
        <f t="shared" si="32"/>
        <v>9150</v>
      </c>
    </row>
    <row r="286" spans="1:17" ht="12.75">
      <c r="A286" s="31"/>
      <c r="B286" s="31"/>
      <c r="C286" s="41"/>
      <c r="D286" s="50" t="s">
        <v>132</v>
      </c>
      <c r="E286" s="43">
        <f>SUM(E287:E311)</f>
        <v>1767540</v>
      </c>
      <c r="F286" s="43">
        <f>SUM(F287:F311)</f>
        <v>1858900</v>
      </c>
      <c r="G286" s="43">
        <f>SUM(G287:G311)</f>
        <v>2059886</v>
      </c>
      <c r="H286" s="43">
        <f>SUM(H287:H311)</f>
        <v>2048894</v>
      </c>
      <c r="I286" s="43"/>
      <c r="J286" s="43">
        <f aca="true" t="shared" si="33" ref="J286:P286">SUM(J287:J311)</f>
        <v>2080710</v>
      </c>
      <c r="K286" s="43">
        <f t="shared" si="33"/>
        <v>2225379</v>
      </c>
      <c r="L286" s="43">
        <f t="shared" si="33"/>
        <v>2168121</v>
      </c>
      <c r="M286" s="43">
        <f t="shared" si="33"/>
        <v>2388878</v>
      </c>
      <c r="N286" s="43">
        <v>2291340</v>
      </c>
      <c r="O286" s="43">
        <f t="shared" si="33"/>
        <v>19965</v>
      </c>
      <c r="P286" s="43">
        <f t="shared" si="33"/>
        <v>19965</v>
      </c>
      <c r="Q286" s="39">
        <f t="shared" si="32"/>
        <v>2291340</v>
      </c>
    </row>
    <row r="287" spans="1:17" ht="25.5">
      <c r="A287" s="31"/>
      <c r="B287" s="31"/>
      <c r="C287" s="32">
        <v>3020</v>
      </c>
      <c r="D287" s="33" t="s">
        <v>124</v>
      </c>
      <c r="E287" s="103">
        <v>4000</v>
      </c>
      <c r="F287" s="49">
        <v>4000</v>
      </c>
      <c r="G287" s="104">
        <v>5600</v>
      </c>
      <c r="H287" s="100">
        <v>4100</v>
      </c>
      <c r="I287" s="100"/>
      <c r="J287" s="100">
        <v>4100</v>
      </c>
      <c r="K287" s="100">
        <v>4100</v>
      </c>
      <c r="L287" s="100">
        <v>5500</v>
      </c>
      <c r="M287" s="100">
        <v>7000</v>
      </c>
      <c r="N287" s="100">
        <v>6382</v>
      </c>
      <c r="O287" s="100"/>
      <c r="P287" s="100"/>
      <c r="Q287" s="39">
        <f t="shared" si="32"/>
        <v>6382</v>
      </c>
    </row>
    <row r="288" spans="1:17" ht="25.5">
      <c r="A288" s="31"/>
      <c r="B288" s="31"/>
      <c r="C288" s="32">
        <v>4010</v>
      </c>
      <c r="D288" s="33" t="s">
        <v>28</v>
      </c>
      <c r="E288" s="103">
        <v>900900</v>
      </c>
      <c r="F288" s="49">
        <v>945950</v>
      </c>
      <c r="G288" s="104">
        <v>1082917</v>
      </c>
      <c r="H288" s="100">
        <v>1106184</v>
      </c>
      <c r="I288" s="100"/>
      <c r="J288" s="100">
        <v>1106200</v>
      </c>
      <c r="K288" s="100">
        <v>1189441</v>
      </c>
      <c r="L288" s="100">
        <v>1158191</v>
      </c>
      <c r="M288" s="100">
        <v>1274000</v>
      </c>
      <c r="N288" s="100">
        <v>1203580</v>
      </c>
      <c r="O288" s="100">
        <v>510</v>
      </c>
      <c r="P288" s="100"/>
      <c r="Q288" s="39">
        <f t="shared" si="32"/>
        <v>1204090</v>
      </c>
    </row>
    <row r="289" spans="1:17" ht="12.75">
      <c r="A289" s="31"/>
      <c r="B289" s="31"/>
      <c r="C289" s="32">
        <v>4040</v>
      </c>
      <c r="D289" s="33" t="s">
        <v>29</v>
      </c>
      <c r="E289" s="103">
        <v>73200</v>
      </c>
      <c r="F289" s="49">
        <v>70399</v>
      </c>
      <c r="G289" s="104">
        <v>78000</v>
      </c>
      <c r="H289" s="100">
        <v>80700</v>
      </c>
      <c r="I289" s="100"/>
      <c r="J289" s="100">
        <v>80700</v>
      </c>
      <c r="K289" s="100">
        <v>80700</v>
      </c>
      <c r="L289" s="100">
        <v>77612</v>
      </c>
      <c r="M289" s="100">
        <v>90000</v>
      </c>
      <c r="N289" s="100">
        <v>95070</v>
      </c>
      <c r="O289" s="100"/>
      <c r="P289" s="100"/>
      <c r="Q289" s="39">
        <f t="shared" si="32"/>
        <v>95070</v>
      </c>
    </row>
    <row r="290" spans="1:17" ht="25.5">
      <c r="A290" s="31"/>
      <c r="B290" s="31"/>
      <c r="C290" s="32">
        <v>4110</v>
      </c>
      <c r="D290" s="33" t="s">
        <v>30</v>
      </c>
      <c r="E290" s="103">
        <v>161200</v>
      </c>
      <c r="F290" s="49">
        <v>169190</v>
      </c>
      <c r="G290" s="104">
        <v>176653</v>
      </c>
      <c r="H290" s="100">
        <v>172450</v>
      </c>
      <c r="I290" s="100"/>
      <c r="J290" s="100">
        <v>172450</v>
      </c>
      <c r="K290" s="100">
        <v>180477</v>
      </c>
      <c r="L290" s="100">
        <v>180477</v>
      </c>
      <c r="M290" s="100">
        <v>191765</v>
      </c>
      <c r="N290" s="100">
        <v>186500</v>
      </c>
      <c r="O290" s="100"/>
      <c r="P290" s="100"/>
      <c r="Q290" s="39">
        <f t="shared" si="32"/>
        <v>186500</v>
      </c>
    </row>
    <row r="291" spans="1:17" ht="12.75">
      <c r="A291" s="31"/>
      <c r="B291" s="31"/>
      <c r="C291" s="32">
        <v>4120</v>
      </c>
      <c r="D291" s="33" t="s">
        <v>31</v>
      </c>
      <c r="E291" s="103">
        <v>23200</v>
      </c>
      <c r="F291" s="49">
        <v>24300</v>
      </c>
      <c r="G291" s="104">
        <v>24816</v>
      </c>
      <c r="H291" s="100">
        <v>27400</v>
      </c>
      <c r="I291" s="100"/>
      <c r="J291" s="100">
        <v>27400</v>
      </c>
      <c r="K291" s="100">
        <v>28674</v>
      </c>
      <c r="L291" s="100">
        <v>28674</v>
      </c>
      <c r="M291" s="100">
        <v>30429</v>
      </c>
      <c r="N291" s="100">
        <v>30670</v>
      </c>
      <c r="O291" s="100"/>
      <c r="P291" s="100"/>
      <c r="Q291" s="39">
        <f t="shared" si="32"/>
        <v>30670</v>
      </c>
    </row>
    <row r="292" spans="1:17" ht="12.75">
      <c r="A292" s="31"/>
      <c r="B292" s="31"/>
      <c r="C292" s="32">
        <v>4170</v>
      </c>
      <c r="D292" s="33" t="s">
        <v>133</v>
      </c>
      <c r="E292" s="103">
        <v>1000</v>
      </c>
      <c r="F292" s="49">
        <v>1000</v>
      </c>
      <c r="G292" s="104">
        <v>2000</v>
      </c>
      <c r="H292" s="100">
        <v>1500</v>
      </c>
      <c r="I292" s="100"/>
      <c r="J292" s="100">
        <v>1500</v>
      </c>
      <c r="K292" s="100">
        <v>1500</v>
      </c>
      <c r="L292" s="100">
        <v>1500</v>
      </c>
      <c r="M292" s="100">
        <v>2000</v>
      </c>
      <c r="N292" s="100">
        <v>1600</v>
      </c>
      <c r="O292" s="100"/>
      <c r="P292" s="100"/>
      <c r="Q292" s="39">
        <f t="shared" si="32"/>
        <v>1600</v>
      </c>
    </row>
    <row r="293" spans="1:17" ht="12.75">
      <c r="A293" s="31"/>
      <c r="B293" s="31"/>
      <c r="C293" s="32">
        <v>4210</v>
      </c>
      <c r="D293" s="33" t="s">
        <v>33</v>
      </c>
      <c r="E293" s="103">
        <v>200000</v>
      </c>
      <c r="F293" s="49">
        <v>211451</v>
      </c>
      <c r="G293" s="104">
        <v>235300</v>
      </c>
      <c r="H293" s="100">
        <f>ROUND(F293+(F293*2.3%),-2)</f>
        <v>216300</v>
      </c>
      <c r="I293" s="100"/>
      <c r="J293" s="100">
        <v>216300</v>
      </c>
      <c r="K293" s="100">
        <v>216300</v>
      </c>
      <c r="L293" s="100">
        <v>238000</v>
      </c>
      <c r="M293" s="100">
        <v>280000</v>
      </c>
      <c r="N293" s="100">
        <v>239000</v>
      </c>
      <c r="O293" s="100">
        <f>2000+6401</f>
        <v>8401</v>
      </c>
      <c r="P293" s="100">
        <v>12000</v>
      </c>
      <c r="Q293" s="39">
        <f t="shared" si="32"/>
        <v>235401</v>
      </c>
    </row>
    <row r="294" spans="1:17" ht="12.75">
      <c r="A294" s="31"/>
      <c r="B294" s="31"/>
      <c r="C294" s="32">
        <v>4220</v>
      </c>
      <c r="D294" s="33" t="s">
        <v>117</v>
      </c>
      <c r="E294" s="103">
        <v>201700</v>
      </c>
      <c r="F294" s="49">
        <v>201700</v>
      </c>
      <c r="G294" s="104">
        <v>206400</v>
      </c>
      <c r="H294" s="100">
        <v>206300</v>
      </c>
      <c r="I294" s="100"/>
      <c r="J294" s="100">
        <v>206300</v>
      </c>
      <c r="K294" s="100">
        <v>206300</v>
      </c>
      <c r="L294" s="100">
        <v>210000</v>
      </c>
      <c r="M294" s="100">
        <v>220000</v>
      </c>
      <c r="N294" s="100">
        <v>212300</v>
      </c>
      <c r="O294" s="100"/>
      <c r="P294" s="100">
        <v>7000</v>
      </c>
      <c r="Q294" s="39">
        <f t="shared" si="32"/>
        <v>205300</v>
      </c>
    </row>
    <row r="295" spans="1:17" ht="38.25">
      <c r="A295" s="31"/>
      <c r="B295" s="31"/>
      <c r="C295" s="32">
        <v>4230</v>
      </c>
      <c r="D295" s="33" t="s">
        <v>73</v>
      </c>
      <c r="E295" s="103">
        <v>27770</v>
      </c>
      <c r="F295" s="49">
        <f>23600+4170</f>
        <v>27770</v>
      </c>
      <c r="G295" s="104">
        <v>34000</v>
      </c>
      <c r="H295" s="100">
        <v>28400</v>
      </c>
      <c r="I295" s="100"/>
      <c r="J295" s="100">
        <v>28400</v>
      </c>
      <c r="K295" s="100">
        <v>46400</v>
      </c>
      <c r="L295" s="100">
        <v>46400</v>
      </c>
      <c r="M295" s="100">
        <v>50000</v>
      </c>
      <c r="N295" s="100">
        <v>49500</v>
      </c>
      <c r="O295" s="100">
        <v>3000</v>
      </c>
      <c r="P295" s="100"/>
      <c r="Q295" s="39">
        <f t="shared" si="32"/>
        <v>52500</v>
      </c>
    </row>
    <row r="296" spans="1:17" ht="12.75">
      <c r="A296" s="31"/>
      <c r="B296" s="31"/>
      <c r="C296" s="32">
        <v>4260</v>
      </c>
      <c r="D296" s="33" t="s">
        <v>34</v>
      </c>
      <c r="E296" s="103">
        <v>64000</v>
      </c>
      <c r="F296" s="49">
        <v>64000</v>
      </c>
      <c r="G296" s="104">
        <v>73000</v>
      </c>
      <c r="H296" s="100">
        <f>ROUND(F296+(F296*2.3%),-2)</f>
        <v>65500</v>
      </c>
      <c r="I296" s="100"/>
      <c r="J296" s="100">
        <v>65300</v>
      </c>
      <c r="K296" s="100">
        <v>65300</v>
      </c>
      <c r="L296" s="100">
        <v>80300</v>
      </c>
      <c r="M296" s="100">
        <v>85000</v>
      </c>
      <c r="N296" s="100">
        <v>80000</v>
      </c>
      <c r="O296" s="100"/>
      <c r="P296" s="100"/>
      <c r="Q296" s="39">
        <f t="shared" si="32"/>
        <v>80000</v>
      </c>
    </row>
    <row r="297" spans="1:17" ht="12.75">
      <c r="A297" s="31"/>
      <c r="B297" s="31"/>
      <c r="C297" s="32">
        <v>4270</v>
      </c>
      <c r="D297" s="33" t="s">
        <v>35</v>
      </c>
      <c r="E297" s="105">
        <v>15000</v>
      </c>
      <c r="F297" s="49">
        <v>15000</v>
      </c>
      <c r="G297" s="104">
        <v>15500</v>
      </c>
      <c r="H297" s="100">
        <f>ROUND(F297+(F297*2.3%),-2)</f>
        <v>15300</v>
      </c>
      <c r="I297" s="100"/>
      <c r="J297" s="100">
        <v>15900</v>
      </c>
      <c r="K297" s="100">
        <v>55900</v>
      </c>
      <c r="L297" s="100">
        <v>15900</v>
      </c>
      <c r="M297" s="100">
        <v>18500</v>
      </c>
      <c r="N297" s="100">
        <v>19450</v>
      </c>
      <c r="O297" s="100">
        <f>2000+3500+1500</f>
        <v>7000</v>
      </c>
      <c r="P297" s="100"/>
      <c r="Q297" s="39">
        <f t="shared" si="32"/>
        <v>26450</v>
      </c>
    </row>
    <row r="298" spans="1:17" ht="12.75">
      <c r="A298" s="31"/>
      <c r="B298" s="31"/>
      <c r="C298" s="32">
        <v>4280</v>
      </c>
      <c r="D298" s="33" t="s">
        <v>36</v>
      </c>
      <c r="E298" s="103">
        <v>1630</v>
      </c>
      <c r="F298" s="49">
        <v>1630</v>
      </c>
      <c r="G298" s="104">
        <v>1700</v>
      </c>
      <c r="H298" s="100">
        <f>ROUND(F298+(F298*2.3%),-1)</f>
        <v>1670</v>
      </c>
      <c r="I298" s="100"/>
      <c r="J298" s="100">
        <v>1670</v>
      </c>
      <c r="K298" s="100">
        <v>1670</v>
      </c>
      <c r="L298" s="100">
        <v>1800</v>
      </c>
      <c r="M298" s="100">
        <v>2200</v>
      </c>
      <c r="N298" s="100">
        <v>2320</v>
      </c>
      <c r="O298" s="100"/>
      <c r="P298" s="100"/>
      <c r="Q298" s="39">
        <f t="shared" si="32"/>
        <v>2320</v>
      </c>
    </row>
    <row r="299" spans="1:17" ht="12.75">
      <c r="A299" s="31"/>
      <c r="B299" s="31"/>
      <c r="C299" s="32">
        <v>4300</v>
      </c>
      <c r="D299" s="33" t="s">
        <v>16</v>
      </c>
      <c r="E299" s="103">
        <v>29000</v>
      </c>
      <c r="F299" s="49">
        <v>31000</v>
      </c>
      <c r="G299" s="104">
        <v>32000</v>
      </c>
      <c r="H299" s="100">
        <v>31700</v>
      </c>
      <c r="I299" s="100"/>
      <c r="J299" s="100">
        <v>31700</v>
      </c>
      <c r="K299" s="100">
        <v>31700</v>
      </c>
      <c r="L299" s="100">
        <v>31700</v>
      </c>
      <c r="M299" s="100">
        <v>35000</v>
      </c>
      <c r="N299" s="100">
        <v>71220</v>
      </c>
      <c r="O299" s="100">
        <v>1000</v>
      </c>
      <c r="P299" s="100"/>
      <c r="Q299" s="39">
        <f t="shared" si="32"/>
        <v>72220</v>
      </c>
    </row>
    <row r="300" spans="1:17" ht="25.5">
      <c r="A300" s="31"/>
      <c r="B300" s="31"/>
      <c r="C300" s="32">
        <v>4350</v>
      </c>
      <c r="D300" s="33" t="s">
        <v>37</v>
      </c>
      <c r="E300" s="103">
        <v>1700</v>
      </c>
      <c r="F300" s="49">
        <v>1700</v>
      </c>
      <c r="G300" s="104">
        <v>1800</v>
      </c>
      <c r="H300" s="100">
        <f>ROUND(F300+(F300*2.3%),-1)+10</f>
        <v>1750</v>
      </c>
      <c r="I300" s="100"/>
      <c r="J300" s="100">
        <v>1750</v>
      </c>
      <c r="K300" s="100">
        <v>1750</v>
      </c>
      <c r="L300" s="100">
        <v>400</v>
      </c>
      <c r="M300" s="100">
        <v>2800</v>
      </c>
      <c r="N300" s="100">
        <v>700</v>
      </c>
      <c r="O300" s="100"/>
      <c r="P300" s="100"/>
      <c r="Q300" s="39">
        <f t="shared" si="32"/>
        <v>700</v>
      </c>
    </row>
    <row r="301" spans="1:17" ht="38.25">
      <c r="A301" s="31"/>
      <c r="B301" s="31"/>
      <c r="C301" s="32">
        <v>4360</v>
      </c>
      <c r="D301" s="33" t="s">
        <v>99</v>
      </c>
      <c r="E301" s="103">
        <v>3600</v>
      </c>
      <c r="F301" s="49">
        <v>3600</v>
      </c>
      <c r="G301" s="104">
        <v>3700</v>
      </c>
      <c r="H301" s="100">
        <v>3700</v>
      </c>
      <c r="I301" s="100"/>
      <c r="J301" s="100">
        <v>3700</v>
      </c>
      <c r="K301" s="100">
        <v>3700</v>
      </c>
      <c r="L301" s="100">
        <v>3700</v>
      </c>
      <c r="M301" s="100">
        <v>4500</v>
      </c>
      <c r="N301" s="100">
        <v>3810</v>
      </c>
      <c r="O301" s="100"/>
      <c r="P301" s="100"/>
      <c r="Q301" s="39">
        <f t="shared" si="32"/>
        <v>3810</v>
      </c>
    </row>
    <row r="302" spans="1:17" ht="38.25">
      <c r="A302" s="31"/>
      <c r="B302" s="31"/>
      <c r="C302" s="32">
        <v>4370</v>
      </c>
      <c r="D302" s="33" t="s">
        <v>101</v>
      </c>
      <c r="E302" s="103">
        <v>8400</v>
      </c>
      <c r="F302" s="49">
        <v>8400</v>
      </c>
      <c r="G302" s="104">
        <v>8600</v>
      </c>
      <c r="H302" s="100">
        <v>8600</v>
      </c>
      <c r="I302" s="100"/>
      <c r="J302" s="100">
        <v>8600</v>
      </c>
      <c r="K302" s="100">
        <v>8600</v>
      </c>
      <c r="L302" s="100">
        <v>5500</v>
      </c>
      <c r="M302" s="100">
        <v>6000</v>
      </c>
      <c r="N302" s="100">
        <v>4450</v>
      </c>
      <c r="O302" s="100"/>
      <c r="P302" s="100"/>
      <c r="Q302" s="39">
        <f t="shared" si="32"/>
        <v>4450</v>
      </c>
    </row>
    <row r="303" spans="1:17" ht="12.75">
      <c r="A303" s="31"/>
      <c r="B303" s="31"/>
      <c r="C303" s="32">
        <v>4410</v>
      </c>
      <c r="D303" s="33" t="s">
        <v>41</v>
      </c>
      <c r="E303" s="103">
        <v>2150</v>
      </c>
      <c r="F303" s="49">
        <v>2150</v>
      </c>
      <c r="G303" s="104">
        <v>2200</v>
      </c>
      <c r="H303" s="100">
        <v>2200</v>
      </c>
      <c r="I303" s="100"/>
      <c r="J303" s="100">
        <v>2200</v>
      </c>
      <c r="K303" s="100">
        <v>2200</v>
      </c>
      <c r="L303" s="100">
        <v>2200</v>
      </c>
      <c r="M303" s="100">
        <v>2500</v>
      </c>
      <c r="N303" s="100">
        <v>2260</v>
      </c>
      <c r="O303" s="100"/>
      <c r="P303" s="100"/>
      <c r="Q303" s="39">
        <f t="shared" si="32"/>
        <v>2260</v>
      </c>
    </row>
    <row r="304" spans="1:17" ht="12.75">
      <c r="A304" s="31"/>
      <c r="B304" s="31"/>
      <c r="C304" s="32">
        <v>4430</v>
      </c>
      <c r="D304" s="33" t="s">
        <v>42</v>
      </c>
      <c r="E304" s="105">
        <v>5450</v>
      </c>
      <c r="F304" s="49">
        <f>5000+450</f>
        <v>5450</v>
      </c>
      <c r="G304" s="104">
        <v>5600</v>
      </c>
      <c r="H304" s="100">
        <v>5570</v>
      </c>
      <c r="I304" s="100"/>
      <c r="J304" s="100">
        <v>5570</v>
      </c>
      <c r="K304" s="100">
        <v>5570</v>
      </c>
      <c r="L304" s="100">
        <v>6580</v>
      </c>
      <c r="M304" s="100">
        <v>7500</v>
      </c>
      <c r="N304" s="100">
        <v>5948</v>
      </c>
      <c r="O304" s="100"/>
      <c r="P304" s="100"/>
      <c r="Q304" s="39">
        <f t="shared" si="32"/>
        <v>5948</v>
      </c>
    </row>
    <row r="305" spans="1:17" ht="25.5">
      <c r="A305" s="31"/>
      <c r="B305" s="31"/>
      <c r="C305" s="32">
        <v>4440</v>
      </c>
      <c r="D305" s="33" t="s">
        <v>43</v>
      </c>
      <c r="E305" s="103">
        <v>37400</v>
      </c>
      <c r="F305" s="49">
        <v>38620</v>
      </c>
      <c r="G305" s="104">
        <v>39500</v>
      </c>
      <c r="H305" s="100">
        <v>39840</v>
      </c>
      <c r="I305" s="100"/>
      <c r="J305" s="100">
        <v>39840</v>
      </c>
      <c r="K305" s="100">
        <v>43517</v>
      </c>
      <c r="L305" s="100">
        <v>43517</v>
      </c>
      <c r="M305" s="100">
        <v>49444</v>
      </c>
      <c r="N305" s="100">
        <v>57120</v>
      </c>
      <c r="O305" s="100"/>
      <c r="P305" s="100"/>
      <c r="Q305" s="39">
        <f t="shared" si="32"/>
        <v>57120</v>
      </c>
    </row>
    <row r="306" spans="1:17" ht="12.75">
      <c r="A306" s="31"/>
      <c r="B306" s="31"/>
      <c r="C306" s="32">
        <v>4480</v>
      </c>
      <c r="D306" s="33" t="s">
        <v>55</v>
      </c>
      <c r="E306" s="103">
        <v>2240</v>
      </c>
      <c r="F306" s="49">
        <v>2240</v>
      </c>
      <c r="G306" s="104">
        <v>2300</v>
      </c>
      <c r="H306" s="100">
        <v>2300</v>
      </c>
      <c r="I306" s="100"/>
      <c r="J306" s="100">
        <v>2300</v>
      </c>
      <c r="K306" s="100">
        <v>2300</v>
      </c>
      <c r="L306" s="100">
        <v>2300</v>
      </c>
      <c r="M306" s="100">
        <v>2940</v>
      </c>
      <c r="N306" s="100">
        <v>2370</v>
      </c>
      <c r="O306" s="100">
        <v>54</v>
      </c>
      <c r="P306" s="100"/>
      <c r="Q306" s="39">
        <f t="shared" si="32"/>
        <v>2424</v>
      </c>
    </row>
    <row r="307" spans="1:17" ht="38.25">
      <c r="A307" s="31"/>
      <c r="B307" s="31"/>
      <c r="C307" s="32">
        <v>4700</v>
      </c>
      <c r="D307" s="33" t="s">
        <v>45</v>
      </c>
      <c r="E307" s="103">
        <v>1700</v>
      </c>
      <c r="F307" s="49">
        <v>3050</v>
      </c>
      <c r="G307" s="104">
        <v>3800</v>
      </c>
      <c r="H307" s="100">
        <v>3100</v>
      </c>
      <c r="I307" s="100"/>
      <c r="J307" s="100">
        <v>3100</v>
      </c>
      <c r="K307" s="100">
        <v>3100</v>
      </c>
      <c r="L307" s="100">
        <v>2500</v>
      </c>
      <c r="M307" s="100">
        <v>3000</v>
      </c>
      <c r="N307" s="100">
        <v>1690</v>
      </c>
      <c r="O307" s="100"/>
      <c r="P307" s="100">
        <v>965</v>
      </c>
      <c r="Q307" s="39">
        <f t="shared" si="32"/>
        <v>725</v>
      </c>
    </row>
    <row r="308" spans="1:17" ht="38.25">
      <c r="A308" s="31"/>
      <c r="B308" s="31"/>
      <c r="C308" s="32">
        <v>4740</v>
      </c>
      <c r="D308" s="33" t="s">
        <v>63</v>
      </c>
      <c r="E308" s="103">
        <v>1300</v>
      </c>
      <c r="F308" s="49">
        <v>1300</v>
      </c>
      <c r="G308" s="104">
        <v>1400</v>
      </c>
      <c r="H308" s="100">
        <f>ROUND(F308+(F308*2.3%),-1)</f>
        <v>1330</v>
      </c>
      <c r="I308" s="100"/>
      <c r="J308" s="100">
        <v>1330</v>
      </c>
      <c r="K308" s="100">
        <v>1330</v>
      </c>
      <c r="L308" s="100">
        <v>1330</v>
      </c>
      <c r="M308" s="100">
        <v>1800</v>
      </c>
      <c r="N308" s="100">
        <v>1370</v>
      </c>
      <c r="O308" s="100"/>
      <c r="P308" s="100"/>
      <c r="Q308" s="39">
        <f t="shared" si="32"/>
        <v>1370</v>
      </c>
    </row>
    <row r="309" spans="1:17" ht="38.25">
      <c r="A309" s="31"/>
      <c r="B309" s="31"/>
      <c r="C309" s="32">
        <v>4750</v>
      </c>
      <c r="D309" s="33" t="s">
        <v>92</v>
      </c>
      <c r="E309" s="106">
        <v>1000</v>
      </c>
      <c r="F309" s="49">
        <v>1000</v>
      </c>
      <c r="G309" s="104">
        <v>1100</v>
      </c>
      <c r="H309" s="100">
        <v>1000</v>
      </c>
      <c r="I309" s="100"/>
      <c r="J309" s="100">
        <v>1000</v>
      </c>
      <c r="K309" s="100">
        <v>1000</v>
      </c>
      <c r="L309" s="100">
        <v>1000</v>
      </c>
      <c r="M309" s="100">
        <v>2500</v>
      </c>
      <c r="N309" s="100">
        <v>2030</v>
      </c>
      <c r="O309" s="100"/>
      <c r="P309" s="100"/>
      <c r="Q309" s="39">
        <f t="shared" si="32"/>
        <v>2030</v>
      </c>
    </row>
    <row r="310" spans="1:17" ht="25.5">
      <c r="A310" s="35"/>
      <c r="B310" s="35"/>
      <c r="C310" s="32">
        <v>6050</v>
      </c>
      <c r="D310" s="55" t="s">
        <v>130</v>
      </c>
      <c r="E310" s="63">
        <v>0</v>
      </c>
      <c r="F310" s="63">
        <v>12000</v>
      </c>
      <c r="G310" s="104">
        <v>11000</v>
      </c>
      <c r="H310" s="100">
        <v>11000</v>
      </c>
      <c r="I310" s="100"/>
      <c r="J310" s="100">
        <v>53400</v>
      </c>
      <c r="K310" s="100">
        <v>36350</v>
      </c>
      <c r="L310" s="100">
        <v>15540</v>
      </c>
      <c r="M310" s="100">
        <v>0</v>
      </c>
      <c r="N310" s="100">
        <v>12000</v>
      </c>
      <c r="O310" s="100"/>
      <c r="P310" s="100">
        <v>0</v>
      </c>
      <c r="Q310" s="39">
        <f t="shared" si="32"/>
        <v>12000</v>
      </c>
    </row>
    <row r="311" spans="1:17" ht="25.5">
      <c r="A311" s="35"/>
      <c r="B311" s="35"/>
      <c r="C311" s="32">
        <v>6060</v>
      </c>
      <c r="D311" s="55" t="s">
        <v>49</v>
      </c>
      <c r="E311" s="63">
        <v>0</v>
      </c>
      <c r="F311" s="63">
        <v>12000</v>
      </c>
      <c r="G311" s="104">
        <v>11000</v>
      </c>
      <c r="H311" s="100">
        <v>11000</v>
      </c>
      <c r="I311" s="100"/>
      <c r="J311" s="100">
        <v>0</v>
      </c>
      <c r="K311" s="100">
        <v>7500</v>
      </c>
      <c r="L311" s="100">
        <v>7500</v>
      </c>
      <c r="M311" s="100">
        <v>20000</v>
      </c>
      <c r="N311" s="100">
        <v>0</v>
      </c>
      <c r="O311" s="100"/>
      <c r="P311" s="100"/>
      <c r="Q311" s="39">
        <f t="shared" si="32"/>
        <v>0</v>
      </c>
    </row>
    <row r="312" spans="1:17" ht="12.75">
      <c r="A312" s="40"/>
      <c r="B312" s="40"/>
      <c r="C312" s="41"/>
      <c r="D312" s="50" t="s">
        <v>134</v>
      </c>
      <c r="E312" s="43">
        <f>SUM(E313:E336)</f>
        <v>1326960</v>
      </c>
      <c r="F312" s="43">
        <f>SUM(F313:F336)</f>
        <v>1376069</v>
      </c>
      <c r="G312" s="44">
        <f>SUM(G313:G336)</f>
        <v>1517380</v>
      </c>
      <c r="H312" s="44">
        <f>SUM(H313:H336)</f>
        <v>1493382</v>
      </c>
      <c r="I312" s="44"/>
      <c r="J312" s="44">
        <f aca="true" t="shared" si="34" ref="J312:P312">SUM(J313:J336)</f>
        <v>1493460</v>
      </c>
      <c r="K312" s="44">
        <f t="shared" si="34"/>
        <v>1536795</v>
      </c>
      <c r="L312" s="44">
        <f t="shared" si="34"/>
        <v>1536795</v>
      </c>
      <c r="M312" s="44">
        <f t="shared" si="34"/>
        <v>1625130</v>
      </c>
      <c r="N312" s="44">
        <v>1658910</v>
      </c>
      <c r="O312" s="44">
        <f t="shared" si="34"/>
        <v>17942</v>
      </c>
      <c r="P312" s="44">
        <f t="shared" si="34"/>
        <v>21846</v>
      </c>
      <c r="Q312" s="39">
        <f t="shared" si="32"/>
        <v>1655006</v>
      </c>
    </row>
    <row r="313" spans="1:17" ht="25.5">
      <c r="A313" s="31"/>
      <c r="B313" s="31"/>
      <c r="C313" s="32">
        <v>3020</v>
      </c>
      <c r="D313" s="33" t="s">
        <v>124</v>
      </c>
      <c r="E313" s="93">
        <v>2000</v>
      </c>
      <c r="F313" s="49">
        <v>2000</v>
      </c>
      <c r="G313" s="53">
        <v>4500</v>
      </c>
      <c r="H313" s="100">
        <f>ROUND(F313+(F313*2.3%),-2)+100</f>
        <v>2100</v>
      </c>
      <c r="I313" s="100"/>
      <c r="J313" s="100">
        <v>2100</v>
      </c>
      <c r="K313" s="100">
        <v>2100</v>
      </c>
      <c r="L313" s="64">
        <v>2100</v>
      </c>
      <c r="M313" s="100">
        <v>1600</v>
      </c>
      <c r="N313" s="100">
        <v>1800</v>
      </c>
      <c r="O313" s="100"/>
      <c r="P313" s="100"/>
      <c r="Q313" s="39">
        <f t="shared" si="32"/>
        <v>1800</v>
      </c>
    </row>
    <row r="314" spans="1:17" ht="25.5">
      <c r="A314" s="31"/>
      <c r="B314" s="31"/>
      <c r="C314" s="32">
        <v>4010</v>
      </c>
      <c r="D314" s="33" t="s">
        <v>28</v>
      </c>
      <c r="E314" s="93">
        <v>651070</v>
      </c>
      <c r="F314" s="49">
        <v>683620</v>
      </c>
      <c r="G314" s="53">
        <v>776820</v>
      </c>
      <c r="H314" s="100">
        <v>780122</v>
      </c>
      <c r="I314" s="100"/>
      <c r="J314" s="100">
        <v>780200</v>
      </c>
      <c r="K314" s="100">
        <v>816869</v>
      </c>
      <c r="L314" s="64">
        <v>816869</v>
      </c>
      <c r="M314" s="100">
        <v>852180</v>
      </c>
      <c r="N314" s="100">
        <v>881900</v>
      </c>
      <c r="O314" s="100"/>
      <c r="P314" s="100">
        <v>3904</v>
      </c>
      <c r="Q314" s="39">
        <f t="shared" si="32"/>
        <v>877996</v>
      </c>
    </row>
    <row r="315" spans="1:17" ht="12.75">
      <c r="A315" s="31"/>
      <c r="B315" s="31"/>
      <c r="C315" s="32">
        <v>4040</v>
      </c>
      <c r="D315" s="33" t="s">
        <v>29</v>
      </c>
      <c r="E315" s="93">
        <v>52000</v>
      </c>
      <c r="F315" s="49">
        <v>52000</v>
      </c>
      <c r="G315" s="53">
        <v>58000</v>
      </c>
      <c r="H315" s="100">
        <v>59700</v>
      </c>
      <c r="I315" s="100"/>
      <c r="J315" s="100">
        <v>59700</v>
      </c>
      <c r="K315" s="100">
        <v>59700</v>
      </c>
      <c r="L315" s="64">
        <v>59700</v>
      </c>
      <c r="M315" s="100">
        <v>68500</v>
      </c>
      <c r="N315" s="100">
        <v>66748</v>
      </c>
      <c r="O315" s="100"/>
      <c r="P315" s="100"/>
      <c r="Q315" s="39">
        <f t="shared" si="32"/>
        <v>66748</v>
      </c>
    </row>
    <row r="316" spans="1:17" ht="25.5">
      <c r="A316" s="31"/>
      <c r="B316" s="31"/>
      <c r="C316" s="32">
        <v>4110</v>
      </c>
      <c r="D316" s="33" t="s">
        <v>30</v>
      </c>
      <c r="E316" s="93">
        <v>119300</v>
      </c>
      <c r="F316" s="49">
        <v>125070</v>
      </c>
      <c r="G316" s="53">
        <v>129500</v>
      </c>
      <c r="H316" s="100">
        <v>130200</v>
      </c>
      <c r="I316" s="100"/>
      <c r="J316" s="100">
        <v>130200</v>
      </c>
      <c r="K316" s="100">
        <v>135968</v>
      </c>
      <c r="L316" s="64">
        <v>135968</v>
      </c>
      <c r="M316" s="100">
        <v>140250</v>
      </c>
      <c r="N316" s="100">
        <v>144186</v>
      </c>
      <c r="O316" s="100"/>
      <c r="P316" s="100"/>
      <c r="Q316" s="39">
        <f t="shared" si="32"/>
        <v>144186</v>
      </c>
    </row>
    <row r="317" spans="1:17" ht="12.75">
      <c r="A317" s="31"/>
      <c r="B317" s="31"/>
      <c r="C317" s="32">
        <v>4120</v>
      </c>
      <c r="D317" s="33" t="s">
        <v>31</v>
      </c>
      <c r="E317" s="93">
        <v>17120</v>
      </c>
      <c r="F317" s="49">
        <v>17920</v>
      </c>
      <c r="G317" s="53">
        <v>20160</v>
      </c>
      <c r="H317" s="100">
        <v>20300</v>
      </c>
      <c r="I317" s="100"/>
      <c r="J317" s="100">
        <v>20300</v>
      </c>
      <c r="K317" s="100">
        <v>21198</v>
      </c>
      <c r="L317" s="64">
        <v>21198</v>
      </c>
      <c r="M317" s="100">
        <v>22100</v>
      </c>
      <c r="N317" s="100">
        <v>22716</v>
      </c>
      <c r="O317" s="100"/>
      <c r="P317" s="100"/>
      <c r="Q317" s="39">
        <f t="shared" si="32"/>
        <v>22716</v>
      </c>
    </row>
    <row r="318" spans="1:17" ht="12.75">
      <c r="A318" s="31"/>
      <c r="B318" s="31"/>
      <c r="C318" s="32">
        <v>4170</v>
      </c>
      <c r="D318" s="33" t="s">
        <v>32</v>
      </c>
      <c r="E318" s="93">
        <v>8400</v>
      </c>
      <c r="F318" s="49">
        <v>8400</v>
      </c>
      <c r="G318" s="53">
        <v>8400</v>
      </c>
      <c r="H318" s="100">
        <v>8400</v>
      </c>
      <c r="I318" s="100"/>
      <c r="J318" s="100">
        <v>8400</v>
      </c>
      <c r="K318" s="100">
        <v>4200</v>
      </c>
      <c r="L318" s="64">
        <v>4200</v>
      </c>
      <c r="M318" s="100">
        <v>8400</v>
      </c>
      <c r="N318" s="100">
        <v>8700</v>
      </c>
      <c r="O318" s="100"/>
      <c r="P318" s="100"/>
      <c r="Q318" s="39">
        <f t="shared" si="32"/>
        <v>8700</v>
      </c>
    </row>
    <row r="319" spans="1:17" ht="12.75">
      <c r="A319" s="31"/>
      <c r="B319" s="31"/>
      <c r="C319" s="32">
        <v>4210</v>
      </c>
      <c r="D319" s="33" t="s">
        <v>33</v>
      </c>
      <c r="E319" s="93">
        <v>163200</v>
      </c>
      <c r="F319" s="49">
        <v>163700</v>
      </c>
      <c r="G319" s="53">
        <v>168300</v>
      </c>
      <c r="H319" s="100">
        <v>167500</v>
      </c>
      <c r="I319" s="100"/>
      <c r="J319" s="100">
        <v>167500</v>
      </c>
      <c r="K319" s="100">
        <v>167500</v>
      </c>
      <c r="L319" s="64">
        <v>167500</v>
      </c>
      <c r="M319" s="100">
        <v>173500</v>
      </c>
      <c r="N319" s="100">
        <v>148000</v>
      </c>
      <c r="O319" s="100"/>
      <c r="P319" s="100">
        <v>17942</v>
      </c>
      <c r="Q319" s="39">
        <f t="shared" si="32"/>
        <v>130058</v>
      </c>
    </row>
    <row r="320" spans="1:17" ht="12.75">
      <c r="A320" s="31"/>
      <c r="B320" s="31"/>
      <c r="C320" s="32">
        <v>4220</v>
      </c>
      <c r="D320" s="33" t="s">
        <v>117</v>
      </c>
      <c r="E320" s="93">
        <v>138900</v>
      </c>
      <c r="F320" s="49">
        <v>138900</v>
      </c>
      <c r="G320" s="53">
        <v>142600</v>
      </c>
      <c r="H320" s="100">
        <v>142200</v>
      </c>
      <c r="I320" s="100"/>
      <c r="J320" s="100">
        <v>142200</v>
      </c>
      <c r="K320" s="100">
        <v>142200</v>
      </c>
      <c r="L320" s="64">
        <v>142200</v>
      </c>
      <c r="M320" s="100">
        <v>146500</v>
      </c>
      <c r="N320" s="100">
        <v>146300</v>
      </c>
      <c r="O320" s="100">
        <v>6310</v>
      </c>
      <c r="P320" s="100"/>
      <c r="Q320" s="39">
        <f t="shared" si="32"/>
        <v>152610</v>
      </c>
    </row>
    <row r="321" spans="1:17" ht="38.25">
      <c r="A321" s="31"/>
      <c r="B321" s="31"/>
      <c r="C321" s="32">
        <v>4230</v>
      </c>
      <c r="D321" s="33" t="s">
        <v>73</v>
      </c>
      <c r="E321" s="93">
        <v>19170</v>
      </c>
      <c r="F321" s="49">
        <f>16300+2870</f>
        <v>19170</v>
      </c>
      <c r="G321" s="53">
        <v>28100</v>
      </c>
      <c r="H321" s="100">
        <v>19600</v>
      </c>
      <c r="I321" s="100"/>
      <c r="J321" s="100">
        <v>19600</v>
      </c>
      <c r="K321" s="100">
        <v>19600</v>
      </c>
      <c r="L321" s="64">
        <v>19600</v>
      </c>
      <c r="M321" s="100">
        <v>27200</v>
      </c>
      <c r="N321" s="100">
        <v>30100</v>
      </c>
      <c r="O321" s="100"/>
      <c r="P321" s="100"/>
      <c r="Q321" s="39">
        <f t="shared" si="32"/>
        <v>30100</v>
      </c>
    </row>
    <row r="322" spans="1:17" ht="12.75">
      <c r="A322" s="31"/>
      <c r="B322" s="31"/>
      <c r="C322" s="32">
        <v>4260</v>
      </c>
      <c r="D322" s="33" t="s">
        <v>34</v>
      </c>
      <c r="E322" s="93">
        <v>42800</v>
      </c>
      <c r="F322" s="49">
        <v>42800</v>
      </c>
      <c r="G322" s="53">
        <v>44100</v>
      </c>
      <c r="H322" s="100">
        <v>43800</v>
      </c>
      <c r="I322" s="100"/>
      <c r="J322" s="100">
        <v>43800</v>
      </c>
      <c r="K322" s="100">
        <v>54000</v>
      </c>
      <c r="L322" s="64">
        <v>54000</v>
      </c>
      <c r="M322" s="100">
        <v>56600</v>
      </c>
      <c r="N322" s="100">
        <v>56100</v>
      </c>
      <c r="O322" s="100">
        <v>4000</v>
      </c>
      <c r="P322" s="100"/>
      <c r="Q322" s="39">
        <f t="shared" si="32"/>
        <v>60100</v>
      </c>
    </row>
    <row r="323" spans="1:17" ht="12.75">
      <c r="A323" s="31"/>
      <c r="B323" s="31"/>
      <c r="C323" s="32">
        <v>4270</v>
      </c>
      <c r="D323" s="33" t="s">
        <v>35</v>
      </c>
      <c r="E323" s="93">
        <v>15500</v>
      </c>
      <c r="F323" s="49">
        <v>18100</v>
      </c>
      <c r="G323" s="53">
        <v>17800</v>
      </c>
      <c r="H323" s="100">
        <v>17800</v>
      </c>
      <c r="I323" s="100"/>
      <c r="J323" s="100">
        <v>17800</v>
      </c>
      <c r="K323" s="100">
        <v>17800</v>
      </c>
      <c r="L323" s="64">
        <v>17800</v>
      </c>
      <c r="M323" s="100">
        <v>18300</v>
      </c>
      <c r="N323" s="100">
        <v>47300</v>
      </c>
      <c r="O323" s="100"/>
      <c r="P323" s="100"/>
      <c r="Q323" s="39">
        <f t="shared" si="32"/>
        <v>47300</v>
      </c>
    </row>
    <row r="324" spans="1:17" ht="12.75">
      <c r="A324" s="31"/>
      <c r="B324" s="31"/>
      <c r="C324" s="32">
        <v>4280</v>
      </c>
      <c r="D324" s="33" t="s">
        <v>36</v>
      </c>
      <c r="E324" s="93">
        <v>2800</v>
      </c>
      <c r="F324" s="49">
        <v>2800</v>
      </c>
      <c r="G324" s="53">
        <v>2800</v>
      </c>
      <c r="H324" s="100">
        <v>2800</v>
      </c>
      <c r="I324" s="100"/>
      <c r="J324" s="100">
        <v>2800</v>
      </c>
      <c r="K324" s="100">
        <v>1100</v>
      </c>
      <c r="L324" s="64">
        <v>1100</v>
      </c>
      <c r="M324" s="100">
        <v>1000</v>
      </c>
      <c r="N324" s="100">
        <v>2900</v>
      </c>
      <c r="O324" s="100"/>
      <c r="P324" s="100"/>
      <c r="Q324" s="39">
        <f t="shared" si="32"/>
        <v>2900</v>
      </c>
    </row>
    <row r="325" spans="1:17" ht="12.75">
      <c r="A325" s="31"/>
      <c r="B325" s="31"/>
      <c r="C325" s="32">
        <v>4300</v>
      </c>
      <c r="D325" s="33" t="s">
        <v>16</v>
      </c>
      <c r="E325" s="93">
        <v>39000</v>
      </c>
      <c r="F325" s="49">
        <v>37885</v>
      </c>
      <c r="G325" s="53">
        <v>52550</v>
      </c>
      <c r="H325" s="100">
        <v>38800</v>
      </c>
      <c r="I325" s="100"/>
      <c r="J325" s="100">
        <v>38800</v>
      </c>
      <c r="K325" s="100">
        <v>40700</v>
      </c>
      <c r="L325" s="64">
        <v>40700</v>
      </c>
      <c r="M325" s="100">
        <v>44000</v>
      </c>
      <c r="N325" s="100">
        <v>43400</v>
      </c>
      <c r="O325" s="100"/>
      <c r="P325" s="100"/>
      <c r="Q325" s="39">
        <f t="shared" si="32"/>
        <v>43400</v>
      </c>
    </row>
    <row r="326" spans="1:17" ht="25.5">
      <c r="A326" s="31"/>
      <c r="B326" s="31"/>
      <c r="C326" s="32">
        <v>4350</v>
      </c>
      <c r="D326" s="33" t="s">
        <v>37</v>
      </c>
      <c r="E326" s="93">
        <v>1600</v>
      </c>
      <c r="F326" s="49">
        <v>1600</v>
      </c>
      <c r="G326" s="53">
        <v>1650</v>
      </c>
      <c r="H326" s="100">
        <v>1600</v>
      </c>
      <c r="I326" s="100"/>
      <c r="J326" s="100">
        <v>1600</v>
      </c>
      <c r="K326" s="100">
        <v>1600</v>
      </c>
      <c r="L326" s="64">
        <v>1600</v>
      </c>
      <c r="M326" s="100">
        <v>1700</v>
      </c>
      <c r="N326" s="100">
        <v>1650</v>
      </c>
      <c r="O326" s="100"/>
      <c r="P326" s="100"/>
      <c r="Q326" s="39">
        <f t="shared" si="32"/>
        <v>1650</v>
      </c>
    </row>
    <row r="327" spans="1:17" ht="38.25">
      <c r="A327" s="31"/>
      <c r="B327" s="31"/>
      <c r="C327" s="32">
        <v>4360</v>
      </c>
      <c r="D327" s="33" t="s">
        <v>99</v>
      </c>
      <c r="E327" s="93">
        <v>1300</v>
      </c>
      <c r="F327" s="49">
        <v>1300</v>
      </c>
      <c r="G327" s="53">
        <v>1500</v>
      </c>
      <c r="H327" s="100">
        <v>1350</v>
      </c>
      <c r="I327" s="100"/>
      <c r="J327" s="100">
        <v>1350</v>
      </c>
      <c r="K327" s="100">
        <v>1450</v>
      </c>
      <c r="L327" s="64">
        <v>1450</v>
      </c>
      <c r="M327" s="100">
        <v>1900</v>
      </c>
      <c r="N327" s="100">
        <v>1400</v>
      </c>
      <c r="O327" s="100"/>
      <c r="P327" s="100"/>
      <c r="Q327" s="39">
        <f t="shared" si="32"/>
        <v>1400</v>
      </c>
    </row>
    <row r="328" spans="1:17" ht="38.25">
      <c r="A328" s="31"/>
      <c r="B328" s="31"/>
      <c r="C328" s="32">
        <v>4370</v>
      </c>
      <c r="D328" s="33" t="s">
        <v>101</v>
      </c>
      <c r="E328" s="93">
        <v>9200</v>
      </c>
      <c r="F328" s="49">
        <v>9200</v>
      </c>
      <c r="G328" s="53">
        <v>9200</v>
      </c>
      <c r="H328" s="100">
        <v>9200</v>
      </c>
      <c r="I328" s="100"/>
      <c r="J328" s="100">
        <v>9200</v>
      </c>
      <c r="K328" s="100">
        <v>6300</v>
      </c>
      <c r="L328" s="64">
        <v>6300</v>
      </c>
      <c r="M328" s="100">
        <v>6500</v>
      </c>
      <c r="N328" s="100">
        <v>7500</v>
      </c>
      <c r="O328" s="100"/>
      <c r="P328" s="100"/>
      <c r="Q328" s="39">
        <f t="shared" si="32"/>
        <v>7500</v>
      </c>
    </row>
    <row r="329" spans="1:17" ht="38.25">
      <c r="A329" s="31"/>
      <c r="B329" s="31"/>
      <c r="C329" s="32">
        <v>4390</v>
      </c>
      <c r="D329" s="33" t="s">
        <v>125</v>
      </c>
      <c r="E329" s="93"/>
      <c r="F329" s="49">
        <v>4026</v>
      </c>
      <c r="G329" s="53"/>
      <c r="H329" s="100"/>
      <c r="I329" s="100"/>
      <c r="J329" s="100">
        <v>0</v>
      </c>
      <c r="K329" s="100">
        <v>0</v>
      </c>
      <c r="L329" s="64">
        <v>0</v>
      </c>
      <c r="M329" s="100">
        <v>0</v>
      </c>
      <c r="N329" s="100">
        <v>0</v>
      </c>
      <c r="O329" s="100"/>
      <c r="P329" s="100"/>
      <c r="Q329" s="39">
        <f t="shared" si="32"/>
        <v>0</v>
      </c>
    </row>
    <row r="330" spans="1:17" ht="12.75">
      <c r="A330" s="31"/>
      <c r="B330" s="31"/>
      <c r="C330" s="32">
        <v>4410</v>
      </c>
      <c r="D330" s="33" t="s">
        <v>41</v>
      </c>
      <c r="E330" s="93">
        <v>2500</v>
      </c>
      <c r="F330" s="49">
        <v>2500</v>
      </c>
      <c r="G330" s="53">
        <v>1500</v>
      </c>
      <c r="H330" s="100">
        <v>1500</v>
      </c>
      <c r="I330" s="100"/>
      <c r="J330" s="100">
        <v>1500</v>
      </c>
      <c r="K330" s="100">
        <v>600</v>
      </c>
      <c r="L330" s="64">
        <v>600</v>
      </c>
      <c r="M330" s="100">
        <v>1500</v>
      </c>
      <c r="N330" s="100">
        <v>1000</v>
      </c>
      <c r="O330" s="100"/>
      <c r="P330" s="100"/>
      <c r="Q330" s="39">
        <f t="shared" si="32"/>
        <v>1000</v>
      </c>
    </row>
    <row r="331" spans="1:17" ht="12.75">
      <c r="A331" s="31"/>
      <c r="B331" s="31"/>
      <c r="C331" s="32">
        <v>4430</v>
      </c>
      <c r="D331" s="33" t="s">
        <v>42</v>
      </c>
      <c r="E331" s="93">
        <v>9600</v>
      </c>
      <c r="F331" s="49">
        <v>9600</v>
      </c>
      <c r="G331" s="53">
        <v>9900</v>
      </c>
      <c r="H331" s="100">
        <v>9800</v>
      </c>
      <c r="I331" s="100"/>
      <c r="J331" s="100">
        <v>9800</v>
      </c>
      <c r="K331" s="100">
        <v>8900</v>
      </c>
      <c r="L331" s="64">
        <v>8900</v>
      </c>
      <c r="M331" s="100">
        <v>9600</v>
      </c>
      <c r="N331" s="100">
        <v>7100</v>
      </c>
      <c r="O331" s="100"/>
      <c r="P331" s="100"/>
      <c r="Q331" s="39">
        <f t="shared" si="32"/>
        <v>7100</v>
      </c>
    </row>
    <row r="332" spans="1:17" ht="25.5">
      <c r="A332" s="31"/>
      <c r="B332" s="31"/>
      <c r="C332" s="32">
        <v>4440</v>
      </c>
      <c r="D332" s="33" t="s">
        <v>43</v>
      </c>
      <c r="E332" s="93">
        <v>25700</v>
      </c>
      <c r="F332" s="49">
        <v>28563</v>
      </c>
      <c r="G332" s="53">
        <v>29200</v>
      </c>
      <c r="H332" s="100">
        <v>29500</v>
      </c>
      <c r="I332" s="100"/>
      <c r="J332" s="100">
        <v>29500</v>
      </c>
      <c r="K332" s="100">
        <v>29500</v>
      </c>
      <c r="L332" s="64">
        <v>29500</v>
      </c>
      <c r="M332" s="100">
        <v>33000</v>
      </c>
      <c r="N332" s="100">
        <v>33370</v>
      </c>
      <c r="O332" s="100">
        <v>7632</v>
      </c>
      <c r="P332" s="100"/>
      <c r="Q332" s="39">
        <f t="shared" si="32"/>
        <v>41002</v>
      </c>
    </row>
    <row r="333" spans="1:17" ht="12.75">
      <c r="A333" s="31"/>
      <c r="B333" s="31"/>
      <c r="C333" s="32">
        <v>4480</v>
      </c>
      <c r="D333" s="33" t="s">
        <v>55</v>
      </c>
      <c r="E333" s="93">
        <v>3100</v>
      </c>
      <c r="F333" s="49">
        <v>1715</v>
      </c>
      <c r="G333" s="53">
        <v>1800</v>
      </c>
      <c r="H333" s="100">
        <v>1760</v>
      </c>
      <c r="I333" s="100"/>
      <c r="J333" s="100">
        <v>1760</v>
      </c>
      <c r="K333" s="100">
        <v>160</v>
      </c>
      <c r="L333" s="64">
        <v>160</v>
      </c>
      <c r="M333" s="100">
        <v>1800</v>
      </c>
      <c r="N333" s="100">
        <v>300</v>
      </c>
      <c r="O333" s="100"/>
      <c r="P333" s="100"/>
      <c r="Q333" s="39">
        <f t="shared" si="32"/>
        <v>300</v>
      </c>
    </row>
    <row r="334" spans="1:17" ht="38.25">
      <c r="A334" s="31"/>
      <c r="B334" s="31"/>
      <c r="C334" s="32">
        <v>4700</v>
      </c>
      <c r="D334" s="33" t="s">
        <v>45</v>
      </c>
      <c r="E334" s="93">
        <v>1200</v>
      </c>
      <c r="F334" s="49">
        <v>3200</v>
      </c>
      <c r="G334" s="53">
        <v>5000</v>
      </c>
      <c r="H334" s="100">
        <v>3300</v>
      </c>
      <c r="I334" s="100"/>
      <c r="J334" s="100">
        <v>3300</v>
      </c>
      <c r="K334" s="100">
        <v>3300</v>
      </c>
      <c r="L334" s="64">
        <v>3300</v>
      </c>
      <c r="M334" s="100">
        <v>5000</v>
      </c>
      <c r="N334" s="100">
        <v>3400</v>
      </c>
      <c r="O334" s="100"/>
      <c r="P334" s="100"/>
      <c r="Q334" s="39">
        <f t="shared" si="32"/>
        <v>3400</v>
      </c>
    </row>
    <row r="335" spans="1:17" ht="38.25">
      <c r="A335" s="31"/>
      <c r="B335" s="31"/>
      <c r="C335" s="32">
        <v>4740</v>
      </c>
      <c r="D335" s="33" t="s">
        <v>63</v>
      </c>
      <c r="E335" s="93">
        <v>1300</v>
      </c>
      <c r="F335" s="49">
        <v>1300</v>
      </c>
      <c r="G335" s="53">
        <v>2000</v>
      </c>
      <c r="H335" s="100">
        <v>1330</v>
      </c>
      <c r="I335" s="100"/>
      <c r="J335" s="100">
        <v>1330</v>
      </c>
      <c r="K335" s="100">
        <v>1330</v>
      </c>
      <c r="L335" s="64">
        <v>1330</v>
      </c>
      <c r="M335" s="100">
        <v>2000</v>
      </c>
      <c r="N335" s="100">
        <v>1400</v>
      </c>
      <c r="O335" s="100"/>
      <c r="P335" s="100"/>
      <c r="Q335" s="39">
        <f t="shared" si="32"/>
        <v>1400</v>
      </c>
    </row>
    <row r="336" spans="1:17" ht="38.25">
      <c r="A336" s="31"/>
      <c r="B336" s="31"/>
      <c r="C336" s="32">
        <v>4750</v>
      </c>
      <c r="D336" s="33" t="s">
        <v>92</v>
      </c>
      <c r="E336" s="93">
        <v>200</v>
      </c>
      <c r="F336" s="49">
        <v>700</v>
      </c>
      <c r="G336" s="53">
        <v>2000</v>
      </c>
      <c r="H336" s="100">
        <v>720</v>
      </c>
      <c r="I336" s="100"/>
      <c r="J336" s="100">
        <v>720</v>
      </c>
      <c r="K336" s="100">
        <v>720</v>
      </c>
      <c r="L336" s="64">
        <v>720</v>
      </c>
      <c r="M336" s="100">
        <v>2000</v>
      </c>
      <c r="N336" s="100">
        <v>1640</v>
      </c>
      <c r="O336" s="100"/>
      <c r="P336" s="100"/>
      <c r="Q336" s="39">
        <f t="shared" si="32"/>
        <v>1640</v>
      </c>
    </row>
    <row r="337" spans="1:17" ht="25.5">
      <c r="A337" s="31"/>
      <c r="B337" s="31"/>
      <c r="C337" s="32"/>
      <c r="D337" s="50" t="s">
        <v>106</v>
      </c>
      <c r="E337" s="93"/>
      <c r="F337" s="49"/>
      <c r="G337" s="53"/>
      <c r="H337" s="100"/>
      <c r="I337" s="100"/>
      <c r="J337" s="100">
        <f>SUM(J338)</f>
        <v>0</v>
      </c>
      <c r="K337" s="100">
        <f>SUM(K338)</f>
        <v>106699</v>
      </c>
      <c r="L337" s="64">
        <v>0</v>
      </c>
      <c r="M337" s="100">
        <f>SUM(M338)</f>
        <v>0</v>
      </c>
      <c r="N337" s="100">
        <v>208000</v>
      </c>
      <c r="O337" s="100"/>
      <c r="P337" s="100">
        <f>SUM(P338)</f>
        <v>0</v>
      </c>
      <c r="Q337" s="39">
        <f t="shared" si="32"/>
        <v>208000</v>
      </c>
    </row>
    <row r="338" spans="1:17" ht="25.5">
      <c r="A338" s="35"/>
      <c r="B338" s="35"/>
      <c r="C338" s="32">
        <v>6050</v>
      </c>
      <c r="D338" s="55" t="s">
        <v>130</v>
      </c>
      <c r="E338" s="63">
        <v>0</v>
      </c>
      <c r="F338" s="63">
        <v>12000</v>
      </c>
      <c r="G338" s="104">
        <v>11000</v>
      </c>
      <c r="H338" s="100">
        <v>11000</v>
      </c>
      <c r="I338" s="100"/>
      <c r="J338" s="100"/>
      <c r="K338" s="100">
        <v>106699</v>
      </c>
      <c r="L338" s="64">
        <v>0</v>
      </c>
      <c r="M338" s="100">
        <v>0</v>
      </c>
      <c r="N338" s="100">
        <v>208000</v>
      </c>
      <c r="O338" s="100"/>
      <c r="P338" s="100"/>
      <c r="Q338" s="39">
        <f t="shared" si="32"/>
        <v>208000</v>
      </c>
    </row>
    <row r="339" spans="1:17" ht="12.75">
      <c r="A339" s="40"/>
      <c r="B339" s="40">
        <v>85203</v>
      </c>
      <c r="C339" s="41"/>
      <c r="D339" s="50" t="s">
        <v>135</v>
      </c>
      <c r="E339" s="43">
        <f>SUM(E340:E348)</f>
        <v>160400</v>
      </c>
      <c r="F339" s="43">
        <f>SUM(F340:F348)</f>
        <v>178176</v>
      </c>
      <c r="G339" s="43">
        <f>SUM(G340:G348)</f>
        <v>104986</v>
      </c>
      <c r="H339" s="43">
        <f>SUM(H340:H348)</f>
        <v>100215</v>
      </c>
      <c r="I339" s="43"/>
      <c r="J339" s="43">
        <f aca="true" t="shared" si="35" ref="J339:P339">SUM(J340:J348)</f>
        <v>107160</v>
      </c>
      <c r="K339" s="43">
        <f t="shared" si="35"/>
        <v>147624</v>
      </c>
      <c r="L339" s="43">
        <f t="shared" si="35"/>
        <v>147624</v>
      </c>
      <c r="M339" s="43">
        <f t="shared" si="35"/>
        <v>157350</v>
      </c>
      <c r="N339" s="43">
        <v>853828</v>
      </c>
      <c r="O339" s="43">
        <f t="shared" si="35"/>
        <v>3447</v>
      </c>
      <c r="P339" s="43">
        <f t="shared" si="35"/>
        <v>3447</v>
      </c>
      <c r="Q339" s="39">
        <f t="shared" si="32"/>
        <v>853828</v>
      </c>
    </row>
    <row r="340" spans="1:17" ht="25.5">
      <c r="A340" s="31"/>
      <c r="B340" s="31"/>
      <c r="C340" s="32">
        <v>3020</v>
      </c>
      <c r="D340" s="33" t="s">
        <v>124</v>
      </c>
      <c r="E340" s="49">
        <f>E350+E374</f>
        <v>800</v>
      </c>
      <c r="F340" s="49">
        <f>F350+F374</f>
        <v>800</v>
      </c>
      <c r="G340" s="49">
        <f>G350+G374</f>
        <v>595</v>
      </c>
      <c r="H340" s="49">
        <f>H350+H374</f>
        <v>595</v>
      </c>
      <c r="I340" s="49"/>
      <c r="J340" s="49">
        <v>600</v>
      </c>
      <c r="K340" s="49">
        <v>800</v>
      </c>
      <c r="L340" s="49">
        <f>L350+L374</f>
        <v>800</v>
      </c>
      <c r="M340" s="49">
        <f>M350+M374</f>
        <v>750</v>
      </c>
      <c r="N340" s="49">
        <v>600</v>
      </c>
      <c r="O340" s="49">
        <f>O350+O374</f>
        <v>0</v>
      </c>
      <c r="P340" s="49">
        <f>P350+P374</f>
        <v>467</v>
      </c>
      <c r="Q340" s="39">
        <f aca="true" t="shared" si="36" ref="Q340:Q389">N340+O340-P340</f>
        <v>133</v>
      </c>
    </row>
    <row r="341" spans="1:17" ht="12.75">
      <c r="A341" s="31"/>
      <c r="B341" s="31"/>
      <c r="C341" s="32">
        <v>4210</v>
      </c>
      <c r="D341" s="33" t="s">
        <v>33</v>
      </c>
      <c r="E341" s="49">
        <f>E356+E380</f>
        <v>133100</v>
      </c>
      <c r="F341" s="49">
        <f>F356+F380</f>
        <v>137812</v>
      </c>
      <c r="G341" s="49">
        <f>G356+G380</f>
        <v>78471</v>
      </c>
      <c r="H341" s="49">
        <f>H356+H380</f>
        <v>78500</v>
      </c>
      <c r="I341" s="49"/>
      <c r="J341" s="49">
        <v>86340</v>
      </c>
      <c r="K341" s="49">
        <v>101204</v>
      </c>
      <c r="L341" s="49">
        <f>L356+L380</f>
        <v>101204</v>
      </c>
      <c r="M341" s="49">
        <f>M356+M380</f>
        <v>129700</v>
      </c>
      <c r="N341" s="49">
        <v>166299</v>
      </c>
      <c r="O341" s="49">
        <f>O356+O380</f>
        <v>3150</v>
      </c>
      <c r="P341" s="49">
        <f>P356+P380</f>
        <v>0</v>
      </c>
      <c r="Q341" s="39">
        <f t="shared" si="36"/>
        <v>169449</v>
      </c>
    </row>
    <row r="342" spans="1:17" ht="12.75">
      <c r="A342" s="31"/>
      <c r="B342" s="31"/>
      <c r="C342" s="32">
        <v>4260</v>
      </c>
      <c r="D342" s="33" t="s">
        <v>34</v>
      </c>
      <c r="E342" s="49">
        <f>E359+E382</f>
        <v>15000</v>
      </c>
      <c r="F342" s="49">
        <f>F359+F382</f>
        <v>15000</v>
      </c>
      <c r="G342" s="49">
        <f>G359+G382</f>
        <v>11100</v>
      </c>
      <c r="H342" s="49">
        <f>H359+H382</f>
        <v>11100</v>
      </c>
      <c r="I342" s="49"/>
      <c r="J342" s="49">
        <v>11100</v>
      </c>
      <c r="K342" s="49">
        <f>K359+K382</f>
        <v>11100</v>
      </c>
      <c r="L342" s="49">
        <f>L359+L382</f>
        <v>11100</v>
      </c>
      <c r="M342" s="49">
        <f>M359+M382</f>
        <v>11900</v>
      </c>
      <c r="N342" s="49">
        <v>13250</v>
      </c>
      <c r="O342" s="49">
        <f aca="true" t="shared" si="37" ref="O342:P344">O359+O382</f>
        <v>0</v>
      </c>
      <c r="P342" s="49">
        <f t="shared" si="37"/>
        <v>1300</v>
      </c>
      <c r="Q342" s="39">
        <f t="shared" si="36"/>
        <v>11950</v>
      </c>
    </row>
    <row r="343" spans="1:17" ht="12.75">
      <c r="A343" s="31"/>
      <c r="B343" s="31"/>
      <c r="C343" s="32">
        <v>4270</v>
      </c>
      <c r="D343" s="33" t="s">
        <v>35</v>
      </c>
      <c r="E343" s="49">
        <f>E360+E383</f>
        <v>7700</v>
      </c>
      <c r="F343" s="49">
        <f>F360+F383</f>
        <v>17700</v>
      </c>
      <c r="G343" s="49">
        <f>G360+G382</f>
        <v>10320</v>
      </c>
      <c r="H343" s="49">
        <f>H360+H383</f>
        <v>6220</v>
      </c>
      <c r="I343" s="49"/>
      <c r="J343" s="49">
        <v>6220</v>
      </c>
      <c r="K343" s="49">
        <v>29720</v>
      </c>
      <c r="L343" s="49">
        <f>L360+L383</f>
        <v>29720</v>
      </c>
      <c r="M343" s="49">
        <f>M360+M383</f>
        <v>7400</v>
      </c>
      <c r="N343" s="49">
        <v>14585</v>
      </c>
      <c r="O343" s="49">
        <f t="shared" si="37"/>
        <v>297</v>
      </c>
      <c r="P343" s="49">
        <f t="shared" si="37"/>
        <v>0</v>
      </c>
      <c r="Q343" s="39">
        <f t="shared" si="36"/>
        <v>14882</v>
      </c>
    </row>
    <row r="344" spans="1:17" ht="12.75">
      <c r="A344" s="31"/>
      <c r="B344" s="31"/>
      <c r="C344" s="32">
        <v>4280</v>
      </c>
      <c r="D344" s="33" t="s">
        <v>36</v>
      </c>
      <c r="E344" s="49">
        <f>E361+E384</f>
        <v>1200</v>
      </c>
      <c r="F344" s="49">
        <f>F361+F384</f>
        <v>1200</v>
      </c>
      <c r="G344" s="49">
        <f>G361+G383</f>
        <v>2200</v>
      </c>
      <c r="H344" s="49">
        <f>H361+H384</f>
        <v>1200</v>
      </c>
      <c r="I344" s="49"/>
      <c r="J344" s="49">
        <v>1200</v>
      </c>
      <c r="K344" s="49">
        <f>K361+K384</f>
        <v>1200</v>
      </c>
      <c r="L344" s="49">
        <f>L361+L384</f>
        <v>1200</v>
      </c>
      <c r="M344" s="49">
        <f>M361+M384</f>
        <v>1200</v>
      </c>
      <c r="N344" s="49">
        <v>1400</v>
      </c>
      <c r="O344" s="49">
        <f t="shared" si="37"/>
        <v>0</v>
      </c>
      <c r="P344" s="49">
        <f t="shared" si="37"/>
        <v>583</v>
      </c>
      <c r="Q344" s="39">
        <f t="shared" si="36"/>
        <v>817</v>
      </c>
    </row>
    <row r="345" spans="1:17" ht="12.75">
      <c r="A345" s="31"/>
      <c r="B345" s="31"/>
      <c r="C345" s="32">
        <v>4410</v>
      </c>
      <c r="D345" s="33" t="s">
        <v>41</v>
      </c>
      <c r="E345" s="49">
        <f>E365</f>
        <v>300</v>
      </c>
      <c r="F345" s="49">
        <f>F365</f>
        <v>300</v>
      </c>
      <c r="G345" s="49">
        <f>G365</f>
        <v>300</v>
      </c>
      <c r="H345" s="49">
        <f>H365</f>
        <v>300</v>
      </c>
      <c r="I345" s="49"/>
      <c r="J345" s="49">
        <v>300</v>
      </c>
      <c r="K345" s="49">
        <v>300</v>
      </c>
      <c r="L345" s="49">
        <f>L365+L387</f>
        <v>300</v>
      </c>
      <c r="M345" s="49">
        <f>M365+M387</f>
        <v>700</v>
      </c>
      <c r="N345" s="49">
        <v>400</v>
      </c>
      <c r="O345" s="49">
        <f>O365+O387</f>
        <v>0</v>
      </c>
      <c r="P345" s="49">
        <f>P365+P387</f>
        <v>284</v>
      </c>
      <c r="Q345" s="39">
        <f t="shared" si="36"/>
        <v>116</v>
      </c>
    </row>
    <row r="346" spans="1:17" ht="38.25">
      <c r="A346" s="31"/>
      <c r="B346" s="31"/>
      <c r="C346" s="32">
        <v>4700</v>
      </c>
      <c r="D346" s="33" t="s">
        <v>45</v>
      </c>
      <c r="E346" s="49">
        <f>E370+E392</f>
        <v>1500</v>
      </c>
      <c r="F346" s="49">
        <f>F370+F392</f>
        <v>4064</v>
      </c>
      <c r="G346" s="49">
        <f>G370+G390</f>
        <v>600</v>
      </c>
      <c r="H346" s="49">
        <f>H370+H392</f>
        <v>1000</v>
      </c>
      <c r="I346" s="49"/>
      <c r="J346" s="49">
        <v>100</v>
      </c>
      <c r="K346" s="49">
        <v>2000</v>
      </c>
      <c r="L346" s="49">
        <f>L370+L392</f>
        <v>2000</v>
      </c>
      <c r="M346" s="49">
        <f>M370+M392</f>
        <v>4000</v>
      </c>
      <c r="N346" s="49">
        <v>1000</v>
      </c>
      <c r="O346" s="49">
        <f>O370+O392</f>
        <v>0</v>
      </c>
      <c r="P346" s="49">
        <f>P370+P392</f>
        <v>405</v>
      </c>
      <c r="Q346" s="39">
        <f t="shared" si="36"/>
        <v>595</v>
      </c>
    </row>
    <row r="347" spans="1:17" ht="38.25">
      <c r="A347" s="31"/>
      <c r="B347" s="31"/>
      <c r="C347" s="32">
        <v>4740</v>
      </c>
      <c r="D347" s="33" t="s">
        <v>63</v>
      </c>
      <c r="E347" s="49">
        <f>E371+E393</f>
        <v>800</v>
      </c>
      <c r="F347" s="49">
        <f>F371+F393</f>
        <v>800</v>
      </c>
      <c r="G347" s="49">
        <f>G371+G391</f>
        <v>1100</v>
      </c>
      <c r="H347" s="49">
        <f>H371+H393</f>
        <v>1000</v>
      </c>
      <c r="I347" s="49"/>
      <c r="J347" s="49">
        <v>1000</v>
      </c>
      <c r="K347" s="49">
        <f>K371+K393</f>
        <v>1000</v>
      </c>
      <c r="L347" s="49">
        <f>L371+L393</f>
        <v>1000</v>
      </c>
      <c r="M347" s="49">
        <f>M371+M393</f>
        <v>1200</v>
      </c>
      <c r="N347" s="49">
        <v>1500</v>
      </c>
      <c r="O347" s="49">
        <f>O371+O393</f>
        <v>0</v>
      </c>
      <c r="P347" s="49">
        <f>P371+P393</f>
        <v>408</v>
      </c>
      <c r="Q347" s="39">
        <f t="shared" si="36"/>
        <v>1092</v>
      </c>
    </row>
    <row r="348" spans="1:17" ht="38.25">
      <c r="A348" s="31"/>
      <c r="B348" s="31"/>
      <c r="C348" s="32">
        <v>4750</v>
      </c>
      <c r="D348" s="33" t="s">
        <v>92</v>
      </c>
      <c r="E348" s="49"/>
      <c r="F348" s="49">
        <v>500</v>
      </c>
      <c r="G348" s="49">
        <f>G371</f>
        <v>300</v>
      </c>
      <c r="H348" s="49">
        <f>H371</f>
        <v>300</v>
      </c>
      <c r="I348" s="49"/>
      <c r="J348" s="49">
        <v>300</v>
      </c>
      <c r="K348" s="49">
        <f>K371</f>
        <v>300</v>
      </c>
      <c r="L348" s="49">
        <f>L372</f>
        <v>300</v>
      </c>
      <c r="M348" s="49">
        <f>M372</f>
        <v>500</v>
      </c>
      <c r="N348" s="49">
        <v>1500</v>
      </c>
      <c r="O348" s="49">
        <f>O372</f>
        <v>0</v>
      </c>
      <c r="P348" s="49">
        <f>P372</f>
        <v>0</v>
      </c>
      <c r="Q348" s="39">
        <f t="shared" si="36"/>
        <v>1500</v>
      </c>
    </row>
    <row r="349" spans="1:17" ht="25.5">
      <c r="A349" s="35"/>
      <c r="B349" s="35"/>
      <c r="C349" s="41" t="s">
        <v>94</v>
      </c>
      <c r="D349" s="50" t="s">
        <v>137</v>
      </c>
      <c r="E349" s="43">
        <f>SUM(E350:E372)</f>
        <v>352350</v>
      </c>
      <c r="F349" s="43">
        <f>SUM(F350:F372)</f>
        <v>375260</v>
      </c>
      <c r="G349" s="43">
        <f>SUM(G350:G372)</f>
        <v>360457</v>
      </c>
      <c r="H349" s="43">
        <f>SUM(H350:H372)</f>
        <v>360454</v>
      </c>
      <c r="I349" s="43"/>
      <c r="J349" s="43">
        <f aca="true" t="shared" si="38" ref="J349:P349">SUM(J350:J372)</f>
        <v>375380</v>
      </c>
      <c r="K349" s="43">
        <f t="shared" si="38"/>
        <v>375380</v>
      </c>
      <c r="L349" s="43">
        <f t="shared" si="38"/>
        <v>375380</v>
      </c>
      <c r="M349" s="43">
        <f t="shared" si="38"/>
        <v>406500</v>
      </c>
      <c r="N349" s="43">
        <v>445142</v>
      </c>
      <c r="O349" s="43">
        <f t="shared" si="38"/>
        <v>0</v>
      </c>
      <c r="P349" s="43">
        <f t="shared" si="38"/>
        <v>0</v>
      </c>
      <c r="Q349" s="39">
        <f t="shared" si="36"/>
        <v>445142</v>
      </c>
    </row>
    <row r="350" spans="1:17" ht="25.5">
      <c r="A350" s="35"/>
      <c r="B350" s="35"/>
      <c r="C350" s="32">
        <v>3020</v>
      </c>
      <c r="D350" s="33" t="s">
        <v>124</v>
      </c>
      <c r="E350" s="95">
        <v>300</v>
      </c>
      <c r="F350" s="95">
        <v>300</v>
      </c>
      <c r="G350" s="53">
        <v>195</v>
      </c>
      <c r="H350" s="53">
        <v>195</v>
      </c>
      <c r="I350" s="53"/>
      <c r="J350" s="53">
        <v>200</v>
      </c>
      <c r="K350" s="53">
        <v>200</v>
      </c>
      <c r="L350" s="53">
        <v>200</v>
      </c>
      <c r="M350" s="53">
        <v>350</v>
      </c>
      <c r="N350" s="53">
        <v>0</v>
      </c>
      <c r="O350" s="53"/>
      <c r="P350" s="53"/>
      <c r="Q350" s="39">
        <f t="shared" si="36"/>
        <v>0</v>
      </c>
    </row>
    <row r="351" spans="1:17" ht="25.5">
      <c r="A351" s="35"/>
      <c r="B351" s="35"/>
      <c r="C351" s="32">
        <v>4010</v>
      </c>
      <c r="D351" s="33" t="s">
        <v>28</v>
      </c>
      <c r="E351" s="95">
        <v>165000</v>
      </c>
      <c r="F351" s="95">
        <v>173250</v>
      </c>
      <c r="G351" s="53">
        <v>193900</v>
      </c>
      <c r="H351" s="53">
        <v>193860</v>
      </c>
      <c r="I351" s="53"/>
      <c r="J351" s="53">
        <v>193860</v>
      </c>
      <c r="K351" s="53">
        <v>209232</v>
      </c>
      <c r="L351" s="53">
        <v>209232</v>
      </c>
      <c r="M351" s="53">
        <v>210850</v>
      </c>
      <c r="N351" s="53">
        <v>239948</v>
      </c>
      <c r="O351" s="53"/>
      <c r="P351" s="53"/>
      <c r="Q351" s="39">
        <f t="shared" si="36"/>
        <v>239948</v>
      </c>
    </row>
    <row r="352" spans="1:17" ht="12.75">
      <c r="A352" s="35"/>
      <c r="B352" s="35"/>
      <c r="C352" s="32">
        <v>4040</v>
      </c>
      <c r="D352" s="33" t="s">
        <v>29</v>
      </c>
      <c r="E352" s="49">
        <v>13200</v>
      </c>
      <c r="F352" s="49">
        <v>13503</v>
      </c>
      <c r="G352" s="53">
        <v>14800</v>
      </c>
      <c r="H352" s="53">
        <v>15185</v>
      </c>
      <c r="I352" s="53"/>
      <c r="J352" s="53">
        <v>15200</v>
      </c>
      <c r="K352" s="53">
        <v>11846</v>
      </c>
      <c r="L352" s="53">
        <v>11846</v>
      </c>
      <c r="M352" s="53">
        <v>17800</v>
      </c>
      <c r="N352" s="53">
        <v>17002</v>
      </c>
      <c r="O352" s="53"/>
      <c r="P352" s="53"/>
      <c r="Q352" s="39">
        <f t="shared" si="36"/>
        <v>17002</v>
      </c>
    </row>
    <row r="353" spans="1:17" ht="25.5">
      <c r="A353" s="35"/>
      <c r="B353" s="35"/>
      <c r="C353" s="32">
        <v>4110</v>
      </c>
      <c r="D353" s="33" t="s">
        <v>30</v>
      </c>
      <c r="E353" s="49">
        <v>31600</v>
      </c>
      <c r="F353" s="49">
        <v>33060</v>
      </c>
      <c r="G353" s="53">
        <v>32830</v>
      </c>
      <c r="H353" s="53">
        <v>32880</v>
      </c>
      <c r="I353" s="53"/>
      <c r="J353" s="53">
        <v>32880</v>
      </c>
      <c r="K353" s="53">
        <v>35291</v>
      </c>
      <c r="L353" s="53">
        <v>35291</v>
      </c>
      <c r="M353" s="53">
        <v>35650</v>
      </c>
      <c r="N353" s="53">
        <v>39304</v>
      </c>
      <c r="O353" s="53"/>
      <c r="P353" s="53"/>
      <c r="Q353" s="39">
        <f t="shared" si="36"/>
        <v>39304</v>
      </c>
    </row>
    <row r="354" spans="1:17" ht="12.75">
      <c r="A354" s="35"/>
      <c r="B354" s="35"/>
      <c r="C354" s="32">
        <v>4120</v>
      </c>
      <c r="D354" s="33" t="s">
        <v>31</v>
      </c>
      <c r="E354" s="49">
        <v>4400</v>
      </c>
      <c r="F354" s="49">
        <v>4600</v>
      </c>
      <c r="G354" s="53">
        <v>4751</v>
      </c>
      <c r="H354" s="53">
        <v>5120</v>
      </c>
      <c r="I354" s="53"/>
      <c r="J354" s="53">
        <v>5120</v>
      </c>
      <c r="K354" s="53">
        <v>5460</v>
      </c>
      <c r="L354" s="53">
        <v>5460</v>
      </c>
      <c r="M354" s="53">
        <v>5600</v>
      </c>
      <c r="N354" s="53">
        <v>6132</v>
      </c>
      <c r="O354" s="53"/>
      <c r="P354" s="53"/>
      <c r="Q354" s="39">
        <f t="shared" si="36"/>
        <v>6132</v>
      </c>
    </row>
    <row r="355" spans="1:17" ht="12.75">
      <c r="A355" s="35"/>
      <c r="B355" s="35"/>
      <c r="C355" s="32">
        <v>4170</v>
      </c>
      <c r="D355" s="33" t="s">
        <v>102</v>
      </c>
      <c r="E355" s="49">
        <v>16800</v>
      </c>
      <c r="F355" s="49">
        <v>16800</v>
      </c>
      <c r="G355" s="53">
        <v>8400</v>
      </c>
      <c r="H355" s="53">
        <v>8400</v>
      </c>
      <c r="I355" s="53"/>
      <c r="J355" s="53">
        <v>8400</v>
      </c>
      <c r="K355" s="53">
        <v>4200</v>
      </c>
      <c r="L355" s="53">
        <v>4200</v>
      </c>
      <c r="M355" s="53">
        <v>8400</v>
      </c>
      <c r="N355" s="53">
        <v>8700</v>
      </c>
      <c r="O355" s="53"/>
      <c r="P355" s="53"/>
      <c r="Q355" s="39">
        <f t="shared" si="36"/>
        <v>8700</v>
      </c>
    </row>
    <row r="356" spans="1:17" ht="12.75">
      <c r="A356" s="35"/>
      <c r="B356" s="35"/>
      <c r="C356" s="32">
        <v>4210</v>
      </c>
      <c r="D356" s="33" t="s">
        <v>33</v>
      </c>
      <c r="E356" s="49">
        <v>67250</v>
      </c>
      <c r="F356" s="49">
        <v>69279</v>
      </c>
      <c r="G356" s="53">
        <v>44871</v>
      </c>
      <c r="H356" s="53">
        <v>44900</v>
      </c>
      <c r="I356" s="53"/>
      <c r="J356" s="53">
        <v>63300</v>
      </c>
      <c r="K356" s="53">
        <v>52031</v>
      </c>
      <c r="L356" s="53">
        <v>52031</v>
      </c>
      <c r="M356" s="53">
        <v>61800</v>
      </c>
      <c r="N356" s="53">
        <v>68051</v>
      </c>
      <c r="O356" s="53"/>
      <c r="P356" s="53"/>
      <c r="Q356" s="39">
        <f t="shared" si="36"/>
        <v>68051</v>
      </c>
    </row>
    <row r="357" spans="1:17" ht="12.75">
      <c r="A357" s="35"/>
      <c r="B357" s="35"/>
      <c r="C357" s="32">
        <v>4220</v>
      </c>
      <c r="D357" s="33" t="s">
        <v>117</v>
      </c>
      <c r="E357" s="49">
        <v>19400</v>
      </c>
      <c r="F357" s="49">
        <v>19400</v>
      </c>
      <c r="G357" s="53">
        <v>19200</v>
      </c>
      <c r="H357" s="53">
        <v>19200</v>
      </c>
      <c r="I357" s="53"/>
      <c r="J357" s="53">
        <v>19200</v>
      </c>
      <c r="K357" s="53">
        <v>18000</v>
      </c>
      <c r="L357" s="53">
        <v>18000</v>
      </c>
      <c r="M357" s="53">
        <v>19700</v>
      </c>
      <c r="N357" s="53">
        <v>19800</v>
      </c>
      <c r="O357" s="53"/>
      <c r="P357" s="53"/>
      <c r="Q357" s="39">
        <f t="shared" si="36"/>
        <v>19800</v>
      </c>
    </row>
    <row r="358" spans="1:17" ht="38.25">
      <c r="A358" s="35"/>
      <c r="B358" s="35"/>
      <c r="C358" s="32">
        <v>4230</v>
      </c>
      <c r="D358" s="33" t="s">
        <v>138</v>
      </c>
      <c r="E358" s="49">
        <v>200</v>
      </c>
      <c r="F358" s="49">
        <v>200</v>
      </c>
      <c r="G358" s="53">
        <v>100</v>
      </c>
      <c r="H358" s="53">
        <v>100</v>
      </c>
      <c r="I358" s="53"/>
      <c r="J358" s="53">
        <v>100</v>
      </c>
      <c r="K358" s="53">
        <v>100</v>
      </c>
      <c r="L358" s="53">
        <v>100</v>
      </c>
      <c r="M358" s="53">
        <v>100</v>
      </c>
      <c r="N358" s="53">
        <v>0</v>
      </c>
      <c r="O358" s="53"/>
      <c r="P358" s="53"/>
      <c r="Q358" s="39">
        <f t="shared" si="36"/>
        <v>0</v>
      </c>
    </row>
    <row r="359" spans="1:17" ht="12.75">
      <c r="A359" s="35"/>
      <c r="B359" s="35"/>
      <c r="C359" s="32">
        <v>4260</v>
      </c>
      <c r="D359" s="33" t="s">
        <v>34</v>
      </c>
      <c r="E359" s="49">
        <v>6000</v>
      </c>
      <c r="F359" s="49">
        <v>6000</v>
      </c>
      <c r="G359" s="53">
        <v>5000</v>
      </c>
      <c r="H359" s="53">
        <v>5000</v>
      </c>
      <c r="I359" s="53"/>
      <c r="J359" s="53">
        <v>5000</v>
      </c>
      <c r="K359" s="53">
        <v>5000</v>
      </c>
      <c r="L359" s="53">
        <v>5000</v>
      </c>
      <c r="M359" s="53">
        <v>5150</v>
      </c>
      <c r="N359" s="53">
        <v>6950</v>
      </c>
      <c r="O359" s="53"/>
      <c r="P359" s="53"/>
      <c r="Q359" s="39">
        <f t="shared" si="36"/>
        <v>6950</v>
      </c>
    </row>
    <row r="360" spans="1:17" ht="12.75">
      <c r="A360" s="35"/>
      <c r="B360" s="35"/>
      <c r="C360" s="32">
        <v>4270</v>
      </c>
      <c r="D360" s="33" t="s">
        <v>35</v>
      </c>
      <c r="E360" s="49">
        <v>3700</v>
      </c>
      <c r="F360" s="49">
        <v>8700</v>
      </c>
      <c r="G360" s="53">
        <v>4220</v>
      </c>
      <c r="H360" s="53">
        <v>4220</v>
      </c>
      <c r="I360" s="53"/>
      <c r="J360" s="53">
        <v>4220</v>
      </c>
      <c r="K360" s="53">
        <v>4720</v>
      </c>
      <c r="L360" s="53">
        <v>4720</v>
      </c>
      <c r="M360" s="53">
        <v>4400</v>
      </c>
      <c r="N360" s="53">
        <v>7435</v>
      </c>
      <c r="O360" s="53"/>
      <c r="P360" s="53"/>
      <c r="Q360" s="39">
        <f t="shared" si="36"/>
        <v>7435</v>
      </c>
    </row>
    <row r="361" spans="1:17" ht="12.75">
      <c r="A361" s="35"/>
      <c r="B361" s="35"/>
      <c r="C361" s="32">
        <v>4280</v>
      </c>
      <c r="D361" s="33" t="s">
        <v>36</v>
      </c>
      <c r="E361" s="49">
        <v>200</v>
      </c>
      <c r="F361" s="49">
        <v>200</v>
      </c>
      <c r="G361" s="53">
        <v>200</v>
      </c>
      <c r="H361" s="53">
        <v>200</v>
      </c>
      <c r="I361" s="53"/>
      <c r="J361" s="53">
        <v>200</v>
      </c>
      <c r="K361" s="53">
        <v>200</v>
      </c>
      <c r="L361" s="53">
        <v>200</v>
      </c>
      <c r="M361" s="53">
        <v>200</v>
      </c>
      <c r="N361" s="53">
        <v>400</v>
      </c>
      <c r="O361" s="53"/>
      <c r="P361" s="53"/>
      <c r="Q361" s="39">
        <f t="shared" si="36"/>
        <v>400</v>
      </c>
    </row>
    <row r="362" spans="1:17" ht="12.75">
      <c r="A362" s="35"/>
      <c r="B362" s="35"/>
      <c r="C362" s="32">
        <v>4300</v>
      </c>
      <c r="D362" s="33" t="s">
        <v>16</v>
      </c>
      <c r="E362" s="49">
        <v>7400</v>
      </c>
      <c r="F362" s="49">
        <v>9400</v>
      </c>
      <c r="G362" s="53">
        <v>10470</v>
      </c>
      <c r="H362" s="53">
        <v>10194</v>
      </c>
      <c r="I362" s="53"/>
      <c r="J362" s="53">
        <v>7600</v>
      </c>
      <c r="K362" s="53">
        <v>11800</v>
      </c>
      <c r="L362" s="53">
        <v>11800</v>
      </c>
      <c r="M362" s="53">
        <v>13600</v>
      </c>
      <c r="N362" s="53">
        <v>13533</v>
      </c>
      <c r="O362" s="53"/>
      <c r="P362" s="53"/>
      <c r="Q362" s="39">
        <f t="shared" si="36"/>
        <v>13533</v>
      </c>
    </row>
    <row r="363" spans="1:17" ht="38.25">
      <c r="A363" s="35"/>
      <c r="B363" s="35"/>
      <c r="C363" s="32">
        <v>4360</v>
      </c>
      <c r="D363" s="33" t="s">
        <v>99</v>
      </c>
      <c r="E363" s="95">
        <v>300</v>
      </c>
      <c r="F363" s="95">
        <v>300</v>
      </c>
      <c r="G363" s="53">
        <v>480</v>
      </c>
      <c r="H363" s="53">
        <v>480</v>
      </c>
      <c r="I363" s="53"/>
      <c r="J363" s="53">
        <v>480</v>
      </c>
      <c r="K363" s="53">
        <v>480</v>
      </c>
      <c r="L363" s="53">
        <v>480</v>
      </c>
      <c r="M363" s="53">
        <v>600</v>
      </c>
      <c r="N363" s="53">
        <v>500</v>
      </c>
      <c r="O363" s="53"/>
      <c r="P363" s="53"/>
      <c r="Q363" s="39">
        <f t="shared" si="36"/>
        <v>500</v>
      </c>
    </row>
    <row r="364" spans="1:17" ht="38.25">
      <c r="A364" s="35"/>
      <c r="B364" s="35"/>
      <c r="C364" s="32">
        <v>4370</v>
      </c>
      <c r="D364" s="33" t="s">
        <v>101</v>
      </c>
      <c r="E364" s="95">
        <v>1700</v>
      </c>
      <c r="F364" s="95">
        <v>1700</v>
      </c>
      <c r="G364" s="53">
        <v>2160</v>
      </c>
      <c r="H364" s="53">
        <v>1750</v>
      </c>
      <c r="I364" s="53"/>
      <c r="J364" s="53">
        <v>1750</v>
      </c>
      <c r="K364" s="53">
        <v>1750</v>
      </c>
      <c r="L364" s="53">
        <v>1750</v>
      </c>
      <c r="M364" s="53">
        <v>1800</v>
      </c>
      <c r="N364" s="53">
        <v>1600</v>
      </c>
      <c r="O364" s="53"/>
      <c r="P364" s="53"/>
      <c r="Q364" s="39">
        <f t="shared" si="36"/>
        <v>1600</v>
      </c>
    </row>
    <row r="365" spans="1:17" ht="12.75">
      <c r="A365" s="35"/>
      <c r="B365" s="35"/>
      <c r="C365" s="32">
        <v>4410</v>
      </c>
      <c r="D365" s="33" t="s">
        <v>41</v>
      </c>
      <c r="E365" s="49">
        <v>300</v>
      </c>
      <c r="F365" s="49">
        <v>300</v>
      </c>
      <c r="G365" s="53">
        <v>300</v>
      </c>
      <c r="H365" s="53">
        <v>300</v>
      </c>
      <c r="I365" s="53"/>
      <c r="J365" s="53">
        <v>300</v>
      </c>
      <c r="K365" s="53">
        <v>0</v>
      </c>
      <c r="L365" s="53">
        <v>0</v>
      </c>
      <c r="M365" s="53">
        <v>300</v>
      </c>
      <c r="N365" s="53">
        <v>0</v>
      </c>
      <c r="O365" s="53"/>
      <c r="P365" s="53"/>
      <c r="Q365" s="39">
        <f t="shared" si="36"/>
        <v>0</v>
      </c>
    </row>
    <row r="366" spans="1:17" ht="12.75">
      <c r="A366" s="35"/>
      <c r="B366" s="35"/>
      <c r="C366" s="32">
        <v>4430</v>
      </c>
      <c r="D366" s="33" t="s">
        <v>42</v>
      </c>
      <c r="E366" s="49">
        <v>5300</v>
      </c>
      <c r="F366" s="49">
        <v>5300</v>
      </c>
      <c r="G366" s="53">
        <v>5600</v>
      </c>
      <c r="H366" s="53">
        <v>5400</v>
      </c>
      <c r="I366" s="53"/>
      <c r="J366" s="53">
        <v>5400</v>
      </c>
      <c r="K366" s="53">
        <v>5400</v>
      </c>
      <c r="L366" s="53">
        <v>5400</v>
      </c>
      <c r="M366" s="53">
        <v>5700</v>
      </c>
      <c r="N366" s="53">
        <v>3886</v>
      </c>
      <c r="O366" s="53"/>
      <c r="P366" s="53"/>
      <c r="Q366" s="39">
        <f t="shared" si="36"/>
        <v>3886</v>
      </c>
    </row>
    <row r="367" spans="1:17" ht="25.5">
      <c r="A367" s="35"/>
      <c r="B367" s="35"/>
      <c r="C367" s="32">
        <v>4440</v>
      </c>
      <c r="D367" s="33" t="s">
        <v>43</v>
      </c>
      <c r="E367" s="49">
        <v>7000</v>
      </c>
      <c r="F367" s="49">
        <v>7241</v>
      </c>
      <c r="G367" s="53">
        <v>7380</v>
      </c>
      <c r="H367" s="53">
        <v>7470</v>
      </c>
      <c r="I367" s="53"/>
      <c r="J367" s="53">
        <v>7470</v>
      </c>
      <c r="K367" s="53">
        <v>7470</v>
      </c>
      <c r="L367" s="53">
        <v>7470</v>
      </c>
      <c r="M367" s="53">
        <v>8400</v>
      </c>
      <c r="N367" s="53">
        <v>9001</v>
      </c>
      <c r="O367" s="53"/>
      <c r="P367" s="53"/>
      <c r="Q367" s="39">
        <f t="shared" si="36"/>
        <v>9001</v>
      </c>
    </row>
    <row r="368" spans="1:17" ht="12.75">
      <c r="A368" s="35"/>
      <c r="B368" s="35"/>
      <c r="C368" s="32">
        <v>4480</v>
      </c>
      <c r="D368" s="33" t="s">
        <v>55</v>
      </c>
      <c r="E368" s="49">
        <v>1000</v>
      </c>
      <c r="F368" s="49">
        <v>3927</v>
      </c>
      <c r="G368" s="53">
        <v>4000</v>
      </c>
      <c r="H368" s="53">
        <v>4000</v>
      </c>
      <c r="I368" s="53"/>
      <c r="J368" s="53">
        <v>4000</v>
      </c>
      <c r="K368" s="53">
        <v>600</v>
      </c>
      <c r="L368" s="53">
        <v>600</v>
      </c>
      <c r="M368" s="53">
        <v>2100</v>
      </c>
      <c r="N368" s="53">
        <v>600</v>
      </c>
      <c r="O368" s="53"/>
      <c r="P368" s="53"/>
      <c r="Q368" s="39">
        <f t="shared" si="36"/>
        <v>600</v>
      </c>
    </row>
    <row r="369" spans="1:17" ht="12.75">
      <c r="A369" s="35"/>
      <c r="B369" s="35"/>
      <c r="C369" s="32">
        <v>4520</v>
      </c>
      <c r="D369" s="33" t="s">
        <v>136</v>
      </c>
      <c r="E369" s="87"/>
      <c r="F369" s="87"/>
      <c r="G369" s="53">
        <v>1000</v>
      </c>
      <c r="H369" s="53">
        <v>1000</v>
      </c>
      <c r="I369" s="53"/>
      <c r="J369" s="53"/>
      <c r="K369" s="53"/>
      <c r="L369" s="53">
        <v>0</v>
      </c>
      <c r="M369" s="53">
        <v>0</v>
      </c>
      <c r="N369" s="53">
        <v>0</v>
      </c>
      <c r="O369" s="53"/>
      <c r="P369" s="53"/>
      <c r="Q369" s="39">
        <f t="shared" si="36"/>
        <v>0</v>
      </c>
    </row>
    <row r="370" spans="1:17" ht="38.25">
      <c r="A370" s="35"/>
      <c r="B370" s="35"/>
      <c r="C370" s="32">
        <v>4700</v>
      </c>
      <c r="D370" s="33" t="s">
        <v>45</v>
      </c>
      <c r="E370" s="95">
        <v>1000</v>
      </c>
      <c r="F370" s="95">
        <v>1000</v>
      </c>
      <c r="G370" s="53"/>
      <c r="H370" s="53"/>
      <c r="I370" s="53"/>
      <c r="J370" s="53">
        <v>100</v>
      </c>
      <c r="K370" s="53">
        <v>1000</v>
      </c>
      <c r="L370" s="53">
        <v>1000</v>
      </c>
      <c r="M370" s="53">
        <v>3000</v>
      </c>
      <c r="N370" s="53">
        <v>0</v>
      </c>
      <c r="O370" s="53"/>
      <c r="P370" s="53"/>
      <c r="Q370" s="39">
        <f t="shared" si="36"/>
        <v>0</v>
      </c>
    </row>
    <row r="371" spans="1:17" ht="38.25">
      <c r="A371" s="35"/>
      <c r="B371" s="35"/>
      <c r="C371" s="32">
        <v>4740</v>
      </c>
      <c r="D371" s="33" t="s">
        <v>63</v>
      </c>
      <c r="E371" s="95">
        <v>300</v>
      </c>
      <c r="F371" s="95">
        <v>300</v>
      </c>
      <c r="G371" s="53">
        <v>300</v>
      </c>
      <c r="H371" s="53">
        <v>300</v>
      </c>
      <c r="I371" s="53"/>
      <c r="J371" s="53">
        <v>300</v>
      </c>
      <c r="K371" s="53">
        <v>300</v>
      </c>
      <c r="L371" s="53">
        <v>300</v>
      </c>
      <c r="M371" s="53">
        <v>500</v>
      </c>
      <c r="N371" s="53">
        <v>800</v>
      </c>
      <c r="O371" s="53"/>
      <c r="P371" s="53"/>
      <c r="Q371" s="39">
        <f t="shared" si="36"/>
        <v>800</v>
      </c>
    </row>
    <row r="372" spans="1:17" ht="38.25">
      <c r="A372" s="35"/>
      <c r="B372" s="35"/>
      <c r="C372" s="32">
        <v>4750</v>
      </c>
      <c r="D372" s="33" t="s">
        <v>92</v>
      </c>
      <c r="E372" s="95"/>
      <c r="F372" s="95">
        <v>500</v>
      </c>
      <c r="G372" s="53">
        <v>300</v>
      </c>
      <c r="H372" s="53">
        <v>300</v>
      </c>
      <c r="I372" s="53"/>
      <c r="J372" s="53">
        <v>300</v>
      </c>
      <c r="K372" s="53">
        <v>300</v>
      </c>
      <c r="L372" s="53">
        <v>300</v>
      </c>
      <c r="M372" s="53">
        <v>500</v>
      </c>
      <c r="N372" s="53">
        <v>1500</v>
      </c>
      <c r="O372" s="53"/>
      <c r="P372" s="53"/>
      <c r="Q372" s="39">
        <f t="shared" si="36"/>
        <v>1500</v>
      </c>
    </row>
    <row r="373" spans="1:17" ht="12.75">
      <c r="A373" s="35"/>
      <c r="B373" s="35"/>
      <c r="C373" s="67"/>
      <c r="D373" s="50" t="s">
        <v>139</v>
      </c>
      <c r="E373" s="43">
        <f>SUM(E374:E394)</f>
        <v>303150</v>
      </c>
      <c r="F373" s="43">
        <f>SUM(F374:F394)</f>
        <v>337364</v>
      </c>
      <c r="G373" s="43">
        <f>SUM(G374:G394)</f>
        <v>310120</v>
      </c>
      <c r="H373" s="43">
        <f>SUM(H374:H394)</f>
        <v>310120</v>
      </c>
      <c r="I373" s="43"/>
      <c r="J373" s="43">
        <f aca="true" t="shared" si="39" ref="J373:P373">SUM(J374:J394)</f>
        <v>321620</v>
      </c>
      <c r="K373" s="43">
        <f t="shared" si="39"/>
        <v>351420</v>
      </c>
      <c r="L373" s="43">
        <f t="shared" si="39"/>
        <v>351420</v>
      </c>
      <c r="M373" s="43">
        <f t="shared" si="39"/>
        <v>385510</v>
      </c>
      <c r="N373" s="43">
        <v>408686</v>
      </c>
      <c r="O373" s="43">
        <f t="shared" si="39"/>
        <v>3447</v>
      </c>
      <c r="P373" s="43">
        <f t="shared" si="39"/>
        <v>3447</v>
      </c>
      <c r="Q373" s="39">
        <f t="shared" si="36"/>
        <v>408686</v>
      </c>
    </row>
    <row r="374" spans="1:17" ht="25.5">
      <c r="A374" s="35"/>
      <c r="B374" s="35"/>
      <c r="C374" s="32">
        <v>3020</v>
      </c>
      <c r="D374" s="33" t="s">
        <v>124</v>
      </c>
      <c r="E374" s="87">
        <v>500</v>
      </c>
      <c r="F374" s="87">
        <v>500</v>
      </c>
      <c r="G374" s="53">
        <v>400</v>
      </c>
      <c r="H374" s="53">
        <v>400</v>
      </c>
      <c r="I374" s="53"/>
      <c r="J374" s="53">
        <v>400</v>
      </c>
      <c r="K374" s="53">
        <v>600</v>
      </c>
      <c r="L374" s="53">
        <v>600</v>
      </c>
      <c r="M374" s="53">
        <v>400</v>
      </c>
      <c r="N374" s="53">
        <v>600</v>
      </c>
      <c r="O374" s="53"/>
      <c r="P374" s="53">
        <v>467</v>
      </c>
      <c r="Q374" s="39">
        <f t="shared" si="36"/>
        <v>133</v>
      </c>
    </row>
    <row r="375" spans="1:17" ht="25.5">
      <c r="A375" s="35"/>
      <c r="B375" s="35"/>
      <c r="C375" s="32">
        <v>4010</v>
      </c>
      <c r="D375" s="33" t="s">
        <v>28</v>
      </c>
      <c r="E375" s="87">
        <v>145800</v>
      </c>
      <c r="F375" s="87">
        <v>153090</v>
      </c>
      <c r="G375" s="53">
        <v>172320</v>
      </c>
      <c r="H375" s="53">
        <v>172320</v>
      </c>
      <c r="I375" s="53"/>
      <c r="J375" s="53">
        <v>172320</v>
      </c>
      <c r="K375" s="53">
        <v>164320</v>
      </c>
      <c r="L375" s="53">
        <v>164320</v>
      </c>
      <c r="M375" s="53">
        <v>187460</v>
      </c>
      <c r="N375" s="53">
        <v>193890</v>
      </c>
      <c r="O375" s="53"/>
      <c r="P375" s="53"/>
      <c r="Q375" s="39">
        <f t="shared" si="36"/>
        <v>193890</v>
      </c>
    </row>
    <row r="376" spans="1:17" ht="12.75">
      <c r="A376" s="35"/>
      <c r="B376" s="35"/>
      <c r="C376" s="32">
        <v>4040</v>
      </c>
      <c r="D376" s="33" t="s">
        <v>29</v>
      </c>
      <c r="E376" s="87">
        <v>3900</v>
      </c>
      <c r="F376" s="87">
        <v>3900</v>
      </c>
      <c r="G376" s="53">
        <v>13200</v>
      </c>
      <c r="H376" s="53">
        <v>13200</v>
      </c>
      <c r="I376" s="53"/>
      <c r="J376" s="53">
        <v>13200</v>
      </c>
      <c r="K376" s="53">
        <v>12667</v>
      </c>
      <c r="L376" s="53">
        <v>12667</v>
      </c>
      <c r="M376" s="53">
        <v>13750</v>
      </c>
      <c r="N376" s="53">
        <v>12843</v>
      </c>
      <c r="O376" s="53"/>
      <c r="P376" s="53"/>
      <c r="Q376" s="39">
        <f t="shared" si="36"/>
        <v>12843</v>
      </c>
    </row>
    <row r="377" spans="1:17" ht="25.5">
      <c r="A377" s="35"/>
      <c r="B377" s="35"/>
      <c r="C377" s="32">
        <v>4110</v>
      </c>
      <c r="D377" s="33" t="s">
        <v>30</v>
      </c>
      <c r="E377" s="87">
        <v>25000</v>
      </c>
      <c r="F377" s="87">
        <v>26290</v>
      </c>
      <c r="G377" s="53">
        <v>30650</v>
      </c>
      <c r="H377" s="53">
        <v>30650</v>
      </c>
      <c r="I377" s="53"/>
      <c r="J377" s="53">
        <v>30650</v>
      </c>
      <c r="K377" s="53">
        <v>30650</v>
      </c>
      <c r="L377" s="53">
        <v>30650</v>
      </c>
      <c r="M377" s="53">
        <v>31950</v>
      </c>
      <c r="N377" s="53">
        <v>33330</v>
      </c>
      <c r="O377" s="53"/>
      <c r="P377" s="53"/>
      <c r="Q377" s="39">
        <f t="shared" si="36"/>
        <v>33330</v>
      </c>
    </row>
    <row r="378" spans="1:17" ht="12.75">
      <c r="A378" s="35"/>
      <c r="B378" s="35"/>
      <c r="C378" s="32">
        <v>4120</v>
      </c>
      <c r="D378" s="33" t="s">
        <v>31</v>
      </c>
      <c r="E378" s="87">
        <v>3700</v>
      </c>
      <c r="F378" s="87">
        <v>3880</v>
      </c>
      <c r="G378" s="53">
        <v>4200</v>
      </c>
      <c r="H378" s="53">
        <v>4200</v>
      </c>
      <c r="I378" s="53"/>
      <c r="J378" s="53">
        <v>4200</v>
      </c>
      <c r="K378" s="53">
        <v>4200</v>
      </c>
      <c r="L378" s="53">
        <v>4200</v>
      </c>
      <c r="M378" s="53">
        <v>4930</v>
      </c>
      <c r="N378" s="53">
        <v>5138</v>
      </c>
      <c r="O378" s="53"/>
      <c r="P378" s="53"/>
      <c r="Q378" s="39">
        <f t="shared" si="36"/>
        <v>5138</v>
      </c>
    </row>
    <row r="379" spans="1:17" ht="12.75">
      <c r="A379" s="35"/>
      <c r="B379" s="35"/>
      <c r="C379" s="32">
        <v>4170</v>
      </c>
      <c r="D379" s="33" t="s">
        <v>102</v>
      </c>
      <c r="E379" s="87"/>
      <c r="F379" s="87"/>
      <c r="G379" s="53"/>
      <c r="H379" s="53"/>
      <c r="I379" s="53"/>
      <c r="J379" s="53">
        <v>0</v>
      </c>
      <c r="K379" s="53">
        <v>8000</v>
      </c>
      <c r="L379" s="53">
        <v>8000</v>
      </c>
      <c r="M379" s="53">
        <v>0</v>
      </c>
      <c r="N379" s="53">
        <v>0</v>
      </c>
      <c r="O379" s="53"/>
      <c r="P379" s="53"/>
      <c r="Q379" s="39">
        <f t="shared" si="36"/>
        <v>0</v>
      </c>
    </row>
    <row r="380" spans="1:17" ht="12.75">
      <c r="A380" s="35"/>
      <c r="B380" s="35"/>
      <c r="C380" s="32">
        <v>4210</v>
      </c>
      <c r="D380" s="33" t="s">
        <v>33</v>
      </c>
      <c r="E380" s="87">
        <v>65850</v>
      </c>
      <c r="F380" s="87">
        <v>68533</v>
      </c>
      <c r="G380" s="53">
        <v>33600</v>
      </c>
      <c r="H380" s="53">
        <v>33600</v>
      </c>
      <c r="I380" s="53"/>
      <c r="J380" s="53">
        <v>53200</v>
      </c>
      <c r="K380" s="53">
        <v>49173</v>
      </c>
      <c r="L380" s="53">
        <v>49173</v>
      </c>
      <c r="M380" s="53">
        <v>67900</v>
      </c>
      <c r="N380" s="53">
        <v>98248</v>
      </c>
      <c r="O380" s="53">
        <v>3150</v>
      </c>
      <c r="P380" s="53"/>
      <c r="Q380" s="39">
        <f t="shared" si="36"/>
        <v>101398</v>
      </c>
    </row>
    <row r="381" spans="1:17" ht="12.75">
      <c r="A381" s="35"/>
      <c r="B381" s="35"/>
      <c r="C381" s="32">
        <v>4220</v>
      </c>
      <c r="D381" s="33" t="s">
        <v>117</v>
      </c>
      <c r="E381" s="87">
        <v>24000</v>
      </c>
      <c r="F381" s="87">
        <v>24000</v>
      </c>
      <c r="G381" s="53">
        <v>16500</v>
      </c>
      <c r="H381" s="53">
        <v>16500</v>
      </c>
      <c r="I381" s="53"/>
      <c r="J381" s="53">
        <v>16500</v>
      </c>
      <c r="K381" s="53">
        <v>2750</v>
      </c>
      <c r="L381" s="53">
        <v>2750</v>
      </c>
      <c r="M381" s="53">
        <v>0</v>
      </c>
      <c r="N381" s="53">
        <v>0</v>
      </c>
      <c r="O381" s="53"/>
      <c r="P381" s="53"/>
      <c r="Q381" s="39">
        <f t="shared" si="36"/>
        <v>0</v>
      </c>
    </row>
    <row r="382" spans="1:17" ht="12.75">
      <c r="A382" s="35"/>
      <c r="B382" s="35"/>
      <c r="C382" s="32">
        <v>4260</v>
      </c>
      <c r="D382" s="33" t="s">
        <v>34</v>
      </c>
      <c r="E382" s="87">
        <v>9000</v>
      </c>
      <c r="F382" s="87">
        <v>9000</v>
      </c>
      <c r="G382" s="53">
        <v>6100</v>
      </c>
      <c r="H382" s="53">
        <v>6100</v>
      </c>
      <c r="I382" s="53"/>
      <c r="J382" s="53">
        <v>6100</v>
      </c>
      <c r="K382" s="53">
        <v>6100</v>
      </c>
      <c r="L382" s="53">
        <v>6100</v>
      </c>
      <c r="M382" s="53">
        <v>6750</v>
      </c>
      <c r="N382" s="53">
        <v>6300</v>
      </c>
      <c r="O382" s="53"/>
      <c r="P382" s="53">
        <v>1300</v>
      </c>
      <c r="Q382" s="39">
        <f t="shared" si="36"/>
        <v>5000</v>
      </c>
    </row>
    <row r="383" spans="1:17" ht="12.75">
      <c r="A383" s="35"/>
      <c r="B383" s="35"/>
      <c r="C383" s="32">
        <v>4270</v>
      </c>
      <c r="D383" s="33" t="s">
        <v>35</v>
      </c>
      <c r="E383" s="87">
        <v>4000</v>
      </c>
      <c r="F383" s="87">
        <v>9000</v>
      </c>
      <c r="G383" s="53">
        <v>2000</v>
      </c>
      <c r="H383" s="53">
        <v>2000</v>
      </c>
      <c r="I383" s="53"/>
      <c r="J383" s="53">
        <v>2000</v>
      </c>
      <c r="K383" s="53">
        <v>25000</v>
      </c>
      <c r="L383" s="53">
        <v>25000</v>
      </c>
      <c r="M383" s="53">
        <v>3000</v>
      </c>
      <c r="N383" s="53">
        <v>7150</v>
      </c>
      <c r="O383" s="53">
        <v>297</v>
      </c>
      <c r="P383" s="53"/>
      <c r="Q383" s="39">
        <f t="shared" si="36"/>
        <v>7447</v>
      </c>
    </row>
    <row r="384" spans="1:17" ht="12.75">
      <c r="A384" s="35"/>
      <c r="B384" s="35"/>
      <c r="C384" s="32">
        <v>4280</v>
      </c>
      <c r="D384" s="33" t="s">
        <v>140</v>
      </c>
      <c r="E384" s="87">
        <v>1000</v>
      </c>
      <c r="F384" s="87">
        <v>1000</v>
      </c>
      <c r="G384" s="53">
        <v>1000</v>
      </c>
      <c r="H384" s="53">
        <v>1000</v>
      </c>
      <c r="I384" s="53"/>
      <c r="J384" s="53">
        <v>1000</v>
      </c>
      <c r="K384" s="53">
        <v>1000</v>
      </c>
      <c r="L384" s="53">
        <v>1000</v>
      </c>
      <c r="M384" s="53">
        <v>1000</v>
      </c>
      <c r="N384" s="53">
        <v>1000</v>
      </c>
      <c r="O384" s="53"/>
      <c r="P384" s="53">
        <v>583</v>
      </c>
      <c r="Q384" s="39">
        <f t="shared" si="36"/>
        <v>417</v>
      </c>
    </row>
    <row r="385" spans="1:17" ht="12.75">
      <c r="A385" s="35"/>
      <c r="B385" s="35"/>
      <c r="C385" s="32">
        <v>4300</v>
      </c>
      <c r="D385" s="33" t="s">
        <v>16</v>
      </c>
      <c r="E385" s="87">
        <v>8700</v>
      </c>
      <c r="F385" s="87">
        <v>8700</v>
      </c>
      <c r="G385" s="53">
        <v>15000</v>
      </c>
      <c r="H385" s="53">
        <v>15000</v>
      </c>
      <c r="I385" s="53"/>
      <c r="J385" s="53">
        <v>8900</v>
      </c>
      <c r="K385" s="53">
        <v>34200</v>
      </c>
      <c r="L385" s="53">
        <v>34200</v>
      </c>
      <c r="M385" s="53">
        <v>52200</v>
      </c>
      <c r="N385" s="53">
        <v>32672</v>
      </c>
      <c r="O385" s="53"/>
      <c r="P385" s="53"/>
      <c r="Q385" s="39">
        <f t="shared" si="36"/>
        <v>32672</v>
      </c>
    </row>
    <row r="386" spans="1:17" ht="38.25">
      <c r="A386" s="35"/>
      <c r="B386" s="35"/>
      <c r="C386" s="32">
        <v>4370</v>
      </c>
      <c r="D386" s="33" t="s">
        <v>101</v>
      </c>
      <c r="E386" s="87">
        <v>2500</v>
      </c>
      <c r="F386" s="87">
        <v>2500</v>
      </c>
      <c r="G386" s="53">
        <v>2300</v>
      </c>
      <c r="H386" s="53">
        <v>2300</v>
      </c>
      <c r="I386" s="53"/>
      <c r="J386" s="53">
        <v>2300</v>
      </c>
      <c r="K386" s="53">
        <v>1000</v>
      </c>
      <c r="L386" s="53">
        <v>1000</v>
      </c>
      <c r="M386" s="53">
        <v>2300</v>
      </c>
      <c r="N386" s="53">
        <v>1400</v>
      </c>
      <c r="O386" s="53"/>
      <c r="P386" s="53"/>
      <c r="Q386" s="39">
        <f t="shared" si="36"/>
        <v>1400</v>
      </c>
    </row>
    <row r="387" spans="1:17" ht="12.75">
      <c r="A387" s="35"/>
      <c r="B387" s="35"/>
      <c r="C387" s="32">
        <v>4410</v>
      </c>
      <c r="D387" s="33" t="s">
        <v>41</v>
      </c>
      <c r="E387" s="49">
        <v>300</v>
      </c>
      <c r="F387" s="49">
        <v>300</v>
      </c>
      <c r="G387" s="53">
        <v>300</v>
      </c>
      <c r="H387" s="53">
        <v>300</v>
      </c>
      <c r="I387" s="53"/>
      <c r="J387" s="53">
        <v>0</v>
      </c>
      <c r="K387" s="53">
        <v>300</v>
      </c>
      <c r="L387" s="107">
        <v>300</v>
      </c>
      <c r="M387" s="53">
        <v>400</v>
      </c>
      <c r="N387" s="53">
        <v>400</v>
      </c>
      <c r="O387" s="53"/>
      <c r="P387" s="53">
        <v>284</v>
      </c>
      <c r="Q387" s="39">
        <f t="shared" si="36"/>
        <v>116</v>
      </c>
    </row>
    <row r="388" spans="1:17" ht="12.75">
      <c r="A388" s="35"/>
      <c r="B388" s="35"/>
      <c r="C388" s="32">
        <v>4430</v>
      </c>
      <c r="D388" s="33" t="s">
        <v>42</v>
      </c>
      <c r="E388" s="87">
        <v>1000</v>
      </c>
      <c r="F388" s="87">
        <v>3000</v>
      </c>
      <c r="G388" s="53">
        <v>3000</v>
      </c>
      <c r="H388" s="53">
        <v>3000</v>
      </c>
      <c r="I388" s="53"/>
      <c r="J388" s="53">
        <v>3000</v>
      </c>
      <c r="K388" s="53">
        <v>2000</v>
      </c>
      <c r="L388" s="53">
        <v>2000</v>
      </c>
      <c r="M388" s="53">
        <v>3000</v>
      </c>
      <c r="N388" s="53">
        <v>5185</v>
      </c>
      <c r="O388" s="53"/>
      <c r="P388" s="53"/>
      <c r="Q388" s="39">
        <f t="shared" si="36"/>
        <v>5185</v>
      </c>
    </row>
    <row r="389" spans="1:17" ht="25.5">
      <c r="A389" s="35"/>
      <c r="B389" s="35"/>
      <c r="C389" s="32">
        <v>4440</v>
      </c>
      <c r="D389" s="33" t="s">
        <v>43</v>
      </c>
      <c r="E389" s="87">
        <v>6300</v>
      </c>
      <c r="F389" s="87">
        <v>6736</v>
      </c>
      <c r="G389" s="53">
        <v>6450</v>
      </c>
      <c r="H389" s="53">
        <v>6450</v>
      </c>
      <c r="I389" s="53"/>
      <c r="J389" s="53">
        <v>6450</v>
      </c>
      <c r="K389" s="53">
        <v>6450</v>
      </c>
      <c r="L389" s="53">
        <v>6450</v>
      </c>
      <c r="M389" s="53">
        <v>7460</v>
      </c>
      <c r="N389" s="53">
        <v>7520</v>
      </c>
      <c r="O389" s="53"/>
      <c r="P389" s="53"/>
      <c r="Q389" s="39">
        <f t="shared" si="36"/>
        <v>7520</v>
      </c>
    </row>
    <row r="390" spans="1:17" ht="12.75">
      <c r="A390" s="35"/>
      <c r="B390" s="35"/>
      <c r="C390" s="32">
        <v>4480</v>
      </c>
      <c r="D390" s="33" t="s">
        <v>55</v>
      </c>
      <c r="E390" s="87">
        <v>600</v>
      </c>
      <c r="F390" s="87">
        <v>600</v>
      </c>
      <c r="G390" s="53">
        <v>600</v>
      </c>
      <c r="H390" s="53">
        <v>600</v>
      </c>
      <c r="I390" s="53"/>
      <c r="J390" s="53">
        <v>600</v>
      </c>
      <c r="K390" s="53">
        <v>600</v>
      </c>
      <c r="L390" s="53">
        <v>600</v>
      </c>
      <c r="M390" s="53">
        <v>600</v>
      </c>
      <c r="N390" s="53">
        <v>600</v>
      </c>
      <c r="O390" s="53"/>
      <c r="P390" s="53"/>
      <c r="Q390" s="39">
        <f aca="true" t="shared" si="40" ref="Q390:Q429">N390+O390-P390</f>
        <v>600</v>
      </c>
    </row>
    <row r="391" spans="1:17" ht="12.75">
      <c r="A391" s="35"/>
      <c r="B391" s="35"/>
      <c r="C391" s="32">
        <v>4520</v>
      </c>
      <c r="D391" s="33" t="s">
        <v>136</v>
      </c>
      <c r="E391" s="87"/>
      <c r="F391" s="87">
        <v>771</v>
      </c>
      <c r="G391" s="53">
        <v>800</v>
      </c>
      <c r="H391" s="53">
        <v>800</v>
      </c>
      <c r="I391" s="53"/>
      <c r="J391" s="53">
        <v>100</v>
      </c>
      <c r="K391" s="53">
        <v>710</v>
      </c>
      <c r="L391" s="53">
        <v>710</v>
      </c>
      <c r="M391" s="53">
        <v>710</v>
      </c>
      <c r="N391" s="53">
        <v>710</v>
      </c>
      <c r="O391" s="53"/>
      <c r="P391" s="53"/>
      <c r="Q391" s="39">
        <f t="shared" si="40"/>
        <v>710</v>
      </c>
    </row>
    <row r="392" spans="1:17" ht="38.25">
      <c r="A392" s="35"/>
      <c r="B392" s="35"/>
      <c r="C392" s="32">
        <v>4700</v>
      </c>
      <c r="D392" s="33" t="s">
        <v>45</v>
      </c>
      <c r="E392" s="87">
        <v>500</v>
      </c>
      <c r="F392" s="87">
        <v>3064</v>
      </c>
      <c r="G392" s="53">
        <v>1000</v>
      </c>
      <c r="H392" s="53">
        <v>1000</v>
      </c>
      <c r="I392" s="53"/>
      <c r="J392" s="53">
        <v>0</v>
      </c>
      <c r="K392" s="53">
        <v>1000</v>
      </c>
      <c r="L392" s="53">
        <v>1000</v>
      </c>
      <c r="M392" s="53">
        <v>1000</v>
      </c>
      <c r="N392" s="53">
        <v>1000</v>
      </c>
      <c r="O392" s="53"/>
      <c r="P392" s="53">
        <v>405</v>
      </c>
      <c r="Q392" s="39">
        <f t="shared" si="40"/>
        <v>595</v>
      </c>
    </row>
    <row r="393" spans="1:17" ht="38.25">
      <c r="A393" s="35"/>
      <c r="B393" s="35"/>
      <c r="C393" s="32">
        <v>4740</v>
      </c>
      <c r="D393" s="33" t="s">
        <v>63</v>
      </c>
      <c r="E393" s="87">
        <v>500</v>
      </c>
      <c r="F393" s="87">
        <v>500</v>
      </c>
      <c r="G393" s="53">
        <v>700</v>
      </c>
      <c r="H393" s="53">
        <v>700</v>
      </c>
      <c r="I393" s="53"/>
      <c r="J393" s="53">
        <v>700</v>
      </c>
      <c r="K393" s="53">
        <v>700</v>
      </c>
      <c r="L393" s="53">
        <v>700</v>
      </c>
      <c r="M393" s="53">
        <v>700</v>
      </c>
      <c r="N393" s="53">
        <v>700</v>
      </c>
      <c r="O393" s="53"/>
      <c r="P393" s="53">
        <v>408</v>
      </c>
      <c r="Q393" s="39">
        <f t="shared" si="40"/>
        <v>292</v>
      </c>
    </row>
    <row r="394" spans="1:17" ht="25.5">
      <c r="A394" s="31"/>
      <c r="B394" s="31"/>
      <c r="C394" s="32">
        <v>6050</v>
      </c>
      <c r="D394" s="33" t="s">
        <v>130</v>
      </c>
      <c r="E394" s="95"/>
      <c r="F394" s="95">
        <v>12000</v>
      </c>
      <c r="G394" s="64"/>
      <c r="H394" s="102"/>
      <c r="I394" s="102"/>
      <c r="J394" s="102">
        <v>0</v>
      </c>
      <c r="K394" s="102"/>
      <c r="L394" s="102">
        <v>0</v>
      </c>
      <c r="M394" s="102">
        <v>0</v>
      </c>
      <c r="N394" s="102">
        <v>0</v>
      </c>
      <c r="O394" s="102"/>
      <c r="P394" s="102">
        <v>0</v>
      </c>
      <c r="Q394" s="39">
        <f t="shared" si="40"/>
        <v>0</v>
      </c>
    </row>
    <row r="395" spans="1:17" ht="12.75">
      <c r="A395" s="40"/>
      <c r="B395" s="40">
        <v>85204</v>
      </c>
      <c r="C395" s="41"/>
      <c r="D395" s="50" t="s">
        <v>141</v>
      </c>
      <c r="E395" s="90">
        <f>SUM(E396:E401)</f>
        <v>1792374</v>
      </c>
      <c r="F395" s="90">
        <f>SUM(F396:F401)</f>
        <v>1797420</v>
      </c>
      <c r="G395" s="90">
        <f>SUM(G396:G401)</f>
        <v>2184384</v>
      </c>
      <c r="H395" s="90">
        <f>SUM(H396:H401)</f>
        <v>2184384</v>
      </c>
      <c r="I395" s="90"/>
      <c r="J395" s="90">
        <f aca="true" t="shared" si="41" ref="J395:P395">SUM(J396:J401)</f>
        <v>1848293</v>
      </c>
      <c r="K395" s="90">
        <f t="shared" si="41"/>
        <v>1903436</v>
      </c>
      <c r="L395" s="90">
        <f t="shared" si="41"/>
        <v>1765996</v>
      </c>
      <c r="M395" s="90">
        <f t="shared" si="41"/>
        <v>2329593</v>
      </c>
      <c r="N395" s="90">
        <v>2265029</v>
      </c>
      <c r="O395" s="90">
        <f t="shared" si="41"/>
        <v>0</v>
      </c>
      <c r="P395" s="90">
        <f t="shared" si="41"/>
        <v>173377</v>
      </c>
      <c r="Q395" s="39">
        <f t="shared" si="40"/>
        <v>2091652</v>
      </c>
    </row>
    <row r="396" spans="1:17" ht="76.5">
      <c r="A396" s="31"/>
      <c r="B396" s="31"/>
      <c r="C396" s="32">
        <v>2320</v>
      </c>
      <c r="D396" s="33" t="s">
        <v>115</v>
      </c>
      <c r="E396" s="108">
        <v>77186</v>
      </c>
      <c r="F396" s="108">
        <f>F409</f>
        <v>80232</v>
      </c>
      <c r="G396" s="109">
        <f>G409</f>
        <v>87440</v>
      </c>
      <c r="H396" s="109">
        <f>H409</f>
        <v>87440</v>
      </c>
      <c r="I396" s="109"/>
      <c r="J396" s="109">
        <v>87440</v>
      </c>
      <c r="K396" s="109">
        <v>137440</v>
      </c>
      <c r="L396" s="109"/>
      <c r="M396" s="109">
        <v>127266</v>
      </c>
      <c r="N396" s="53">
        <v>127300</v>
      </c>
      <c r="O396" s="53"/>
      <c r="P396" s="53">
        <f>33245</f>
        <v>33245</v>
      </c>
      <c r="Q396" s="39">
        <f t="shared" si="40"/>
        <v>94055</v>
      </c>
    </row>
    <row r="397" spans="1:17" ht="12.75">
      <c r="A397" s="31"/>
      <c r="B397" s="31"/>
      <c r="C397" s="32">
        <v>3110</v>
      </c>
      <c r="D397" s="33" t="s">
        <v>116</v>
      </c>
      <c r="E397" s="110">
        <f>E403</f>
        <v>1543660</v>
      </c>
      <c r="F397" s="110">
        <f>F403</f>
        <v>1543660</v>
      </c>
      <c r="G397" s="110">
        <f>G403</f>
        <v>1863811</v>
      </c>
      <c r="H397" s="110">
        <f>H403</f>
        <v>1863811</v>
      </c>
      <c r="I397" s="110"/>
      <c r="J397" s="110">
        <f>J403</f>
        <v>1579000</v>
      </c>
      <c r="K397" s="110">
        <f>K403</f>
        <v>1579000</v>
      </c>
      <c r="L397" s="110">
        <f aca="true" t="shared" si="42" ref="L397:M401">L403</f>
        <v>1579000</v>
      </c>
      <c r="M397" s="110">
        <f t="shared" si="42"/>
        <v>1945543</v>
      </c>
      <c r="N397" s="51">
        <v>1880949</v>
      </c>
      <c r="O397" s="51"/>
      <c r="P397" s="51">
        <f>P403</f>
        <v>74192</v>
      </c>
      <c r="Q397" s="39">
        <f t="shared" si="40"/>
        <v>1806757</v>
      </c>
    </row>
    <row r="398" spans="1:17" ht="12.75">
      <c r="A398" s="31"/>
      <c r="B398" s="31"/>
      <c r="C398" s="32">
        <v>4170</v>
      </c>
      <c r="D398" s="33" t="s">
        <v>32</v>
      </c>
      <c r="E398" s="108">
        <v>144464</v>
      </c>
      <c r="F398" s="108">
        <v>146464</v>
      </c>
      <c r="G398" s="110">
        <f>G404</f>
        <v>198338</v>
      </c>
      <c r="H398" s="110">
        <f>H404</f>
        <v>198338</v>
      </c>
      <c r="I398" s="110"/>
      <c r="J398" s="110">
        <v>156853</v>
      </c>
      <c r="K398" s="110">
        <f>K404</f>
        <v>160806</v>
      </c>
      <c r="L398" s="110">
        <f t="shared" si="42"/>
        <v>160806</v>
      </c>
      <c r="M398" s="110">
        <f t="shared" si="42"/>
        <v>220580</v>
      </c>
      <c r="N398" s="110">
        <v>220580</v>
      </c>
      <c r="O398" s="110"/>
      <c r="P398" s="110">
        <f>P404</f>
        <v>56840</v>
      </c>
      <c r="Q398" s="39">
        <f t="shared" si="40"/>
        <v>163740</v>
      </c>
    </row>
    <row r="399" spans="1:17" ht="25.5">
      <c r="A399" s="31"/>
      <c r="B399" s="31"/>
      <c r="C399" s="32">
        <v>4110</v>
      </c>
      <c r="D399" s="33" t="s">
        <v>88</v>
      </c>
      <c r="E399" s="108">
        <f>E405</f>
        <v>23523</v>
      </c>
      <c r="F399" s="108">
        <f aca="true" t="shared" si="43" ref="F399:H400">F405</f>
        <v>23523</v>
      </c>
      <c r="G399" s="110">
        <f t="shared" si="43"/>
        <v>27991</v>
      </c>
      <c r="H399" s="110">
        <f t="shared" si="43"/>
        <v>27991</v>
      </c>
      <c r="I399" s="110"/>
      <c r="J399" s="110">
        <v>21300</v>
      </c>
      <c r="K399" s="110">
        <f>K405</f>
        <v>22354</v>
      </c>
      <c r="L399" s="110">
        <f>L405</f>
        <v>22354</v>
      </c>
      <c r="M399" s="110">
        <f t="shared" si="42"/>
        <v>30901</v>
      </c>
      <c r="N399" s="110">
        <v>30900</v>
      </c>
      <c r="O399" s="110"/>
      <c r="P399" s="110">
        <f>P405</f>
        <v>7780</v>
      </c>
      <c r="Q399" s="39">
        <f t="shared" si="40"/>
        <v>23120</v>
      </c>
    </row>
    <row r="400" spans="1:17" ht="12.75">
      <c r="A400" s="31"/>
      <c r="B400" s="31"/>
      <c r="C400" s="32">
        <v>4120</v>
      </c>
      <c r="D400" s="33" t="s">
        <v>31</v>
      </c>
      <c r="E400" s="108">
        <f>E406</f>
        <v>3541</v>
      </c>
      <c r="F400" s="108">
        <f t="shared" si="43"/>
        <v>3541</v>
      </c>
      <c r="G400" s="110">
        <f t="shared" si="43"/>
        <v>4804</v>
      </c>
      <c r="H400" s="110">
        <f t="shared" si="43"/>
        <v>4804</v>
      </c>
      <c r="I400" s="110"/>
      <c r="J400" s="110">
        <v>3700</v>
      </c>
      <c r="K400" s="110">
        <f>K406</f>
        <v>3836</v>
      </c>
      <c r="L400" s="110">
        <f>L406</f>
        <v>3836</v>
      </c>
      <c r="M400" s="110">
        <f t="shared" si="42"/>
        <v>5303</v>
      </c>
      <c r="N400" s="110">
        <v>5300</v>
      </c>
      <c r="O400" s="110"/>
      <c r="P400" s="110">
        <f>P406</f>
        <v>1320</v>
      </c>
      <c r="Q400" s="39">
        <f t="shared" si="40"/>
        <v>3980</v>
      </c>
    </row>
    <row r="401" spans="1:17" ht="12.75">
      <c r="A401" s="31"/>
      <c r="B401" s="31"/>
      <c r="C401" s="32">
        <v>4300</v>
      </c>
      <c r="D401" s="33" t="s">
        <v>16</v>
      </c>
      <c r="E401" s="108">
        <f>E407</f>
        <v>0</v>
      </c>
      <c r="F401" s="108">
        <f>F407</f>
        <v>0</v>
      </c>
      <c r="G401" s="108">
        <f>G407</f>
        <v>2000</v>
      </c>
      <c r="H401" s="108">
        <f>H407</f>
        <v>2000</v>
      </c>
      <c r="I401" s="108"/>
      <c r="J401" s="108">
        <f>J407</f>
        <v>0</v>
      </c>
      <c r="K401" s="108">
        <f>K407</f>
        <v>0</v>
      </c>
      <c r="L401" s="108">
        <f>L407</f>
        <v>0</v>
      </c>
      <c r="M401" s="108">
        <f t="shared" si="42"/>
        <v>0</v>
      </c>
      <c r="N401" s="108">
        <v>0</v>
      </c>
      <c r="O401" s="108">
        <f>O407</f>
        <v>0</v>
      </c>
      <c r="P401" s="108">
        <f>P407</f>
        <v>0</v>
      </c>
      <c r="Q401" s="39">
        <f t="shared" si="40"/>
        <v>0</v>
      </c>
    </row>
    <row r="402" spans="1:17" ht="12.75">
      <c r="A402" s="40"/>
      <c r="B402" s="40"/>
      <c r="C402" s="41" t="s">
        <v>142</v>
      </c>
      <c r="D402" s="50" t="s">
        <v>143</v>
      </c>
      <c r="E402" s="111">
        <f>SUM(E403:E407)</f>
        <v>1715188</v>
      </c>
      <c r="F402" s="111">
        <f>SUM(F403:F407)</f>
        <v>1717188</v>
      </c>
      <c r="G402" s="111">
        <f>SUM(G403:G407)</f>
        <v>2096944</v>
      </c>
      <c r="H402" s="111">
        <f>SUM(H403:H407)</f>
        <v>2096944</v>
      </c>
      <c r="I402" s="111"/>
      <c r="J402" s="111">
        <f aca="true" t="shared" si="44" ref="J402:P402">SUM(J403:J407)</f>
        <v>1760853</v>
      </c>
      <c r="K402" s="111">
        <f t="shared" si="44"/>
        <v>1765996</v>
      </c>
      <c r="L402" s="111">
        <f t="shared" si="44"/>
        <v>1765996</v>
      </c>
      <c r="M402" s="111">
        <f t="shared" si="44"/>
        <v>2202327</v>
      </c>
      <c r="N402" s="111">
        <v>2137729</v>
      </c>
      <c r="O402" s="111">
        <f t="shared" si="44"/>
        <v>0</v>
      </c>
      <c r="P402" s="111">
        <f t="shared" si="44"/>
        <v>140132</v>
      </c>
      <c r="Q402" s="39">
        <f t="shared" si="40"/>
        <v>1997597</v>
      </c>
    </row>
    <row r="403" spans="1:17" ht="12.75">
      <c r="A403" s="31"/>
      <c r="B403" s="31"/>
      <c r="C403" s="32">
        <v>3110</v>
      </c>
      <c r="D403" s="33" t="s">
        <v>116</v>
      </c>
      <c r="E403" s="49">
        <f>1546300-2640</f>
        <v>1543660</v>
      </c>
      <c r="F403" s="49">
        <f>1546300-2640</f>
        <v>1543660</v>
      </c>
      <c r="G403" s="51">
        <v>1863811</v>
      </c>
      <c r="H403" s="51">
        <v>1863811</v>
      </c>
      <c r="I403" s="51"/>
      <c r="J403" s="51">
        <v>1579000</v>
      </c>
      <c r="K403" s="51">
        <v>1579000</v>
      </c>
      <c r="L403" s="51">
        <v>1579000</v>
      </c>
      <c r="M403" s="51">
        <v>1945543</v>
      </c>
      <c r="N403" s="51">
        <v>1880949</v>
      </c>
      <c r="O403" s="51"/>
      <c r="P403" s="51">
        <f>74000+192</f>
        <v>74192</v>
      </c>
      <c r="Q403" s="39">
        <f t="shared" si="40"/>
        <v>1806757</v>
      </c>
    </row>
    <row r="404" spans="1:17" ht="12.75">
      <c r="A404" s="40"/>
      <c r="B404" s="40"/>
      <c r="C404" s="32">
        <v>4170</v>
      </c>
      <c r="D404" s="33" t="s">
        <v>32</v>
      </c>
      <c r="E404" s="49">
        <v>144464</v>
      </c>
      <c r="F404" s="49">
        <v>146464</v>
      </c>
      <c r="G404" s="51">
        <v>198338</v>
      </c>
      <c r="H404" s="51">
        <v>198338</v>
      </c>
      <c r="I404" s="51"/>
      <c r="J404" s="51">
        <v>156853</v>
      </c>
      <c r="K404" s="51">
        <v>160806</v>
      </c>
      <c r="L404" s="51">
        <v>160806</v>
      </c>
      <c r="M404" s="51">
        <v>220580</v>
      </c>
      <c r="N404" s="51">
        <v>220580</v>
      </c>
      <c r="O404" s="51"/>
      <c r="P404" s="51">
        <v>56840</v>
      </c>
      <c r="Q404" s="39">
        <f t="shared" si="40"/>
        <v>163740</v>
      </c>
    </row>
    <row r="405" spans="1:17" ht="25.5">
      <c r="A405" s="31"/>
      <c r="B405" s="31"/>
      <c r="C405" s="32">
        <v>4110</v>
      </c>
      <c r="D405" s="33" t="s">
        <v>88</v>
      </c>
      <c r="E405" s="49">
        <f>27600-4077</f>
        <v>23523</v>
      </c>
      <c r="F405" s="49">
        <f>27600-4077</f>
        <v>23523</v>
      </c>
      <c r="G405" s="51">
        <v>27991</v>
      </c>
      <c r="H405" s="51">
        <v>27991</v>
      </c>
      <c r="I405" s="51"/>
      <c r="J405" s="51">
        <v>21300</v>
      </c>
      <c r="K405" s="51">
        <v>22354</v>
      </c>
      <c r="L405" s="51">
        <v>22354</v>
      </c>
      <c r="M405" s="51">
        <v>30901</v>
      </c>
      <c r="N405" s="51">
        <v>30900</v>
      </c>
      <c r="O405" s="51"/>
      <c r="P405" s="51">
        <v>7780</v>
      </c>
      <c r="Q405" s="39">
        <f t="shared" si="40"/>
        <v>23120</v>
      </c>
    </row>
    <row r="406" spans="1:17" ht="12.75">
      <c r="A406" s="31"/>
      <c r="B406" s="31"/>
      <c r="C406" s="32">
        <v>4120</v>
      </c>
      <c r="D406" s="33" t="s">
        <v>31</v>
      </c>
      <c r="E406" s="49">
        <f>4150-609</f>
        <v>3541</v>
      </c>
      <c r="F406" s="49">
        <f>4150-609</f>
        <v>3541</v>
      </c>
      <c r="G406" s="51">
        <v>4804</v>
      </c>
      <c r="H406" s="51">
        <v>4804</v>
      </c>
      <c r="I406" s="51"/>
      <c r="J406" s="51">
        <v>3700</v>
      </c>
      <c r="K406" s="51">
        <v>3836</v>
      </c>
      <c r="L406" s="51">
        <v>3836</v>
      </c>
      <c r="M406" s="51">
        <v>5303</v>
      </c>
      <c r="N406" s="51">
        <v>5300</v>
      </c>
      <c r="O406" s="51"/>
      <c r="P406" s="51">
        <v>1320</v>
      </c>
      <c r="Q406" s="39">
        <f t="shared" si="40"/>
        <v>3980</v>
      </c>
    </row>
    <row r="407" spans="1:17" ht="12.75">
      <c r="A407" s="31"/>
      <c r="B407" s="31"/>
      <c r="C407" s="32">
        <v>4300</v>
      </c>
      <c r="D407" s="33" t="s">
        <v>16</v>
      </c>
      <c r="E407" s="49"/>
      <c r="F407" s="49"/>
      <c r="G407" s="51">
        <v>2000</v>
      </c>
      <c r="H407" s="51">
        <v>2000</v>
      </c>
      <c r="I407" s="51"/>
      <c r="J407" s="51">
        <v>0</v>
      </c>
      <c r="K407" s="51">
        <v>0</v>
      </c>
      <c r="L407" s="51">
        <v>0</v>
      </c>
      <c r="M407" s="51">
        <v>0</v>
      </c>
      <c r="N407" s="51">
        <v>0</v>
      </c>
      <c r="O407" s="51">
        <f>N407</f>
        <v>0</v>
      </c>
      <c r="P407" s="51">
        <f>O407</f>
        <v>0</v>
      </c>
      <c r="Q407" s="39">
        <f t="shared" si="40"/>
        <v>0</v>
      </c>
    </row>
    <row r="408" spans="1:17" ht="12.75">
      <c r="A408" s="31"/>
      <c r="B408" s="31"/>
      <c r="C408" s="41"/>
      <c r="D408" s="50" t="s">
        <v>144</v>
      </c>
      <c r="E408" s="91">
        <f>E409</f>
        <v>77186</v>
      </c>
      <c r="F408" s="91">
        <f>F409</f>
        <v>80232</v>
      </c>
      <c r="G408" s="92">
        <f>G409</f>
        <v>87440</v>
      </c>
      <c r="H408" s="92">
        <f>H409</f>
        <v>87440</v>
      </c>
      <c r="I408" s="92"/>
      <c r="J408" s="92">
        <f aca="true" t="shared" si="45" ref="J408:P408">J409</f>
        <v>87440</v>
      </c>
      <c r="K408" s="92">
        <f t="shared" si="45"/>
        <v>137440</v>
      </c>
      <c r="L408" s="92">
        <f t="shared" si="45"/>
        <v>0</v>
      </c>
      <c r="M408" s="92">
        <f t="shared" si="45"/>
        <v>127266</v>
      </c>
      <c r="N408" s="92">
        <v>127300</v>
      </c>
      <c r="O408" s="92">
        <f t="shared" si="45"/>
        <v>0</v>
      </c>
      <c r="P408" s="92">
        <f t="shared" si="45"/>
        <v>33437</v>
      </c>
      <c r="Q408" s="39">
        <f t="shared" si="40"/>
        <v>93863</v>
      </c>
    </row>
    <row r="409" spans="1:17" ht="76.5">
      <c r="A409" s="31"/>
      <c r="B409" s="31"/>
      <c r="C409" s="57">
        <v>2320</v>
      </c>
      <c r="D409" s="70" t="s">
        <v>115</v>
      </c>
      <c r="E409" s="59">
        <v>77186</v>
      </c>
      <c r="F409" s="59">
        <v>80232</v>
      </c>
      <c r="G409" s="71">
        <v>87440</v>
      </c>
      <c r="H409" s="71">
        <v>87440</v>
      </c>
      <c r="I409" s="71"/>
      <c r="J409" s="71">
        <v>87440</v>
      </c>
      <c r="K409" s="71">
        <v>137440</v>
      </c>
      <c r="L409" s="51"/>
      <c r="M409" s="51">
        <v>127266</v>
      </c>
      <c r="N409" s="51">
        <v>127300</v>
      </c>
      <c r="O409" s="51"/>
      <c r="P409" s="51">
        <f>33245+192</f>
        <v>33437</v>
      </c>
      <c r="Q409" s="39">
        <f t="shared" si="40"/>
        <v>93863</v>
      </c>
    </row>
    <row r="410" spans="1:17" ht="25.5">
      <c r="A410" s="40"/>
      <c r="B410" s="40">
        <v>85218</v>
      </c>
      <c r="C410" s="41"/>
      <c r="D410" s="50" t="s">
        <v>145</v>
      </c>
      <c r="E410" s="43">
        <f>SUM(E411:E416)</f>
        <v>351200</v>
      </c>
      <c r="F410" s="43">
        <f>SUM(F411:F416)</f>
        <v>364002</v>
      </c>
      <c r="G410" s="44">
        <f>SUM(G411:G416)</f>
        <v>404140</v>
      </c>
      <c r="H410" s="44">
        <f>SUM(H411:H416)</f>
        <v>404140</v>
      </c>
      <c r="I410" s="44"/>
      <c r="J410" s="44">
        <f>SUM(J411:J416)</f>
        <v>404031</v>
      </c>
      <c r="K410" s="44">
        <f>SUM(K411:K416)</f>
        <v>395029</v>
      </c>
      <c r="L410" s="44">
        <f>SUM(L411:L418)</f>
        <v>394946</v>
      </c>
      <c r="M410" s="44">
        <f>SUM(M411:M418)</f>
        <v>458304</v>
      </c>
      <c r="N410" s="44">
        <v>640326</v>
      </c>
      <c r="O410" s="44">
        <f>SUM(O411:O418)</f>
        <v>12224</v>
      </c>
      <c r="P410" s="44">
        <f>SUM(P411:P418)</f>
        <v>22632</v>
      </c>
      <c r="Q410" s="39">
        <f t="shared" si="40"/>
        <v>629918</v>
      </c>
    </row>
    <row r="411" spans="1:17" ht="25.5">
      <c r="A411" s="31"/>
      <c r="B411" s="31"/>
      <c r="C411" s="32">
        <v>4010</v>
      </c>
      <c r="D411" s="33" t="s">
        <v>28</v>
      </c>
      <c r="E411" s="49">
        <v>288600</v>
      </c>
      <c r="F411" s="49">
        <v>303030</v>
      </c>
      <c r="G411" s="49">
        <v>339010</v>
      </c>
      <c r="H411" s="49">
        <v>339010</v>
      </c>
      <c r="I411" s="49">
        <v>339010</v>
      </c>
      <c r="J411" s="49">
        <v>339010</v>
      </c>
      <c r="K411" s="49">
        <v>331420</v>
      </c>
      <c r="L411" s="49">
        <v>331420</v>
      </c>
      <c r="M411" s="49">
        <v>358774</v>
      </c>
      <c r="N411" s="49">
        <v>398901</v>
      </c>
      <c r="O411" s="49">
        <v>1864</v>
      </c>
      <c r="P411" s="49"/>
      <c r="Q411" s="39">
        <f t="shared" si="40"/>
        <v>400765</v>
      </c>
    </row>
    <row r="412" spans="1:17" ht="12.75">
      <c r="A412" s="31"/>
      <c r="B412" s="31"/>
      <c r="C412" s="32">
        <v>4040</v>
      </c>
      <c r="D412" s="33" t="s">
        <v>29</v>
      </c>
      <c r="E412" s="49">
        <v>23500</v>
      </c>
      <c r="F412" s="49">
        <v>22037</v>
      </c>
      <c r="G412" s="49">
        <v>26400</v>
      </c>
      <c r="H412" s="49">
        <v>26400</v>
      </c>
      <c r="I412" s="49"/>
      <c r="J412" s="49">
        <v>26291</v>
      </c>
      <c r="K412" s="49">
        <v>26249</v>
      </c>
      <c r="L412" s="49">
        <v>26249</v>
      </c>
      <c r="M412" s="49">
        <v>21550</v>
      </c>
      <c r="N412" s="49">
        <v>21500</v>
      </c>
      <c r="O412" s="49"/>
      <c r="P412" s="49">
        <v>1001</v>
      </c>
      <c r="Q412" s="39">
        <f t="shared" si="40"/>
        <v>20499</v>
      </c>
    </row>
    <row r="413" spans="1:17" ht="12.75">
      <c r="A413" s="31"/>
      <c r="B413" s="31"/>
      <c r="C413" s="32">
        <v>4300</v>
      </c>
      <c r="D413" s="33" t="s">
        <v>16</v>
      </c>
      <c r="E413" s="49">
        <v>23000</v>
      </c>
      <c r="F413" s="49">
        <v>22585</v>
      </c>
      <c r="G413" s="49">
        <v>22000</v>
      </c>
      <c r="H413" s="49">
        <v>22000</v>
      </c>
      <c r="I413" s="49"/>
      <c r="J413" s="49">
        <v>22000</v>
      </c>
      <c r="K413" s="49">
        <v>20547</v>
      </c>
      <c r="L413" s="49">
        <v>20547</v>
      </c>
      <c r="M413" s="49">
        <v>21000</v>
      </c>
      <c r="N413" s="49">
        <v>21100</v>
      </c>
      <c r="O413" s="49"/>
      <c r="P413" s="49">
        <v>1011</v>
      </c>
      <c r="Q413" s="39">
        <f t="shared" si="40"/>
        <v>20089</v>
      </c>
    </row>
    <row r="414" spans="1:17" ht="38.25">
      <c r="A414" s="31"/>
      <c r="B414" s="31"/>
      <c r="C414" s="32">
        <v>4370</v>
      </c>
      <c r="D414" s="33" t="s">
        <v>101</v>
      </c>
      <c r="E414" s="87">
        <v>7500</v>
      </c>
      <c r="F414" s="87">
        <v>7500</v>
      </c>
      <c r="G414" s="87">
        <v>7500</v>
      </c>
      <c r="H414" s="87">
        <v>7500</v>
      </c>
      <c r="I414" s="87"/>
      <c r="J414" s="87">
        <v>7500</v>
      </c>
      <c r="K414" s="87">
        <v>7500</v>
      </c>
      <c r="L414" s="87">
        <v>7500</v>
      </c>
      <c r="M414" s="87">
        <v>7500</v>
      </c>
      <c r="N414" s="87">
        <v>7700</v>
      </c>
      <c r="O414" s="87"/>
      <c r="P414" s="87">
        <v>1000</v>
      </c>
      <c r="Q414" s="39">
        <f t="shared" si="40"/>
        <v>6700</v>
      </c>
    </row>
    <row r="415" spans="1:17" ht="25.5">
      <c r="A415" s="31"/>
      <c r="B415" s="31"/>
      <c r="C415" s="32">
        <v>4440</v>
      </c>
      <c r="D415" s="33" t="s">
        <v>43</v>
      </c>
      <c r="E415" s="49">
        <v>8600</v>
      </c>
      <c r="F415" s="49">
        <v>8850</v>
      </c>
      <c r="G415" s="49">
        <v>9130</v>
      </c>
      <c r="H415" s="49">
        <v>9130</v>
      </c>
      <c r="I415" s="49"/>
      <c r="J415" s="49">
        <v>9130</v>
      </c>
      <c r="K415" s="49">
        <v>9213</v>
      </c>
      <c r="L415" s="49">
        <v>9130</v>
      </c>
      <c r="M415" s="49">
        <v>10340</v>
      </c>
      <c r="N415" s="49">
        <v>9870</v>
      </c>
      <c r="O415" s="49">
        <v>2360</v>
      </c>
      <c r="P415" s="49"/>
      <c r="Q415" s="39">
        <f t="shared" si="40"/>
        <v>12230</v>
      </c>
    </row>
    <row r="416" spans="1:17" ht="12.75">
      <c r="A416" s="31"/>
      <c r="B416" s="31"/>
      <c r="C416" s="32">
        <v>4510</v>
      </c>
      <c r="D416" s="33" t="s">
        <v>76</v>
      </c>
      <c r="E416" s="49"/>
      <c r="F416" s="49"/>
      <c r="G416" s="49">
        <v>100</v>
      </c>
      <c r="H416" s="49">
        <v>100</v>
      </c>
      <c r="I416" s="49"/>
      <c r="J416" s="49">
        <v>100</v>
      </c>
      <c r="K416" s="49">
        <v>100</v>
      </c>
      <c r="L416" s="49">
        <v>100</v>
      </c>
      <c r="M416" s="49">
        <v>100</v>
      </c>
      <c r="N416" s="49">
        <v>100</v>
      </c>
      <c r="O416" s="49"/>
      <c r="P416" s="49">
        <v>100</v>
      </c>
      <c r="Q416" s="39">
        <f t="shared" si="40"/>
        <v>0</v>
      </c>
    </row>
    <row r="417" spans="1:17" ht="25.5">
      <c r="A417" s="31"/>
      <c r="B417" s="31"/>
      <c r="C417" s="32">
        <v>6050</v>
      </c>
      <c r="D417" s="58" t="s">
        <v>77</v>
      </c>
      <c r="E417" s="87"/>
      <c r="F417" s="87"/>
      <c r="G417" s="87"/>
      <c r="H417" s="87"/>
      <c r="I417" s="87"/>
      <c r="J417" s="87">
        <v>0</v>
      </c>
      <c r="K417" s="87">
        <v>0</v>
      </c>
      <c r="L417" s="87">
        <v>0</v>
      </c>
      <c r="M417" s="87">
        <v>19520</v>
      </c>
      <c r="N417" s="87">
        <v>19520</v>
      </c>
      <c r="O417" s="87"/>
      <c r="P417" s="87">
        <v>19520</v>
      </c>
      <c r="Q417" s="39">
        <f>N417+O417-P417</f>
        <v>0</v>
      </c>
    </row>
    <row r="418" spans="1:17" ht="25.5">
      <c r="A418" s="31"/>
      <c r="B418" s="31"/>
      <c r="C418" s="32">
        <v>6060</v>
      </c>
      <c r="D418" s="58" t="s">
        <v>49</v>
      </c>
      <c r="E418" s="87"/>
      <c r="F418" s="87"/>
      <c r="G418" s="87"/>
      <c r="H418" s="87"/>
      <c r="I418" s="87"/>
      <c r="J418" s="87">
        <v>0</v>
      </c>
      <c r="K418" s="87">
        <v>0</v>
      </c>
      <c r="L418" s="87">
        <v>0</v>
      </c>
      <c r="M418" s="87">
        <v>19520</v>
      </c>
      <c r="N418" s="87"/>
      <c r="O418" s="87">
        <v>8000</v>
      </c>
      <c r="P418" s="87"/>
      <c r="Q418" s="39">
        <f t="shared" si="40"/>
        <v>8000</v>
      </c>
    </row>
    <row r="419" spans="1:17" ht="51">
      <c r="A419" s="40"/>
      <c r="B419" s="40">
        <v>85220</v>
      </c>
      <c r="C419" s="41"/>
      <c r="D419" s="50" t="s">
        <v>146</v>
      </c>
      <c r="E419" s="43">
        <f>SUM(E420:E425)</f>
        <v>6690</v>
      </c>
      <c r="F419" s="43">
        <f>SUM(F420:F425)</f>
        <v>6704</v>
      </c>
      <c r="G419" s="44">
        <f>SUM(G420:G426)</f>
        <v>8660</v>
      </c>
      <c r="H419" s="44">
        <f>SUM(H420:H426)</f>
        <v>7320</v>
      </c>
      <c r="I419" s="44"/>
      <c r="J419" s="44">
        <f>SUM(J420:J426)</f>
        <v>9179</v>
      </c>
      <c r="K419" s="44">
        <f>SUM(K420:K426)</f>
        <v>9179</v>
      </c>
      <c r="L419" s="44">
        <f>SUM(L420:L426)</f>
        <v>9179</v>
      </c>
      <c r="M419" s="44">
        <f>SUM(M420:M426)</f>
        <v>10129</v>
      </c>
      <c r="N419" s="44">
        <v>72552</v>
      </c>
      <c r="O419" s="44">
        <f>SUM(O420:O426)</f>
        <v>812</v>
      </c>
      <c r="P419" s="44">
        <f>SUM(P420:P426)</f>
        <v>4248</v>
      </c>
      <c r="Q419" s="39">
        <f t="shared" si="40"/>
        <v>69116</v>
      </c>
    </row>
    <row r="420" spans="1:17" ht="12.75">
      <c r="A420" s="31"/>
      <c r="B420" s="31"/>
      <c r="C420" s="32">
        <v>4040</v>
      </c>
      <c r="D420" s="33" t="s">
        <v>29</v>
      </c>
      <c r="E420" s="49">
        <v>2700</v>
      </c>
      <c r="F420" s="49">
        <v>2700</v>
      </c>
      <c r="G420" s="53">
        <v>2880</v>
      </c>
      <c r="H420" s="53">
        <v>2890</v>
      </c>
      <c r="I420" s="53"/>
      <c r="J420" s="53">
        <v>2999</v>
      </c>
      <c r="K420" s="53">
        <v>2999</v>
      </c>
      <c r="L420" s="53">
        <v>2999</v>
      </c>
      <c r="M420" s="53">
        <v>3239</v>
      </c>
      <c r="N420" s="53">
        <v>3200</v>
      </c>
      <c r="O420" s="53">
        <v>752</v>
      </c>
      <c r="P420" s="53"/>
      <c r="Q420" s="39">
        <f t="shared" si="40"/>
        <v>3952</v>
      </c>
    </row>
    <row r="421" spans="1:17" ht="12.75">
      <c r="A421" s="31"/>
      <c r="B421" s="31"/>
      <c r="C421" s="32">
        <v>4170</v>
      </c>
      <c r="D421" s="33" t="s">
        <v>147</v>
      </c>
      <c r="E421" s="49">
        <v>2400</v>
      </c>
      <c r="F421" s="49">
        <v>2400</v>
      </c>
      <c r="G421" s="53">
        <v>2250</v>
      </c>
      <c r="H421" s="53">
        <v>2250</v>
      </c>
      <c r="I421" s="53"/>
      <c r="J421" s="53">
        <v>4000</v>
      </c>
      <c r="K421" s="53">
        <v>4000</v>
      </c>
      <c r="L421" s="53">
        <v>4000</v>
      </c>
      <c r="M421" s="53">
        <v>4500</v>
      </c>
      <c r="N421" s="53">
        <v>4500</v>
      </c>
      <c r="O421" s="53"/>
      <c r="P421" s="53">
        <v>2980</v>
      </c>
      <c r="Q421" s="39">
        <f t="shared" si="40"/>
        <v>1520</v>
      </c>
    </row>
    <row r="422" spans="1:17" ht="12.75">
      <c r="A422" s="31"/>
      <c r="B422" s="31"/>
      <c r="C422" s="32">
        <v>4210</v>
      </c>
      <c r="D422" s="33" t="s">
        <v>33</v>
      </c>
      <c r="E422" s="49"/>
      <c r="F422" s="49"/>
      <c r="G422" s="53">
        <v>300</v>
      </c>
      <c r="H422" s="53">
        <v>300</v>
      </c>
      <c r="I422" s="53"/>
      <c r="J422" s="53">
        <v>300</v>
      </c>
      <c r="K422" s="53">
        <v>300</v>
      </c>
      <c r="L422" s="53">
        <v>300</v>
      </c>
      <c r="M422" s="53">
        <v>350</v>
      </c>
      <c r="N422" s="53">
        <v>300</v>
      </c>
      <c r="O422" s="53"/>
      <c r="P422" s="53">
        <v>300</v>
      </c>
      <c r="Q422" s="39">
        <f t="shared" si="40"/>
        <v>0</v>
      </c>
    </row>
    <row r="423" spans="1:17" ht="12.75">
      <c r="A423" s="31"/>
      <c r="B423" s="31"/>
      <c r="C423" s="32">
        <v>4300</v>
      </c>
      <c r="D423" s="33" t="s">
        <v>61</v>
      </c>
      <c r="E423" s="49">
        <v>600</v>
      </c>
      <c r="F423" s="49">
        <v>600</v>
      </c>
      <c r="G423" s="53">
        <v>2000</v>
      </c>
      <c r="H423" s="53">
        <v>650</v>
      </c>
      <c r="I423" s="53"/>
      <c r="J423" s="53">
        <v>650</v>
      </c>
      <c r="K423" s="53">
        <v>650</v>
      </c>
      <c r="L423" s="53">
        <v>650</v>
      </c>
      <c r="M423" s="53">
        <v>700</v>
      </c>
      <c r="N423" s="53">
        <v>568</v>
      </c>
      <c r="O423" s="53"/>
      <c r="P423" s="53">
        <v>568</v>
      </c>
      <c r="Q423" s="39">
        <f t="shared" si="40"/>
        <v>0</v>
      </c>
    </row>
    <row r="424" spans="1:17" ht="12.75">
      <c r="A424" s="31"/>
      <c r="B424" s="31"/>
      <c r="C424" s="32">
        <v>4410</v>
      </c>
      <c r="D424" s="33" t="s">
        <v>41</v>
      </c>
      <c r="E424" s="49">
        <v>200</v>
      </c>
      <c r="F424" s="49">
        <v>200</v>
      </c>
      <c r="G424" s="53">
        <v>100</v>
      </c>
      <c r="H424" s="53">
        <v>100</v>
      </c>
      <c r="I424" s="53"/>
      <c r="J424" s="53">
        <v>100</v>
      </c>
      <c r="K424" s="53">
        <v>100</v>
      </c>
      <c r="L424" s="53">
        <v>100</v>
      </c>
      <c r="M424" s="53">
        <v>100</v>
      </c>
      <c r="N424" s="53">
        <v>100</v>
      </c>
      <c r="O424" s="53"/>
      <c r="P424" s="53">
        <v>100</v>
      </c>
      <c r="Q424" s="39">
        <f t="shared" si="40"/>
        <v>0</v>
      </c>
    </row>
    <row r="425" spans="1:17" ht="25.5">
      <c r="A425" s="31"/>
      <c r="B425" s="31"/>
      <c r="C425" s="32">
        <v>4440</v>
      </c>
      <c r="D425" s="33" t="s">
        <v>43</v>
      </c>
      <c r="E425" s="49">
        <v>790</v>
      </c>
      <c r="F425" s="49">
        <v>804</v>
      </c>
      <c r="G425" s="53">
        <v>830</v>
      </c>
      <c r="H425" s="53">
        <v>830</v>
      </c>
      <c r="I425" s="53"/>
      <c r="J425" s="53">
        <v>830</v>
      </c>
      <c r="K425" s="53">
        <v>830</v>
      </c>
      <c r="L425" s="53">
        <v>830</v>
      </c>
      <c r="M425" s="53">
        <v>940</v>
      </c>
      <c r="N425" s="53">
        <v>940</v>
      </c>
      <c r="O425" s="53">
        <v>60</v>
      </c>
      <c r="P425" s="53"/>
      <c r="Q425" s="39">
        <f t="shared" si="40"/>
        <v>1000</v>
      </c>
    </row>
    <row r="426" spans="1:17" ht="38.25">
      <c r="A426" s="31"/>
      <c r="B426" s="31"/>
      <c r="C426" s="32">
        <v>4700</v>
      </c>
      <c r="D426" s="33" t="s">
        <v>45</v>
      </c>
      <c r="E426" s="49"/>
      <c r="F426" s="49"/>
      <c r="G426" s="53">
        <v>300</v>
      </c>
      <c r="H426" s="53">
        <v>300</v>
      </c>
      <c r="I426" s="53"/>
      <c r="J426" s="53">
        <v>300</v>
      </c>
      <c r="K426" s="53">
        <v>300</v>
      </c>
      <c r="L426" s="53">
        <v>300</v>
      </c>
      <c r="M426" s="53">
        <v>300</v>
      </c>
      <c r="N426" s="53">
        <v>300</v>
      </c>
      <c r="O426" s="53"/>
      <c r="P426" s="53">
        <v>300</v>
      </c>
      <c r="Q426" s="39">
        <f t="shared" si="40"/>
        <v>0</v>
      </c>
    </row>
    <row r="427" spans="1:17" ht="25.5">
      <c r="A427" s="40"/>
      <c r="B427" s="40">
        <v>85233</v>
      </c>
      <c r="C427" s="41"/>
      <c r="D427" s="50" t="s">
        <v>148</v>
      </c>
      <c r="E427" s="43">
        <f>SUM(E428:E429)</f>
        <v>3630</v>
      </c>
      <c r="F427" s="43">
        <f>SUM(F428:F429)</f>
        <v>3535</v>
      </c>
      <c r="G427" s="44">
        <f>SUM(G428:G429)</f>
        <v>3714</v>
      </c>
      <c r="H427" s="44">
        <f>SUM(H428:H429)</f>
        <v>3620</v>
      </c>
      <c r="I427" s="44"/>
      <c r="J427" s="44">
        <f aca="true" t="shared" si="46" ref="J427:P427">SUM(J428:J429)</f>
        <v>3610</v>
      </c>
      <c r="K427" s="44">
        <f t="shared" si="46"/>
        <v>3610</v>
      </c>
      <c r="L427" s="44">
        <f t="shared" si="46"/>
        <v>3610</v>
      </c>
      <c r="M427" s="44">
        <f t="shared" si="46"/>
        <v>4030</v>
      </c>
      <c r="N427" s="44">
        <v>4030</v>
      </c>
      <c r="O427" s="44">
        <f t="shared" si="46"/>
        <v>0</v>
      </c>
      <c r="P427" s="44">
        <f t="shared" si="46"/>
        <v>1690</v>
      </c>
      <c r="Q427" s="39">
        <f t="shared" si="40"/>
        <v>2340</v>
      </c>
    </row>
    <row r="428" spans="1:17" ht="12.75">
      <c r="A428" s="31"/>
      <c r="B428" s="31"/>
      <c r="C428" s="32">
        <v>4300</v>
      </c>
      <c r="D428" s="33" t="s">
        <v>61</v>
      </c>
      <c r="E428" s="49">
        <v>3200</v>
      </c>
      <c r="F428" s="49">
        <v>3105</v>
      </c>
      <c r="G428" s="51">
        <v>3274</v>
      </c>
      <c r="H428" s="51">
        <v>3180</v>
      </c>
      <c r="I428" s="51"/>
      <c r="J428" s="51">
        <v>3170</v>
      </c>
      <c r="K428" s="51">
        <v>3170</v>
      </c>
      <c r="L428" s="51">
        <v>3170</v>
      </c>
      <c r="M428" s="51">
        <v>3540</v>
      </c>
      <c r="N428" s="51">
        <v>3540</v>
      </c>
      <c r="O428" s="51"/>
      <c r="P428" s="51">
        <v>1200</v>
      </c>
      <c r="Q428" s="39">
        <f t="shared" si="40"/>
        <v>2340</v>
      </c>
    </row>
    <row r="429" spans="1:17" ht="12.75">
      <c r="A429" s="31"/>
      <c r="B429" s="31"/>
      <c r="C429" s="32">
        <v>4410</v>
      </c>
      <c r="D429" s="33" t="s">
        <v>41</v>
      </c>
      <c r="E429" s="49">
        <v>430</v>
      </c>
      <c r="F429" s="49">
        <v>430</v>
      </c>
      <c r="G429" s="51">
        <v>440</v>
      </c>
      <c r="H429" s="51">
        <v>440</v>
      </c>
      <c r="I429" s="51"/>
      <c r="J429" s="51">
        <v>440</v>
      </c>
      <c r="K429" s="51">
        <v>440</v>
      </c>
      <c r="L429" s="51">
        <v>440</v>
      </c>
      <c r="M429" s="51">
        <v>490</v>
      </c>
      <c r="N429" s="51">
        <v>490</v>
      </c>
      <c r="O429" s="51"/>
      <c r="P429" s="51">
        <v>490</v>
      </c>
      <c r="Q429" s="39">
        <f t="shared" si="40"/>
        <v>0</v>
      </c>
    </row>
    <row r="430" spans="1:17" ht="38.25">
      <c r="A430" s="35">
        <v>853</v>
      </c>
      <c r="B430" s="35"/>
      <c r="C430" s="36"/>
      <c r="D430" s="52" t="s">
        <v>150</v>
      </c>
      <c r="E430" s="38" t="e">
        <f>#REF!+E433+E443+E431</f>
        <v>#REF!</v>
      </c>
      <c r="F430" s="38" t="e">
        <f>#REF!+F433+F443+F431</f>
        <v>#REF!</v>
      </c>
      <c r="G430" s="38" t="e">
        <f>#REF!+G433+G443+G431</f>
        <v>#REF!</v>
      </c>
      <c r="H430" s="38" t="e">
        <f>#REF!+H433+H443+H431</f>
        <v>#REF!</v>
      </c>
      <c r="I430" s="38" t="e">
        <f>SUM(#REF!)</f>
        <v>#REF!</v>
      </c>
      <c r="J430" s="38" t="e">
        <f>J431+J433+J443+J461+J463</f>
        <v>#REF!</v>
      </c>
      <c r="K430" s="38" t="e">
        <f>K431+K433+K443+K461+K463</f>
        <v>#REF!</v>
      </c>
      <c r="L430" s="38" t="e">
        <f>L431+L433+L443+L461+L463</f>
        <v>#REF!</v>
      </c>
      <c r="M430" s="38" t="e">
        <f>M431+M433+M443+M461+M463</f>
        <v>#REF!</v>
      </c>
      <c r="N430" s="38">
        <v>6578208</v>
      </c>
      <c r="O430" s="38">
        <f>O431+O433+O443+O461+O463</f>
        <v>117809</v>
      </c>
      <c r="P430" s="38">
        <f>P431+P433+P443+P461+P463</f>
        <v>584121</v>
      </c>
      <c r="Q430" s="39">
        <f aca="true" t="shared" si="47" ref="Q430:Q468">N430+O430-P430</f>
        <v>6111896</v>
      </c>
    </row>
    <row r="431" spans="1:17" ht="38.25">
      <c r="A431" s="62"/>
      <c r="B431" s="62">
        <v>85311</v>
      </c>
      <c r="C431" s="72"/>
      <c r="D431" s="73" t="s">
        <v>151</v>
      </c>
      <c r="E431" s="112" t="e">
        <f>SUM(#REF!)</f>
        <v>#REF!</v>
      </c>
      <c r="F431" s="112" t="e">
        <f>SUM(#REF!)</f>
        <v>#REF!</v>
      </c>
      <c r="G431" s="112" t="e">
        <f>SUM(#REF!)</f>
        <v>#REF!</v>
      </c>
      <c r="H431" s="112" t="e">
        <f>SUM(#REF!)</f>
        <v>#REF!</v>
      </c>
      <c r="I431" s="112"/>
      <c r="J431" s="74" t="e">
        <f>SUM(#REF!)</f>
        <v>#REF!</v>
      </c>
      <c r="K431" s="74" t="e">
        <f>SUM(#REF!)</f>
        <v>#REF!</v>
      </c>
      <c r="L431" s="74" t="e">
        <f>SUM(#REF!)</f>
        <v>#REF!</v>
      </c>
      <c r="M431" s="74" t="e">
        <f>SUM(#REF!)</f>
        <v>#REF!</v>
      </c>
      <c r="N431" s="74">
        <v>16500</v>
      </c>
      <c r="O431" s="74">
        <f>O432</f>
        <v>2853</v>
      </c>
      <c r="P431" s="74">
        <f>P432</f>
        <v>0</v>
      </c>
      <c r="Q431" s="39">
        <f t="shared" si="47"/>
        <v>19353</v>
      </c>
    </row>
    <row r="432" spans="1:17" ht="51">
      <c r="A432" s="62"/>
      <c r="B432" s="62"/>
      <c r="C432" s="72">
        <v>2320</v>
      </c>
      <c r="D432" s="33" t="s">
        <v>220</v>
      </c>
      <c r="E432" s="112"/>
      <c r="F432" s="112"/>
      <c r="G432" s="112"/>
      <c r="H432" s="112"/>
      <c r="I432" s="112"/>
      <c r="J432" s="74"/>
      <c r="K432" s="74"/>
      <c r="L432" s="74"/>
      <c r="M432" s="74"/>
      <c r="N432" s="49">
        <v>16500</v>
      </c>
      <c r="O432" s="49">
        <v>2853</v>
      </c>
      <c r="P432" s="49"/>
      <c r="Q432" s="113">
        <f t="shared" si="47"/>
        <v>19353</v>
      </c>
    </row>
    <row r="433" spans="1:17" ht="25.5">
      <c r="A433" s="40"/>
      <c r="B433" s="40">
        <v>85321</v>
      </c>
      <c r="C433" s="41"/>
      <c r="D433" s="50" t="s">
        <v>152</v>
      </c>
      <c r="E433" s="43">
        <f>SUM(E434:E442)</f>
        <v>103550</v>
      </c>
      <c r="F433" s="43">
        <f>SUM(F434:F442)</f>
        <v>104792</v>
      </c>
      <c r="G433" s="43">
        <f>SUM(G434:G442)</f>
        <v>106691</v>
      </c>
      <c r="H433" s="43">
        <f>SUM(H434:H442)</f>
        <v>105746</v>
      </c>
      <c r="I433" s="43"/>
      <c r="J433" s="43">
        <f>SUM(J434:J442)</f>
        <v>117435</v>
      </c>
      <c r="K433" s="43">
        <f>SUM(K434:K442)</f>
        <v>135165</v>
      </c>
      <c r="L433" s="43">
        <f>SUM(L434:L442)</f>
        <v>134265</v>
      </c>
      <c r="M433" s="43">
        <f>SUM(M434:M442)</f>
        <v>149804</v>
      </c>
      <c r="N433" s="43">
        <v>163116</v>
      </c>
      <c r="O433" s="43">
        <f>SUM(O434:O442)</f>
        <v>4970</v>
      </c>
      <c r="P433" s="43">
        <f>SUM(P434:P442)</f>
        <v>4970</v>
      </c>
      <c r="Q433" s="39">
        <f t="shared" si="47"/>
        <v>163116</v>
      </c>
    </row>
    <row r="434" spans="1:17" ht="25.5">
      <c r="A434" s="31"/>
      <c r="B434" s="31"/>
      <c r="C434" s="32">
        <v>4010</v>
      </c>
      <c r="D434" s="33" t="s">
        <v>28</v>
      </c>
      <c r="E434" s="49">
        <v>19470</v>
      </c>
      <c r="F434" s="49">
        <v>20440</v>
      </c>
      <c r="G434" s="49">
        <v>21186</v>
      </c>
      <c r="H434" s="49">
        <v>21186</v>
      </c>
      <c r="I434" s="51">
        <v>21200</v>
      </c>
      <c r="J434" s="51">
        <v>30200</v>
      </c>
      <c r="K434" s="51">
        <v>37251</v>
      </c>
      <c r="L434" s="51">
        <v>37251</v>
      </c>
      <c r="M434" s="51">
        <v>50885</v>
      </c>
      <c r="N434" s="51">
        <v>53150</v>
      </c>
      <c r="O434" s="51">
        <v>1</v>
      </c>
      <c r="P434" s="51"/>
      <c r="Q434" s="39">
        <f t="shared" si="47"/>
        <v>53151</v>
      </c>
    </row>
    <row r="435" spans="1:20" ht="12.75">
      <c r="A435" s="31"/>
      <c r="B435" s="31"/>
      <c r="C435" s="32">
        <v>4040</v>
      </c>
      <c r="D435" s="33" t="s">
        <v>29</v>
      </c>
      <c r="E435" s="49">
        <v>1530</v>
      </c>
      <c r="F435" s="49">
        <v>1530</v>
      </c>
      <c r="G435" s="49">
        <v>1670</v>
      </c>
      <c r="H435" s="49">
        <v>1670</v>
      </c>
      <c r="I435" s="49"/>
      <c r="J435" s="49">
        <v>1670</v>
      </c>
      <c r="K435" s="49">
        <v>1670</v>
      </c>
      <c r="L435" s="49">
        <v>1670</v>
      </c>
      <c r="M435" s="49">
        <v>3657</v>
      </c>
      <c r="N435" s="51">
        <v>3700</v>
      </c>
      <c r="O435" s="51"/>
      <c r="P435" s="51">
        <v>512</v>
      </c>
      <c r="Q435" s="39">
        <f t="shared" si="47"/>
        <v>3188</v>
      </c>
      <c r="T435" s="19">
        <f>4188-488</f>
        <v>3700</v>
      </c>
    </row>
    <row r="436" spans="1:17" ht="25.5">
      <c r="A436" s="31"/>
      <c r="B436" s="31"/>
      <c r="C436" s="32">
        <v>4110</v>
      </c>
      <c r="D436" s="33" t="s">
        <v>30</v>
      </c>
      <c r="E436" s="49">
        <v>8300</v>
      </c>
      <c r="F436" s="49">
        <v>8470</v>
      </c>
      <c r="G436" s="49">
        <v>5946</v>
      </c>
      <c r="H436" s="49">
        <v>5946</v>
      </c>
      <c r="I436" s="49"/>
      <c r="J436" s="49">
        <v>7500</v>
      </c>
      <c r="K436" s="49">
        <v>9240</v>
      </c>
      <c r="L436" s="49">
        <v>9240</v>
      </c>
      <c r="M436" s="49">
        <v>10122</v>
      </c>
      <c r="N436" s="51">
        <v>10326</v>
      </c>
      <c r="O436" s="51"/>
      <c r="P436" s="51">
        <v>256</v>
      </c>
      <c r="Q436" s="39">
        <f t="shared" si="47"/>
        <v>10070</v>
      </c>
    </row>
    <row r="437" spans="1:17" ht="12.75">
      <c r="A437" s="31"/>
      <c r="B437" s="31"/>
      <c r="C437" s="32">
        <v>4170</v>
      </c>
      <c r="D437" s="33" t="s">
        <v>32</v>
      </c>
      <c r="E437" s="49">
        <v>67000</v>
      </c>
      <c r="F437" s="49">
        <v>67000</v>
      </c>
      <c r="G437" s="49">
        <v>30808</v>
      </c>
      <c r="H437" s="49">
        <v>30808</v>
      </c>
      <c r="I437" s="49"/>
      <c r="J437" s="49">
        <v>30900</v>
      </c>
      <c r="K437" s="49">
        <v>35756</v>
      </c>
      <c r="L437" s="49">
        <v>35756</v>
      </c>
      <c r="M437" s="49">
        <v>29000</v>
      </c>
      <c r="N437" s="51">
        <v>29200</v>
      </c>
      <c r="O437" s="51">
        <v>4000</v>
      </c>
      <c r="P437" s="51"/>
      <c r="Q437" s="39">
        <f t="shared" si="47"/>
        <v>33200</v>
      </c>
    </row>
    <row r="438" spans="1:17" ht="12.75">
      <c r="A438" s="31"/>
      <c r="B438" s="31"/>
      <c r="C438" s="32">
        <v>4210</v>
      </c>
      <c r="D438" s="33" t="s">
        <v>33</v>
      </c>
      <c r="E438" s="49">
        <v>1500</v>
      </c>
      <c r="F438" s="49">
        <v>1500</v>
      </c>
      <c r="G438" s="49">
        <v>1700</v>
      </c>
      <c r="H438" s="49">
        <v>1540</v>
      </c>
      <c r="I438" s="49"/>
      <c r="J438" s="49">
        <v>1240</v>
      </c>
      <c r="K438" s="49">
        <v>1240</v>
      </c>
      <c r="L438" s="49">
        <v>1240</v>
      </c>
      <c r="M438" s="49">
        <v>1300</v>
      </c>
      <c r="N438" s="51">
        <v>11000</v>
      </c>
      <c r="O438" s="51"/>
      <c r="P438" s="51">
        <v>3862</v>
      </c>
      <c r="Q438" s="39">
        <f t="shared" si="47"/>
        <v>7138</v>
      </c>
    </row>
    <row r="439" spans="1:17" ht="12.75">
      <c r="A439" s="31"/>
      <c r="B439" s="31"/>
      <c r="C439" s="32">
        <v>4300</v>
      </c>
      <c r="D439" s="33" t="s">
        <v>16</v>
      </c>
      <c r="E439" s="49">
        <v>5050</v>
      </c>
      <c r="F439" s="49">
        <v>5050</v>
      </c>
      <c r="G439" s="49">
        <v>43766</v>
      </c>
      <c r="H439" s="49">
        <v>43766</v>
      </c>
      <c r="I439" s="49"/>
      <c r="J439" s="49">
        <v>43800</v>
      </c>
      <c r="K439" s="49">
        <v>47883</v>
      </c>
      <c r="L439" s="49">
        <v>47883</v>
      </c>
      <c r="M439" s="49">
        <v>52000</v>
      </c>
      <c r="N439" s="49">
        <v>47300</v>
      </c>
      <c r="O439" s="49">
        <v>400</v>
      </c>
      <c r="P439" s="49"/>
      <c r="Q439" s="39">
        <f t="shared" si="47"/>
        <v>47700</v>
      </c>
    </row>
    <row r="440" spans="1:17" ht="25.5">
      <c r="A440" s="31"/>
      <c r="B440" s="31"/>
      <c r="C440" s="32">
        <v>4440</v>
      </c>
      <c r="D440" s="33" t="s">
        <v>43</v>
      </c>
      <c r="E440" s="49">
        <v>400</v>
      </c>
      <c r="F440" s="49">
        <v>402</v>
      </c>
      <c r="G440" s="49">
        <v>415</v>
      </c>
      <c r="H440" s="49">
        <v>420</v>
      </c>
      <c r="I440" s="49"/>
      <c r="J440" s="49">
        <v>625</v>
      </c>
      <c r="K440" s="49">
        <v>625</v>
      </c>
      <c r="L440" s="49">
        <v>625</v>
      </c>
      <c r="M440" s="49">
        <v>940</v>
      </c>
      <c r="N440" s="49">
        <v>1020</v>
      </c>
      <c r="O440" s="49"/>
      <c r="P440" s="49">
        <v>20</v>
      </c>
      <c r="Q440" s="39">
        <f t="shared" si="47"/>
        <v>1000</v>
      </c>
    </row>
    <row r="441" spans="1:17" ht="38.25">
      <c r="A441" s="31"/>
      <c r="B441" s="31"/>
      <c r="C441" s="32">
        <v>4700</v>
      </c>
      <c r="D441" s="33" t="s">
        <v>45</v>
      </c>
      <c r="E441" s="49">
        <v>300</v>
      </c>
      <c r="F441" s="49">
        <v>300</v>
      </c>
      <c r="G441" s="49">
        <v>500</v>
      </c>
      <c r="H441" s="49">
        <v>310</v>
      </c>
      <c r="I441" s="49"/>
      <c r="J441" s="49">
        <v>500</v>
      </c>
      <c r="K441" s="49">
        <v>500</v>
      </c>
      <c r="L441" s="49">
        <v>500</v>
      </c>
      <c r="M441" s="49">
        <v>700</v>
      </c>
      <c r="N441" s="49">
        <v>320</v>
      </c>
      <c r="O441" s="49"/>
      <c r="P441" s="49">
        <v>320</v>
      </c>
      <c r="Q441" s="39">
        <f t="shared" si="47"/>
        <v>0</v>
      </c>
    </row>
    <row r="442" spans="1:17" ht="38.25">
      <c r="A442" s="31"/>
      <c r="B442" s="31"/>
      <c r="C442" s="32">
        <v>4750</v>
      </c>
      <c r="D442" s="33" t="s">
        <v>92</v>
      </c>
      <c r="E442" s="49"/>
      <c r="F442" s="49">
        <v>100</v>
      </c>
      <c r="G442" s="49">
        <v>700</v>
      </c>
      <c r="H442" s="49">
        <v>100</v>
      </c>
      <c r="I442" s="49"/>
      <c r="J442" s="49">
        <v>1000</v>
      </c>
      <c r="K442" s="49">
        <v>1000</v>
      </c>
      <c r="L442" s="49">
        <v>100</v>
      </c>
      <c r="M442" s="49">
        <v>1200</v>
      </c>
      <c r="N442" s="49">
        <v>1500</v>
      </c>
      <c r="O442" s="49">
        <v>569</v>
      </c>
      <c r="P442" s="49"/>
      <c r="Q442" s="39">
        <f t="shared" si="47"/>
        <v>2069</v>
      </c>
    </row>
    <row r="443" spans="1:17" ht="12.75">
      <c r="A443" s="31"/>
      <c r="B443" s="40">
        <v>85333</v>
      </c>
      <c r="C443" s="32"/>
      <c r="D443" s="50" t="s">
        <v>153</v>
      </c>
      <c r="E443" s="43">
        <f>SUM(E444:E459)</f>
        <v>2215974</v>
      </c>
      <c r="F443" s="43">
        <f>SUM(F444:F459)</f>
        <v>2325568</v>
      </c>
      <c r="G443" s="44">
        <f>SUM(G444:G459)</f>
        <v>2884228</v>
      </c>
      <c r="H443" s="44">
        <f>SUM(H444:H459)</f>
        <v>2884228</v>
      </c>
      <c r="I443" s="44"/>
      <c r="J443" s="44">
        <f>SUM(J444:J460)</f>
        <v>1403060</v>
      </c>
      <c r="K443" s="44">
        <f>SUM(K444:K460)</f>
        <v>1602916</v>
      </c>
      <c r="L443" s="44">
        <f>SUM(L444:L460)</f>
        <v>1461934</v>
      </c>
      <c r="M443" s="44">
        <f>SUM(M444:M460)</f>
        <v>1570950</v>
      </c>
      <c r="N443" s="44">
        <v>2376565</v>
      </c>
      <c r="O443" s="44">
        <f>SUM(O444:O460)</f>
        <v>7063</v>
      </c>
      <c r="P443" s="44">
        <f>SUM(P444:P460)</f>
        <v>3063</v>
      </c>
      <c r="Q443" s="39">
        <f t="shared" si="47"/>
        <v>2380565</v>
      </c>
    </row>
    <row r="444" spans="1:17" ht="25.5">
      <c r="A444" s="31"/>
      <c r="B444" s="31"/>
      <c r="C444" s="32">
        <v>3020</v>
      </c>
      <c r="D444" s="33" t="s">
        <v>59</v>
      </c>
      <c r="E444" s="87">
        <v>780</v>
      </c>
      <c r="F444" s="87">
        <v>780</v>
      </c>
      <c r="G444" s="53">
        <v>800</v>
      </c>
      <c r="H444" s="53">
        <v>800</v>
      </c>
      <c r="I444" s="53"/>
      <c r="J444" s="53">
        <v>800</v>
      </c>
      <c r="K444" s="53">
        <v>800</v>
      </c>
      <c r="L444" s="53">
        <v>800</v>
      </c>
      <c r="M444" s="53">
        <v>1000</v>
      </c>
      <c r="N444" s="53">
        <v>1000</v>
      </c>
      <c r="O444" s="53">
        <v>139</v>
      </c>
      <c r="P444" s="53"/>
      <c r="Q444" s="39">
        <f t="shared" si="47"/>
        <v>1139</v>
      </c>
    </row>
    <row r="445" spans="1:17" ht="25.5">
      <c r="A445" s="31"/>
      <c r="B445" s="31"/>
      <c r="C445" s="54">
        <v>4010</v>
      </c>
      <c r="D445" s="33" t="s">
        <v>28</v>
      </c>
      <c r="E445" s="49">
        <v>1036622</v>
      </c>
      <c r="F445" s="49">
        <v>1090919</v>
      </c>
      <c r="G445" s="53">
        <v>1360539</v>
      </c>
      <c r="H445" s="53">
        <v>1360539</v>
      </c>
      <c r="I445" s="114">
        <f>1279300-74862+49908+4</f>
        <v>1254350</v>
      </c>
      <c r="J445" s="53">
        <v>1282810</v>
      </c>
      <c r="K445" s="53">
        <v>1343102</v>
      </c>
      <c r="L445" s="53">
        <v>1343102</v>
      </c>
      <c r="M445" s="53">
        <v>1445600</v>
      </c>
      <c r="N445" s="53">
        <v>1563182</v>
      </c>
      <c r="O445" s="53"/>
      <c r="P445" s="53"/>
      <c r="Q445" s="39">
        <f t="shared" si="47"/>
        <v>1563182</v>
      </c>
    </row>
    <row r="446" spans="1:17" ht="25.5">
      <c r="A446" s="31"/>
      <c r="B446" s="31"/>
      <c r="C446" s="54">
        <v>4018</v>
      </c>
      <c r="D446" s="33" t="s">
        <v>28</v>
      </c>
      <c r="E446" s="49">
        <v>1036622</v>
      </c>
      <c r="F446" s="49">
        <v>1090919</v>
      </c>
      <c r="G446" s="53">
        <v>1360539</v>
      </c>
      <c r="H446" s="53">
        <v>1360539</v>
      </c>
      <c r="I446" s="114">
        <f>1279300-74862+49908+4</f>
        <v>1254350</v>
      </c>
      <c r="J446" s="53"/>
      <c r="K446" s="53">
        <v>74880</v>
      </c>
      <c r="L446" s="53"/>
      <c r="M446" s="53">
        <v>0</v>
      </c>
      <c r="N446" s="53">
        <v>0</v>
      </c>
      <c r="O446" s="53">
        <f>N446</f>
        <v>0</v>
      </c>
      <c r="P446" s="53">
        <f>O446</f>
        <v>0</v>
      </c>
      <c r="Q446" s="39">
        <f t="shared" si="47"/>
        <v>0</v>
      </c>
    </row>
    <row r="447" spans="1:17" ht="12.75">
      <c r="A447" s="31"/>
      <c r="B447" s="31"/>
      <c r="C447" s="32">
        <v>4140</v>
      </c>
      <c r="D447" s="33" t="s">
        <v>97</v>
      </c>
      <c r="E447" s="49"/>
      <c r="F447" s="49"/>
      <c r="G447" s="53">
        <v>16000</v>
      </c>
      <c r="H447" s="53">
        <v>16000</v>
      </c>
      <c r="I447" s="53"/>
      <c r="J447" s="53">
        <v>8000</v>
      </c>
      <c r="K447" s="53">
        <v>13000</v>
      </c>
      <c r="L447" s="53">
        <v>11805</v>
      </c>
      <c r="M447" s="53">
        <v>15000</v>
      </c>
      <c r="N447" s="53">
        <v>8199</v>
      </c>
      <c r="O447" s="53"/>
      <c r="P447" s="53">
        <v>188</v>
      </c>
      <c r="Q447" s="39">
        <f t="shared" si="47"/>
        <v>8011</v>
      </c>
    </row>
    <row r="448" spans="1:17" ht="12.75">
      <c r="A448" s="31"/>
      <c r="B448" s="31"/>
      <c r="C448" s="32">
        <v>4210</v>
      </c>
      <c r="D448" s="33" t="s">
        <v>33</v>
      </c>
      <c r="E448" s="49">
        <v>34100</v>
      </c>
      <c r="F448" s="49">
        <v>34100</v>
      </c>
      <c r="G448" s="53">
        <v>34900</v>
      </c>
      <c r="H448" s="53">
        <v>34900</v>
      </c>
      <c r="I448" s="53"/>
      <c r="J448" s="53">
        <v>34900</v>
      </c>
      <c r="K448" s="53">
        <v>34900</v>
      </c>
      <c r="L448" s="53">
        <v>34900</v>
      </c>
      <c r="M448" s="53">
        <v>32000</v>
      </c>
      <c r="N448" s="53">
        <v>42105</v>
      </c>
      <c r="O448" s="53"/>
      <c r="P448" s="53">
        <v>1363</v>
      </c>
      <c r="Q448" s="39">
        <f t="shared" si="47"/>
        <v>40742</v>
      </c>
    </row>
    <row r="449" spans="1:17" ht="12.75">
      <c r="A449" s="31"/>
      <c r="B449" s="31"/>
      <c r="C449" s="32">
        <v>4218</v>
      </c>
      <c r="D449" s="33" t="s">
        <v>33</v>
      </c>
      <c r="E449" s="49">
        <v>34100</v>
      </c>
      <c r="F449" s="49">
        <v>34100</v>
      </c>
      <c r="G449" s="53">
        <v>34900</v>
      </c>
      <c r="H449" s="53">
        <v>34900</v>
      </c>
      <c r="I449" s="53"/>
      <c r="J449" s="53"/>
      <c r="K449" s="53">
        <v>20200</v>
      </c>
      <c r="L449" s="53">
        <v>0</v>
      </c>
      <c r="M449" s="53">
        <v>0</v>
      </c>
      <c r="N449" s="53">
        <v>0</v>
      </c>
      <c r="O449" s="53">
        <f>N449</f>
        <v>0</v>
      </c>
      <c r="P449" s="53">
        <f>O449</f>
        <v>0</v>
      </c>
      <c r="Q449" s="39">
        <f t="shared" si="47"/>
        <v>0</v>
      </c>
    </row>
    <row r="450" spans="1:17" ht="12.75">
      <c r="A450" s="31"/>
      <c r="B450" s="31"/>
      <c r="C450" s="32">
        <v>4280</v>
      </c>
      <c r="D450" s="33" t="s">
        <v>203</v>
      </c>
      <c r="E450" s="49">
        <v>1400</v>
      </c>
      <c r="F450" s="49">
        <v>1400</v>
      </c>
      <c r="G450" s="53">
        <v>1300</v>
      </c>
      <c r="H450" s="53">
        <v>1300</v>
      </c>
      <c r="I450" s="53"/>
      <c r="J450" s="53">
        <v>1300</v>
      </c>
      <c r="K450" s="53">
        <v>1300</v>
      </c>
      <c r="L450" s="53">
        <v>1000</v>
      </c>
      <c r="M450" s="53">
        <v>1200</v>
      </c>
      <c r="N450" s="53">
        <v>1200</v>
      </c>
      <c r="O450" s="53"/>
      <c r="P450" s="53">
        <v>434</v>
      </c>
      <c r="Q450" s="39">
        <f t="shared" si="47"/>
        <v>766</v>
      </c>
    </row>
    <row r="451" spans="1:17" ht="12.75">
      <c r="A451" s="31"/>
      <c r="B451" s="31"/>
      <c r="C451" s="32">
        <v>4300</v>
      </c>
      <c r="D451" s="33" t="s">
        <v>16</v>
      </c>
      <c r="E451" s="49">
        <v>15000</v>
      </c>
      <c r="F451" s="49">
        <v>12425</v>
      </c>
      <c r="G451" s="53">
        <v>15000</v>
      </c>
      <c r="H451" s="53">
        <v>15000</v>
      </c>
      <c r="I451" s="53"/>
      <c r="J451" s="53">
        <v>15000</v>
      </c>
      <c r="K451" s="53">
        <v>10000</v>
      </c>
      <c r="L451" s="53">
        <v>9500</v>
      </c>
      <c r="M451" s="53">
        <v>11000</v>
      </c>
      <c r="N451" s="53">
        <v>11000</v>
      </c>
      <c r="O451" s="53">
        <f>2890+4000</f>
        <v>6890</v>
      </c>
      <c r="P451" s="53"/>
      <c r="Q451" s="39">
        <f t="shared" si="47"/>
        <v>17890</v>
      </c>
    </row>
    <row r="452" spans="1:17" ht="38.25">
      <c r="A452" s="31"/>
      <c r="B452" s="31"/>
      <c r="C452" s="32">
        <v>4360</v>
      </c>
      <c r="D452" s="33" t="s">
        <v>99</v>
      </c>
      <c r="E452" s="95">
        <v>1400</v>
      </c>
      <c r="F452" s="95">
        <v>1400</v>
      </c>
      <c r="G452" s="53">
        <v>1400</v>
      </c>
      <c r="H452" s="53">
        <v>1400</v>
      </c>
      <c r="I452" s="53"/>
      <c r="J452" s="53">
        <v>1400</v>
      </c>
      <c r="K452" s="53">
        <v>1618</v>
      </c>
      <c r="L452" s="53">
        <v>1650</v>
      </c>
      <c r="M452" s="53">
        <v>1700</v>
      </c>
      <c r="N452" s="53">
        <v>1700</v>
      </c>
      <c r="O452" s="53">
        <v>34</v>
      </c>
      <c r="P452" s="53"/>
      <c r="Q452" s="39">
        <f t="shared" si="47"/>
        <v>1734</v>
      </c>
    </row>
    <row r="453" spans="1:17" ht="38.25">
      <c r="A453" s="31"/>
      <c r="B453" s="31"/>
      <c r="C453" s="32">
        <v>4370</v>
      </c>
      <c r="D453" s="33" t="s">
        <v>101</v>
      </c>
      <c r="E453" s="95">
        <v>4000</v>
      </c>
      <c r="F453" s="95">
        <v>7017</v>
      </c>
      <c r="G453" s="53">
        <v>5200</v>
      </c>
      <c r="H453" s="53">
        <v>5200</v>
      </c>
      <c r="I453" s="53"/>
      <c r="J453" s="53">
        <v>5200</v>
      </c>
      <c r="K453" s="53">
        <v>8357</v>
      </c>
      <c r="L453" s="53">
        <v>8700</v>
      </c>
      <c r="M453" s="53">
        <v>8700</v>
      </c>
      <c r="N453" s="53">
        <v>3760</v>
      </c>
      <c r="O453" s="53"/>
      <c r="P453" s="53">
        <v>260</v>
      </c>
      <c r="Q453" s="39">
        <f t="shared" si="47"/>
        <v>3500</v>
      </c>
    </row>
    <row r="454" spans="1:17" ht="38.25">
      <c r="A454" s="31"/>
      <c r="B454" s="31"/>
      <c r="C454" s="32">
        <v>4400</v>
      </c>
      <c r="D454" s="33" t="s">
        <v>62</v>
      </c>
      <c r="E454" s="95">
        <v>45000</v>
      </c>
      <c r="F454" s="95">
        <v>45000</v>
      </c>
      <c r="G454" s="53">
        <v>46000</v>
      </c>
      <c r="H454" s="53">
        <v>46000</v>
      </c>
      <c r="I454" s="53"/>
      <c r="J454" s="53">
        <v>46000</v>
      </c>
      <c r="K454" s="53">
        <v>44886</v>
      </c>
      <c r="L454" s="53">
        <v>44946</v>
      </c>
      <c r="M454" s="53">
        <v>46700</v>
      </c>
      <c r="N454" s="53">
        <v>46700</v>
      </c>
      <c r="O454" s="53"/>
      <c r="P454" s="53">
        <v>14</v>
      </c>
      <c r="Q454" s="39">
        <f t="shared" si="47"/>
        <v>46686</v>
      </c>
    </row>
    <row r="455" spans="1:17" ht="12.75">
      <c r="A455" s="31"/>
      <c r="B455" s="31"/>
      <c r="C455" s="32">
        <v>4410</v>
      </c>
      <c r="D455" s="33" t="s">
        <v>41</v>
      </c>
      <c r="E455" s="49">
        <v>2800</v>
      </c>
      <c r="F455" s="49">
        <v>2800</v>
      </c>
      <c r="G455" s="53">
        <v>2600</v>
      </c>
      <c r="H455" s="53">
        <v>2600</v>
      </c>
      <c r="I455" s="53"/>
      <c r="J455" s="53">
        <v>2600</v>
      </c>
      <c r="K455" s="53">
        <v>535</v>
      </c>
      <c r="L455" s="53">
        <v>50</v>
      </c>
      <c r="M455" s="53">
        <v>500</v>
      </c>
      <c r="N455" s="53">
        <v>500</v>
      </c>
      <c r="O455" s="53"/>
      <c r="P455" s="53">
        <v>369</v>
      </c>
      <c r="Q455" s="39">
        <f t="shared" si="47"/>
        <v>131</v>
      </c>
    </row>
    <row r="456" spans="1:17" ht="12.75">
      <c r="A456" s="31"/>
      <c r="B456" s="31"/>
      <c r="C456" s="32">
        <v>4480</v>
      </c>
      <c r="D456" s="33" t="s">
        <v>55</v>
      </c>
      <c r="E456" s="49">
        <v>4100</v>
      </c>
      <c r="F456" s="49">
        <v>3930</v>
      </c>
      <c r="G456" s="53">
        <v>4000</v>
      </c>
      <c r="H456" s="53">
        <v>4000</v>
      </c>
      <c r="I456" s="53"/>
      <c r="J456" s="53">
        <v>4000</v>
      </c>
      <c r="K456" s="53">
        <v>4018</v>
      </c>
      <c r="L456" s="53">
        <v>4018</v>
      </c>
      <c r="M456" s="53">
        <v>4500</v>
      </c>
      <c r="N456" s="53">
        <v>4500</v>
      </c>
      <c r="O456" s="53"/>
      <c r="P456" s="53">
        <v>113</v>
      </c>
      <c r="Q456" s="39">
        <f t="shared" si="47"/>
        <v>4387</v>
      </c>
    </row>
    <row r="457" spans="1:17" ht="12.75">
      <c r="A457" s="31"/>
      <c r="B457" s="31"/>
      <c r="C457" s="32">
        <v>4520</v>
      </c>
      <c r="D457" s="33" t="s">
        <v>154</v>
      </c>
      <c r="E457" s="49">
        <v>50</v>
      </c>
      <c r="F457" s="49">
        <v>33</v>
      </c>
      <c r="G457" s="53">
        <v>50</v>
      </c>
      <c r="H457" s="53">
        <v>50</v>
      </c>
      <c r="I457" s="53"/>
      <c r="J457" s="53">
        <v>50</v>
      </c>
      <c r="K457" s="53">
        <v>33</v>
      </c>
      <c r="L457" s="53">
        <v>33</v>
      </c>
      <c r="M457" s="53">
        <v>50</v>
      </c>
      <c r="N457" s="53">
        <v>60</v>
      </c>
      <c r="O457" s="53"/>
      <c r="P457" s="53">
        <v>27</v>
      </c>
      <c r="Q457" s="39">
        <f t="shared" si="47"/>
        <v>33</v>
      </c>
    </row>
    <row r="458" spans="1:17" ht="12.75">
      <c r="A458" s="31"/>
      <c r="B458" s="31"/>
      <c r="C458" s="32">
        <v>4580</v>
      </c>
      <c r="D458" s="30" t="s">
        <v>211</v>
      </c>
      <c r="E458" s="49"/>
      <c r="F458" s="49"/>
      <c r="G458" s="53"/>
      <c r="H458" s="53"/>
      <c r="I458" s="53"/>
      <c r="J458" s="53"/>
      <c r="K458" s="53"/>
      <c r="L458" s="53"/>
      <c r="M458" s="53"/>
      <c r="N458" s="53">
        <v>0</v>
      </c>
      <c r="O458" s="53"/>
      <c r="P458" s="53"/>
      <c r="Q458" s="39">
        <f t="shared" si="47"/>
        <v>0</v>
      </c>
    </row>
    <row r="459" spans="1:17" ht="38.25">
      <c r="A459" s="31"/>
      <c r="B459" s="31"/>
      <c r="C459" s="32">
        <v>4700</v>
      </c>
      <c r="D459" s="33" t="s">
        <v>155</v>
      </c>
      <c r="E459" s="49"/>
      <c r="F459" s="49">
        <v>745</v>
      </c>
      <c r="G459" s="53">
        <v>1000</v>
      </c>
      <c r="H459" s="53">
        <v>1000</v>
      </c>
      <c r="I459" s="53"/>
      <c r="J459" s="53">
        <v>1000</v>
      </c>
      <c r="K459" s="53">
        <v>2847</v>
      </c>
      <c r="L459" s="53">
        <v>1430</v>
      </c>
      <c r="M459" s="53">
        <v>3000</v>
      </c>
      <c r="N459" s="53">
        <v>3000</v>
      </c>
      <c r="O459" s="53"/>
      <c r="P459" s="53">
        <v>295</v>
      </c>
      <c r="Q459" s="39">
        <f t="shared" si="47"/>
        <v>2705</v>
      </c>
    </row>
    <row r="460" spans="1:17" ht="38.25">
      <c r="A460" s="31"/>
      <c r="B460" s="31"/>
      <c r="C460" s="32">
        <v>4758</v>
      </c>
      <c r="D460" s="33" t="s">
        <v>92</v>
      </c>
      <c r="E460" s="49">
        <v>820</v>
      </c>
      <c r="F460" s="49">
        <v>1320</v>
      </c>
      <c r="G460" s="51">
        <v>1850</v>
      </c>
      <c r="H460" s="51">
        <v>1350</v>
      </c>
      <c r="I460" s="51"/>
      <c r="J460" s="51"/>
      <c r="K460" s="51">
        <v>42440</v>
      </c>
      <c r="L460" s="51">
        <v>0</v>
      </c>
      <c r="M460" s="51">
        <v>0</v>
      </c>
      <c r="N460" s="53">
        <v>0</v>
      </c>
      <c r="O460" s="53">
        <f>N460</f>
        <v>0</v>
      </c>
      <c r="P460" s="53">
        <f>O460</f>
        <v>0</v>
      </c>
      <c r="Q460" s="39">
        <f t="shared" si="47"/>
        <v>0</v>
      </c>
    </row>
    <row r="461" spans="1:17" ht="12.75">
      <c r="A461" s="40"/>
      <c r="B461" s="40">
        <v>85334</v>
      </c>
      <c r="C461" s="41"/>
      <c r="D461" s="50" t="s">
        <v>156</v>
      </c>
      <c r="E461" s="44">
        <f>SUM(E462:E462)</f>
        <v>5794</v>
      </c>
      <c r="F461" s="44">
        <f>SUM(F462:F462)</f>
        <v>0</v>
      </c>
      <c r="G461" s="44">
        <f>SUM(G462:G462)</f>
        <v>0</v>
      </c>
      <c r="H461" s="39">
        <f>E461+F461-G461</f>
        <v>5794</v>
      </c>
      <c r="I461" s="39"/>
      <c r="J461" s="39">
        <f aca="true" t="shared" si="48" ref="J461:P461">SUM(J462)</f>
        <v>0</v>
      </c>
      <c r="K461" s="39">
        <f t="shared" si="48"/>
        <v>6538</v>
      </c>
      <c r="L461" s="39">
        <f t="shared" si="48"/>
        <v>0</v>
      </c>
      <c r="M461" s="39">
        <f t="shared" si="48"/>
        <v>0</v>
      </c>
      <c r="N461" s="39">
        <v>0</v>
      </c>
      <c r="O461" s="39">
        <f t="shared" si="48"/>
        <v>0</v>
      </c>
      <c r="P461" s="39">
        <f t="shared" si="48"/>
        <v>0</v>
      </c>
      <c r="Q461" s="39">
        <f t="shared" si="47"/>
        <v>0</v>
      </c>
    </row>
    <row r="462" spans="1:17" ht="12.75">
      <c r="A462" s="31"/>
      <c r="B462" s="31"/>
      <c r="C462" s="32">
        <v>3110</v>
      </c>
      <c r="D462" s="33" t="s">
        <v>116</v>
      </c>
      <c r="E462" s="51">
        <v>5794</v>
      </c>
      <c r="F462" s="51"/>
      <c r="G462" s="51"/>
      <c r="H462" s="39">
        <f>E462+F462-G462</f>
        <v>5794</v>
      </c>
      <c r="I462" s="39"/>
      <c r="J462" s="51"/>
      <c r="K462" s="51">
        <v>6538</v>
      </c>
      <c r="L462" s="51"/>
      <c r="M462" s="51"/>
      <c r="N462" s="51">
        <v>0</v>
      </c>
      <c r="O462" s="51"/>
      <c r="P462" s="51"/>
      <c r="Q462" s="39">
        <f t="shared" si="47"/>
        <v>0</v>
      </c>
    </row>
    <row r="463" spans="1:17" ht="12.75">
      <c r="A463" s="31"/>
      <c r="B463" s="115">
        <v>85395</v>
      </c>
      <c r="C463" s="116"/>
      <c r="D463" s="117" t="s">
        <v>149</v>
      </c>
      <c r="E463" s="118">
        <f>SUM(E464:E495)</f>
        <v>87000</v>
      </c>
      <c r="F463" s="51"/>
      <c r="G463" s="51"/>
      <c r="H463" s="39"/>
      <c r="I463" s="39"/>
      <c r="J463" s="118">
        <f>SUM(J464:J497)</f>
        <v>251540</v>
      </c>
      <c r="K463" s="118">
        <f>SUM(K464:K497)</f>
        <v>743442</v>
      </c>
      <c r="L463" s="118">
        <f>SUM(L464:L497)</f>
        <v>743442</v>
      </c>
      <c r="M463" s="118">
        <f>SUM(M464:M497)</f>
        <v>684334</v>
      </c>
      <c r="N463" s="118">
        <v>4022027</v>
      </c>
      <c r="O463" s="118">
        <f>SUM(O464:O497)</f>
        <v>102923</v>
      </c>
      <c r="P463" s="118">
        <f>SUM(P464:P497)</f>
        <v>576088</v>
      </c>
      <c r="Q463" s="39">
        <f t="shared" si="47"/>
        <v>3548862</v>
      </c>
    </row>
    <row r="464" spans="1:17" ht="12.75">
      <c r="A464" s="31"/>
      <c r="B464" s="31"/>
      <c r="C464" s="32">
        <v>3118</v>
      </c>
      <c r="D464" s="33" t="s">
        <v>116</v>
      </c>
      <c r="E464" s="49"/>
      <c r="F464" s="49">
        <v>156100</v>
      </c>
      <c r="G464" s="49">
        <v>163740</v>
      </c>
      <c r="H464" s="49">
        <v>163740</v>
      </c>
      <c r="I464" s="49"/>
      <c r="J464" s="49">
        <v>163740</v>
      </c>
      <c r="K464" s="49">
        <v>163740</v>
      </c>
      <c r="L464" s="49">
        <v>163740</v>
      </c>
      <c r="M464" s="49">
        <v>104432</v>
      </c>
      <c r="N464" s="49">
        <v>14218</v>
      </c>
      <c r="O464" s="49">
        <v>1668</v>
      </c>
      <c r="P464" s="49"/>
      <c r="Q464" s="39">
        <f t="shared" si="47"/>
        <v>15886</v>
      </c>
    </row>
    <row r="465" spans="1:17" ht="12.75">
      <c r="A465" s="31"/>
      <c r="B465" s="119"/>
      <c r="C465" s="32">
        <v>3119</v>
      </c>
      <c r="D465" s="33" t="s">
        <v>116</v>
      </c>
      <c r="E465" s="120"/>
      <c r="F465" s="120"/>
      <c r="G465" s="120"/>
      <c r="H465" s="120"/>
      <c r="I465" s="120"/>
      <c r="J465" s="75"/>
      <c r="K465" s="71"/>
      <c r="L465" s="71"/>
      <c r="M465" s="71"/>
      <c r="N465" s="51">
        <v>2509</v>
      </c>
      <c r="O465" s="51"/>
      <c r="P465" s="51">
        <v>1668</v>
      </c>
      <c r="Q465" s="39">
        <f t="shared" si="47"/>
        <v>841</v>
      </c>
    </row>
    <row r="466" spans="1:17" ht="25.5">
      <c r="A466" s="31"/>
      <c r="B466" s="119"/>
      <c r="C466" s="32">
        <v>4018</v>
      </c>
      <c r="D466" s="33" t="s">
        <v>213</v>
      </c>
      <c r="E466" s="120"/>
      <c r="F466" s="120"/>
      <c r="G466" s="120"/>
      <c r="H466" s="120"/>
      <c r="I466" s="120"/>
      <c r="J466" s="75"/>
      <c r="K466" s="71"/>
      <c r="L466" s="71"/>
      <c r="M466" s="71"/>
      <c r="N466" s="51">
        <v>85334</v>
      </c>
      <c r="O466" s="51">
        <v>1905</v>
      </c>
      <c r="P466" s="51">
        <v>5353</v>
      </c>
      <c r="Q466" s="39">
        <f t="shared" si="47"/>
        <v>81886</v>
      </c>
    </row>
    <row r="467" spans="1:17" ht="25.5">
      <c r="A467" s="31"/>
      <c r="B467" s="119"/>
      <c r="C467" s="32">
        <v>4019</v>
      </c>
      <c r="D467" s="33" t="s">
        <v>213</v>
      </c>
      <c r="E467" s="120"/>
      <c r="F467" s="120"/>
      <c r="G467" s="120"/>
      <c r="H467" s="120"/>
      <c r="I467" s="120"/>
      <c r="J467" s="75"/>
      <c r="K467" s="71"/>
      <c r="L467" s="71"/>
      <c r="M467" s="71"/>
      <c r="N467" s="51">
        <v>14584</v>
      </c>
      <c r="O467" s="51"/>
      <c r="P467" s="51">
        <v>3896</v>
      </c>
      <c r="Q467" s="39">
        <f t="shared" si="47"/>
        <v>10688</v>
      </c>
    </row>
    <row r="468" spans="1:17" ht="25.5">
      <c r="A468" s="31"/>
      <c r="B468" s="119"/>
      <c r="C468" s="116">
        <v>4118</v>
      </c>
      <c r="D468" s="121" t="s">
        <v>88</v>
      </c>
      <c r="E468" s="120"/>
      <c r="F468" s="120"/>
      <c r="G468" s="120"/>
      <c r="H468" s="120"/>
      <c r="I468" s="120"/>
      <c r="J468" s="75"/>
      <c r="K468" s="71">
        <v>4432</v>
      </c>
      <c r="L468" s="71">
        <v>4432</v>
      </c>
      <c r="M468" s="71">
        <v>4432</v>
      </c>
      <c r="N468" s="51">
        <v>142892</v>
      </c>
      <c r="O468" s="51">
        <v>465</v>
      </c>
      <c r="P468" s="51">
        <v>48747</v>
      </c>
      <c r="Q468" s="39">
        <f t="shared" si="47"/>
        <v>94610</v>
      </c>
    </row>
    <row r="469" spans="1:17" ht="25.5">
      <c r="A469" s="31"/>
      <c r="B469" s="119"/>
      <c r="C469" s="116">
        <v>4119</v>
      </c>
      <c r="D469" s="121" t="s">
        <v>88</v>
      </c>
      <c r="E469" s="120"/>
      <c r="F469" s="120"/>
      <c r="G469" s="120"/>
      <c r="H469" s="120"/>
      <c r="I469" s="120"/>
      <c r="J469" s="75"/>
      <c r="K469" s="71">
        <v>782</v>
      </c>
      <c r="L469" s="71">
        <v>782</v>
      </c>
      <c r="M469" s="71">
        <v>782</v>
      </c>
      <c r="N469" s="51">
        <v>25035</v>
      </c>
      <c r="O469" s="51"/>
      <c r="P469" s="51">
        <v>9068</v>
      </c>
      <c r="Q469" s="39">
        <f aca="true" t="shared" si="49" ref="Q469:Q497">N469+O469-P469</f>
        <v>15967</v>
      </c>
    </row>
    <row r="470" spans="1:17" ht="12.75">
      <c r="A470" s="31"/>
      <c r="B470" s="119"/>
      <c r="C470" s="116">
        <v>4128</v>
      </c>
      <c r="D470" s="121" t="s">
        <v>90</v>
      </c>
      <c r="E470" s="120"/>
      <c r="F470" s="120"/>
      <c r="G470" s="120"/>
      <c r="H470" s="120"/>
      <c r="I470" s="120"/>
      <c r="J470" s="75"/>
      <c r="K470" s="71">
        <v>715</v>
      </c>
      <c r="L470" s="71">
        <v>715</v>
      </c>
      <c r="M470" s="71">
        <v>715</v>
      </c>
      <c r="N470" s="51">
        <v>22998</v>
      </c>
      <c r="O470" s="51">
        <f>339</f>
        <v>339</v>
      </c>
      <c r="P470" s="51">
        <v>5558</v>
      </c>
      <c r="Q470" s="39">
        <f t="shared" si="49"/>
        <v>17779</v>
      </c>
    </row>
    <row r="471" spans="1:17" ht="12.75">
      <c r="A471" s="31"/>
      <c r="B471" s="119"/>
      <c r="C471" s="116">
        <v>4129</v>
      </c>
      <c r="D471" s="121" t="s">
        <v>90</v>
      </c>
      <c r="E471" s="120"/>
      <c r="F471" s="120"/>
      <c r="G471" s="120"/>
      <c r="H471" s="120"/>
      <c r="I471" s="120"/>
      <c r="J471" s="75"/>
      <c r="K471" s="71">
        <v>126</v>
      </c>
      <c r="L471" s="71">
        <v>126</v>
      </c>
      <c r="M471" s="71">
        <v>126</v>
      </c>
      <c r="N471" s="51">
        <v>4028</v>
      </c>
      <c r="O471" s="51">
        <v>47</v>
      </c>
      <c r="P471" s="51">
        <v>1056</v>
      </c>
      <c r="Q471" s="39">
        <f t="shared" si="49"/>
        <v>3019</v>
      </c>
    </row>
    <row r="472" spans="1:17" ht="12.75">
      <c r="A472" s="31"/>
      <c r="B472" s="119"/>
      <c r="C472" s="116">
        <v>4178</v>
      </c>
      <c r="D472" s="121" t="s">
        <v>60</v>
      </c>
      <c r="E472" s="120"/>
      <c r="F472" s="120"/>
      <c r="G472" s="120"/>
      <c r="H472" s="120"/>
      <c r="I472" s="120"/>
      <c r="J472" s="75"/>
      <c r="K472" s="71">
        <v>29875</v>
      </c>
      <c r="L472" s="71">
        <v>29875</v>
      </c>
      <c r="M472" s="71">
        <v>29875</v>
      </c>
      <c r="N472" s="51">
        <v>884124</v>
      </c>
      <c r="O472" s="51">
        <v>7960</v>
      </c>
      <c r="P472" s="51">
        <v>203215</v>
      </c>
      <c r="Q472" s="39">
        <f t="shared" si="49"/>
        <v>688869</v>
      </c>
    </row>
    <row r="473" spans="1:17" ht="12.75">
      <c r="A473" s="31"/>
      <c r="B473" s="119"/>
      <c r="C473" s="116">
        <v>4179</v>
      </c>
      <c r="D473" s="121" t="s">
        <v>60</v>
      </c>
      <c r="E473" s="120"/>
      <c r="F473" s="120"/>
      <c r="G473" s="120"/>
      <c r="H473" s="120"/>
      <c r="I473" s="120"/>
      <c r="J473" s="75"/>
      <c r="K473" s="71">
        <v>5272</v>
      </c>
      <c r="L473" s="71">
        <v>5272</v>
      </c>
      <c r="M473" s="71">
        <v>5272</v>
      </c>
      <c r="N473" s="51">
        <v>144544</v>
      </c>
      <c r="O473" s="51">
        <v>2722</v>
      </c>
      <c r="P473" s="51">
        <v>35156</v>
      </c>
      <c r="Q473" s="39">
        <f t="shared" si="49"/>
        <v>112110</v>
      </c>
    </row>
    <row r="474" spans="1:17" ht="12.75">
      <c r="A474" s="31"/>
      <c r="B474" s="119"/>
      <c r="C474" s="116">
        <v>4218</v>
      </c>
      <c r="D474" s="121" t="s">
        <v>33</v>
      </c>
      <c r="E474" s="120"/>
      <c r="F474" s="120"/>
      <c r="G474" s="120"/>
      <c r="H474" s="120"/>
      <c r="I474" s="120"/>
      <c r="J474" s="75"/>
      <c r="K474" s="71">
        <v>4505</v>
      </c>
      <c r="L474" s="71">
        <v>4505</v>
      </c>
      <c r="M474" s="71">
        <v>4505</v>
      </c>
      <c r="N474" s="51">
        <v>244657</v>
      </c>
      <c r="O474" s="51">
        <f>8463-7188+8888</f>
        <v>10163</v>
      </c>
      <c r="P474" s="51">
        <f>71506+20417</f>
        <v>91923</v>
      </c>
      <c r="Q474" s="39">
        <f t="shared" si="49"/>
        <v>162897</v>
      </c>
    </row>
    <row r="475" spans="1:17" ht="12.75">
      <c r="A475" s="31"/>
      <c r="B475" s="119"/>
      <c r="C475" s="116">
        <v>4219</v>
      </c>
      <c r="D475" s="121" t="s">
        <v>33</v>
      </c>
      <c r="E475" s="120"/>
      <c r="F475" s="120"/>
      <c r="G475" s="120"/>
      <c r="H475" s="120"/>
      <c r="I475" s="120"/>
      <c r="J475" s="75"/>
      <c r="K475" s="71">
        <v>795</v>
      </c>
      <c r="L475" s="71">
        <v>795</v>
      </c>
      <c r="M475" s="71">
        <v>795</v>
      </c>
      <c r="N475" s="51">
        <v>40053</v>
      </c>
      <c r="O475" s="51">
        <v>225</v>
      </c>
      <c r="P475" s="51">
        <f>13090-472+172+2383</f>
        <v>15173</v>
      </c>
      <c r="Q475" s="39">
        <f t="shared" si="49"/>
        <v>25105</v>
      </c>
    </row>
    <row r="476" spans="1:17" ht="25.5">
      <c r="A476" s="31"/>
      <c r="B476" s="119"/>
      <c r="C476" s="116">
        <v>4248</v>
      </c>
      <c r="D476" s="121" t="s">
        <v>91</v>
      </c>
      <c r="E476" s="120"/>
      <c r="F476" s="120"/>
      <c r="G476" s="120"/>
      <c r="H476" s="120"/>
      <c r="I476" s="120"/>
      <c r="J476" s="75"/>
      <c r="K476" s="71">
        <v>340000</v>
      </c>
      <c r="L476" s="71">
        <v>340000</v>
      </c>
      <c r="M476" s="71">
        <v>340000</v>
      </c>
      <c r="N476" s="51">
        <v>0</v>
      </c>
      <c r="O476" s="51"/>
      <c r="P476" s="51"/>
      <c r="Q476" s="39">
        <f t="shared" si="49"/>
        <v>0</v>
      </c>
    </row>
    <row r="477" spans="1:17" ht="25.5">
      <c r="A477" s="31"/>
      <c r="B477" s="119"/>
      <c r="C477" s="116">
        <v>4249</v>
      </c>
      <c r="D477" s="121" t="s">
        <v>91</v>
      </c>
      <c r="E477" s="120"/>
      <c r="F477" s="120"/>
      <c r="G477" s="120"/>
      <c r="H477" s="120"/>
      <c r="I477" s="120"/>
      <c r="J477" s="75"/>
      <c r="K477" s="71">
        <v>60000</v>
      </c>
      <c r="L477" s="71">
        <v>60000</v>
      </c>
      <c r="M477" s="71">
        <v>60000</v>
      </c>
      <c r="N477" s="51">
        <v>0</v>
      </c>
      <c r="O477" s="51"/>
      <c r="P477" s="51"/>
      <c r="Q477" s="39">
        <f t="shared" si="49"/>
        <v>0</v>
      </c>
    </row>
    <row r="478" spans="1:17" ht="25.5">
      <c r="A478" s="31"/>
      <c r="B478" s="119"/>
      <c r="C478" s="116">
        <v>4248</v>
      </c>
      <c r="D478" s="121" t="s">
        <v>91</v>
      </c>
      <c r="E478" s="120"/>
      <c r="F478" s="120"/>
      <c r="G478" s="120"/>
      <c r="H478" s="120"/>
      <c r="I478" s="120"/>
      <c r="J478" s="75"/>
      <c r="K478" s="71"/>
      <c r="L478" s="71"/>
      <c r="M478" s="71"/>
      <c r="N478" s="51">
        <v>56094</v>
      </c>
      <c r="O478" s="51"/>
      <c r="P478" s="51">
        <v>30870</v>
      </c>
      <c r="Q478" s="39">
        <f t="shared" si="49"/>
        <v>25224</v>
      </c>
    </row>
    <row r="479" spans="1:17" ht="25.5">
      <c r="A479" s="31"/>
      <c r="B479" s="119"/>
      <c r="C479" s="116">
        <v>4249</v>
      </c>
      <c r="D479" s="121" t="s">
        <v>91</v>
      </c>
      <c r="E479" s="120"/>
      <c r="F479" s="120"/>
      <c r="G479" s="120"/>
      <c r="H479" s="120"/>
      <c r="I479" s="120"/>
      <c r="J479" s="75"/>
      <c r="K479" s="71"/>
      <c r="L479" s="71"/>
      <c r="M479" s="71"/>
      <c r="N479" s="51">
        <v>8629</v>
      </c>
      <c r="O479" s="51"/>
      <c r="P479" s="51">
        <v>5448</v>
      </c>
      <c r="Q479" s="39">
        <f t="shared" si="49"/>
        <v>3181</v>
      </c>
    </row>
    <row r="480" spans="1:17" ht="12.75">
      <c r="A480" s="31"/>
      <c r="B480" s="31"/>
      <c r="C480" s="32">
        <v>4268</v>
      </c>
      <c r="D480" s="33" t="s">
        <v>34</v>
      </c>
      <c r="E480" s="49">
        <v>43500</v>
      </c>
      <c r="F480" s="49">
        <v>43500</v>
      </c>
      <c r="G480" s="53">
        <v>43900</v>
      </c>
      <c r="H480" s="53">
        <v>43900</v>
      </c>
      <c r="I480" s="53"/>
      <c r="J480" s="53">
        <v>43900</v>
      </c>
      <c r="K480" s="53">
        <v>43900</v>
      </c>
      <c r="L480" s="53">
        <v>43900</v>
      </c>
      <c r="M480" s="53">
        <v>44000</v>
      </c>
      <c r="N480" s="53">
        <v>5732</v>
      </c>
      <c r="O480" s="53"/>
      <c r="P480" s="53">
        <v>4255</v>
      </c>
      <c r="Q480" s="39">
        <f t="shared" si="49"/>
        <v>1477</v>
      </c>
    </row>
    <row r="481" spans="1:17" ht="12.75">
      <c r="A481" s="31"/>
      <c r="B481" s="31"/>
      <c r="C481" s="32">
        <v>4269</v>
      </c>
      <c r="D481" s="33" t="s">
        <v>34</v>
      </c>
      <c r="E481" s="49">
        <v>43500</v>
      </c>
      <c r="F481" s="49">
        <v>43500</v>
      </c>
      <c r="G481" s="53">
        <v>43900</v>
      </c>
      <c r="H481" s="53">
        <v>43900</v>
      </c>
      <c r="I481" s="53"/>
      <c r="J481" s="53">
        <v>43900</v>
      </c>
      <c r="K481" s="53">
        <v>43900</v>
      </c>
      <c r="L481" s="53">
        <v>43900</v>
      </c>
      <c r="M481" s="53">
        <v>44000</v>
      </c>
      <c r="N481" s="53">
        <v>758</v>
      </c>
      <c r="O481" s="53"/>
      <c r="P481" s="53">
        <v>497</v>
      </c>
      <c r="Q481" s="39">
        <f t="shared" si="49"/>
        <v>261</v>
      </c>
    </row>
    <row r="482" spans="1:17" ht="12.75">
      <c r="A482" s="31"/>
      <c r="B482" s="119"/>
      <c r="C482" s="116">
        <v>4308</v>
      </c>
      <c r="D482" s="121" t="s">
        <v>16</v>
      </c>
      <c r="E482" s="120"/>
      <c r="F482" s="120"/>
      <c r="G482" s="120"/>
      <c r="H482" s="120"/>
      <c r="I482" s="120"/>
      <c r="J482" s="75"/>
      <c r="K482" s="71">
        <v>22987</v>
      </c>
      <c r="L482" s="71">
        <v>22987</v>
      </c>
      <c r="M482" s="71">
        <v>22987</v>
      </c>
      <c r="N482" s="51">
        <v>1005896</v>
      </c>
      <c r="O482" s="51">
        <f>63712-484</f>
        <v>63228</v>
      </c>
      <c r="P482" s="51">
        <f>1275+1416</f>
        <v>2691</v>
      </c>
      <c r="Q482" s="39">
        <f t="shared" si="49"/>
        <v>1066433</v>
      </c>
    </row>
    <row r="483" spans="1:17" ht="12.75">
      <c r="A483" s="31"/>
      <c r="B483" s="119"/>
      <c r="C483" s="116">
        <v>4309</v>
      </c>
      <c r="D483" s="121" t="s">
        <v>16</v>
      </c>
      <c r="E483" s="120"/>
      <c r="F483" s="120"/>
      <c r="G483" s="120"/>
      <c r="H483" s="120"/>
      <c r="I483" s="120"/>
      <c r="J483" s="75"/>
      <c r="K483" s="71">
        <v>4057</v>
      </c>
      <c r="L483" s="71">
        <v>4057</v>
      </c>
      <c r="M483" s="71">
        <v>4057</v>
      </c>
      <c r="N483" s="51">
        <v>166591</v>
      </c>
      <c r="O483" s="51">
        <v>8840</v>
      </c>
      <c r="P483" s="51">
        <f>9402-9177+9277</f>
        <v>9502</v>
      </c>
      <c r="Q483" s="39">
        <f t="shared" si="49"/>
        <v>165929</v>
      </c>
    </row>
    <row r="484" spans="1:17" ht="38.25">
      <c r="A484" s="31"/>
      <c r="B484" s="119"/>
      <c r="C484" s="116">
        <v>4378</v>
      </c>
      <c r="D484" s="121" t="s">
        <v>101</v>
      </c>
      <c r="E484" s="120"/>
      <c r="F484" s="120"/>
      <c r="G484" s="120"/>
      <c r="H484" s="120"/>
      <c r="I484" s="120"/>
      <c r="J484" s="75"/>
      <c r="K484" s="71">
        <v>850</v>
      </c>
      <c r="L484" s="71">
        <v>850</v>
      </c>
      <c r="M484" s="71">
        <v>850</v>
      </c>
      <c r="N484" s="51">
        <v>0</v>
      </c>
      <c r="O484" s="51"/>
      <c r="P484" s="51"/>
      <c r="Q484" s="39">
        <f t="shared" si="49"/>
        <v>0</v>
      </c>
    </row>
    <row r="485" spans="1:17" ht="38.25">
      <c r="A485" s="31"/>
      <c r="B485" s="119"/>
      <c r="C485" s="116">
        <v>4379</v>
      </c>
      <c r="D485" s="121" t="s">
        <v>101</v>
      </c>
      <c r="E485" s="120"/>
      <c r="F485" s="120"/>
      <c r="G485" s="120"/>
      <c r="H485" s="120"/>
      <c r="I485" s="120"/>
      <c r="J485" s="75"/>
      <c r="K485" s="71">
        <v>150</v>
      </c>
      <c r="L485" s="71">
        <v>150</v>
      </c>
      <c r="M485" s="71">
        <v>150</v>
      </c>
      <c r="N485" s="51">
        <v>0</v>
      </c>
      <c r="O485" s="51"/>
      <c r="P485" s="51"/>
      <c r="Q485" s="39">
        <f t="shared" si="49"/>
        <v>0</v>
      </c>
    </row>
    <row r="486" spans="1:17" ht="38.25">
      <c r="A486" s="31"/>
      <c r="B486" s="31"/>
      <c r="C486" s="32">
        <v>4408</v>
      </c>
      <c r="D486" s="70" t="s">
        <v>62</v>
      </c>
      <c r="E486" s="122"/>
      <c r="F486" s="122"/>
      <c r="G486" s="123"/>
      <c r="H486" s="123"/>
      <c r="I486" s="123"/>
      <c r="J486" s="53"/>
      <c r="K486" s="53"/>
      <c r="L486" s="53"/>
      <c r="M486" s="53"/>
      <c r="N486" s="53">
        <v>5500</v>
      </c>
      <c r="O486" s="53">
        <v>2245</v>
      </c>
      <c r="P486" s="53"/>
      <c r="Q486" s="39">
        <f t="shared" si="49"/>
        <v>7745</v>
      </c>
    </row>
    <row r="487" spans="1:17" ht="38.25">
      <c r="A487" s="31"/>
      <c r="B487" s="31"/>
      <c r="C487" s="32">
        <v>4409</v>
      </c>
      <c r="D487" s="70" t="s">
        <v>62</v>
      </c>
      <c r="E487" s="122"/>
      <c r="F487" s="122"/>
      <c r="G487" s="123"/>
      <c r="H487" s="123"/>
      <c r="I487" s="123"/>
      <c r="J487" s="53"/>
      <c r="K487" s="53"/>
      <c r="L487" s="53"/>
      <c r="M487" s="53"/>
      <c r="N487" s="53">
        <v>970</v>
      </c>
      <c r="O487" s="53"/>
      <c r="P487" s="53">
        <v>540</v>
      </c>
      <c r="Q487" s="39">
        <f t="shared" si="49"/>
        <v>430</v>
      </c>
    </row>
    <row r="488" spans="1:17" ht="12.75">
      <c r="A488" s="31"/>
      <c r="B488" s="119"/>
      <c r="C488" s="116">
        <v>4418</v>
      </c>
      <c r="D488" s="33" t="s">
        <v>41</v>
      </c>
      <c r="E488" s="120"/>
      <c r="F488" s="120"/>
      <c r="G488" s="120"/>
      <c r="H488" s="120"/>
      <c r="I488" s="120"/>
      <c r="J488" s="75"/>
      <c r="K488" s="71"/>
      <c r="L488" s="71"/>
      <c r="M488" s="71"/>
      <c r="N488" s="124">
        <v>65181</v>
      </c>
      <c r="O488" s="124">
        <v>54</v>
      </c>
      <c r="P488" s="124">
        <v>43248</v>
      </c>
      <c r="Q488" s="39">
        <f t="shared" si="49"/>
        <v>21987</v>
      </c>
    </row>
    <row r="489" spans="1:17" ht="12.75">
      <c r="A489" s="31"/>
      <c r="B489" s="119"/>
      <c r="C489" s="116">
        <v>4419</v>
      </c>
      <c r="D489" s="33" t="s">
        <v>41</v>
      </c>
      <c r="E489" s="120"/>
      <c r="F489" s="120"/>
      <c r="G489" s="120"/>
      <c r="H489" s="120"/>
      <c r="I489" s="120"/>
      <c r="J489" s="75"/>
      <c r="K489" s="71"/>
      <c r="L489" s="71"/>
      <c r="M489" s="71"/>
      <c r="N489" s="124">
        <v>11503</v>
      </c>
      <c r="O489" s="124">
        <v>3</v>
      </c>
      <c r="P489" s="124">
        <v>7632</v>
      </c>
      <c r="Q489" s="39">
        <f t="shared" si="49"/>
        <v>3874</v>
      </c>
    </row>
    <row r="490" spans="1:17" ht="12.75">
      <c r="A490" s="31"/>
      <c r="B490" s="119"/>
      <c r="C490" s="116">
        <v>4438</v>
      </c>
      <c r="D490" s="125" t="s">
        <v>42</v>
      </c>
      <c r="E490" s="120"/>
      <c r="F490" s="120"/>
      <c r="G490" s="120"/>
      <c r="H490" s="120"/>
      <c r="I490" s="120"/>
      <c r="J490" s="75"/>
      <c r="K490" s="71"/>
      <c r="L490" s="71"/>
      <c r="M490" s="71"/>
      <c r="N490" s="124">
        <v>510</v>
      </c>
      <c r="O490" s="124">
        <v>14</v>
      </c>
      <c r="P490" s="124"/>
      <c r="Q490" s="39">
        <f t="shared" si="49"/>
        <v>524</v>
      </c>
    </row>
    <row r="491" spans="1:17" ht="12.75">
      <c r="A491" s="31"/>
      <c r="B491" s="119"/>
      <c r="C491" s="116">
        <v>4439</v>
      </c>
      <c r="D491" s="125" t="s">
        <v>42</v>
      </c>
      <c r="E491" s="120"/>
      <c r="F491" s="120"/>
      <c r="G491" s="120"/>
      <c r="H491" s="120"/>
      <c r="I491" s="120"/>
      <c r="J491" s="75"/>
      <c r="K491" s="71"/>
      <c r="L491" s="71"/>
      <c r="M491" s="71"/>
      <c r="N491" s="124">
        <v>90</v>
      </c>
      <c r="O491" s="124"/>
      <c r="P491" s="124">
        <v>62</v>
      </c>
      <c r="Q491" s="39">
        <f t="shared" si="49"/>
        <v>28</v>
      </c>
    </row>
    <row r="492" spans="1:17" ht="38.25">
      <c r="A492" s="31"/>
      <c r="B492" s="119"/>
      <c r="C492" s="116">
        <v>4748</v>
      </c>
      <c r="D492" s="121" t="s">
        <v>63</v>
      </c>
      <c r="E492" s="120"/>
      <c r="F492" s="120"/>
      <c r="G492" s="120"/>
      <c r="H492" s="120"/>
      <c r="I492" s="120"/>
      <c r="J492" s="75"/>
      <c r="K492" s="71">
        <v>3278</v>
      </c>
      <c r="L492" s="71">
        <v>3278</v>
      </c>
      <c r="M492" s="71">
        <v>3278</v>
      </c>
      <c r="N492" s="51">
        <v>22556</v>
      </c>
      <c r="O492" s="51">
        <v>200</v>
      </c>
      <c r="P492" s="51">
        <v>12394</v>
      </c>
      <c r="Q492" s="39">
        <f t="shared" si="49"/>
        <v>10362</v>
      </c>
    </row>
    <row r="493" spans="1:17" ht="38.25">
      <c r="A493" s="31"/>
      <c r="B493" s="119"/>
      <c r="C493" s="116">
        <v>4749</v>
      </c>
      <c r="D493" s="121" t="s">
        <v>63</v>
      </c>
      <c r="E493" s="120"/>
      <c r="F493" s="120"/>
      <c r="G493" s="120"/>
      <c r="H493" s="120"/>
      <c r="I493" s="120"/>
      <c r="J493" s="75"/>
      <c r="K493" s="71">
        <v>578</v>
      </c>
      <c r="L493" s="71">
        <v>578</v>
      </c>
      <c r="M493" s="71">
        <v>578</v>
      </c>
      <c r="N493" s="51">
        <v>11141</v>
      </c>
      <c r="O493" s="51"/>
      <c r="P493" s="51">
        <f>2188+200</f>
        <v>2388</v>
      </c>
      <c r="Q493" s="39">
        <f t="shared" si="49"/>
        <v>8753</v>
      </c>
    </row>
    <row r="494" spans="1:17" ht="38.25">
      <c r="A494" s="31"/>
      <c r="B494" s="119"/>
      <c r="C494" s="116">
        <v>4758</v>
      </c>
      <c r="D494" s="121" t="s">
        <v>92</v>
      </c>
      <c r="E494" s="120"/>
      <c r="F494" s="120"/>
      <c r="G494" s="120"/>
      <c r="H494" s="120"/>
      <c r="I494" s="120"/>
      <c r="J494" s="75"/>
      <c r="K494" s="71">
        <v>4250</v>
      </c>
      <c r="L494" s="71">
        <v>4250</v>
      </c>
      <c r="M494" s="71">
        <v>4250</v>
      </c>
      <c r="N494" s="51">
        <v>47998</v>
      </c>
      <c r="O494" s="51">
        <v>2516</v>
      </c>
      <c r="P494" s="51">
        <v>30058</v>
      </c>
      <c r="Q494" s="39">
        <f t="shared" si="49"/>
        <v>20456</v>
      </c>
    </row>
    <row r="495" spans="1:17" ht="38.25">
      <c r="A495" s="31"/>
      <c r="B495" s="119"/>
      <c r="C495" s="116">
        <v>4759</v>
      </c>
      <c r="D495" s="121" t="s">
        <v>92</v>
      </c>
      <c r="E495" s="120"/>
      <c r="F495" s="120"/>
      <c r="G495" s="120"/>
      <c r="H495" s="120"/>
      <c r="I495" s="120"/>
      <c r="J495" s="75"/>
      <c r="K495" s="71">
        <v>750</v>
      </c>
      <c r="L495" s="71">
        <v>750</v>
      </c>
      <c r="M495" s="71">
        <v>750</v>
      </c>
      <c r="N495" s="51">
        <v>8406</v>
      </c>
      <c r="O495" s="51">
        <v>329</v>
      </c>
      <c r="P495" s="51">
        <v>5690</v>
      </c>
      <c r="Q495" s="39">
        <f t="shared" si="49"/>
        <v>3045</v>
      </c>
    </row>
    <row r="496" spans="1:17" ht="25.5">
      <c r="A496" s="35"/>
      <c r="B496" s="35"/>
      <c r="C496" s="32">
        <v>6068</v>
      </c>
      <c r="D496" s="55" t="s">
        <v>49</v>
      </c>
      <c r="E496" s="120"/>
      <c r="F496" s="120"/>
      <c r="G496" s="120"/>
      <c r="H496" s="120"/>
      <c r="I496" s="120"/>
      <c r="J496" s="126"/>
      <c r="K496" s="100">
        <v>7225</v>
      </c>
      <c r="L496" s="100">
        <v>7225</v>
      </c>
      <c r="M496" s="100">
        <v>7225</v>
      </c>
      <c r="N496" s="100">
        <v>0</v>
      </c>
      <c r="O496" s="100"/>
      <c r="P496" s="100"/>
      <c r="Q496" s="39">
        <f t="shared" si="49"/>
        <v>0</v>
      </c>
    </row>
    <row r="497" spans="1:17" ht="25.5">
      <c r="A497" s="31"/>
      <c r="B497" s="119"/>
      <c r="C497" s="116">
        <v>6069</v>
      </c>
      <c r="D497" s="55" t="s">
        <v>49</v>
      </c>
      <c r="E497" s="120"/>
      <c r="F497" s="120"/>
      <c r="G497" s="120"/>
      <c r="H497" s="120"/>
      <c r="I497" s="120"/>
      <c r="J497" s="75"/>
      <c r="K497" s="71">
        <v>1275</v>
      </c>
      <c r="L497" s="71">
        <v>1275</v>
      </c>
      <c r="M497" s="71">
        <v>1275</v>
      </c>
      <c r="N497" s="51">
        <v>0</v>
      </c>
      <c r="O497" s="51"/>
      <c r="P497" s="51"/>
      <c r="Q497" s="39">
        <f t="shared" si="49"/>
        <v>0</v>
      </c>
    </row>
    <row r="498" spans="1:17" ht="25.5">
      <c r="A498" s="35">
        <v>854</v>
      </c>
      <c r="B498" s="35"/>
      <c r="C498" s="36"/>
      <c r="D498" s="52" t="s">
        <v>157</v>
      </c>
      <c r="E498" s="38" t="e">
        <f>E499+E503+E508+#REF!+E530+E537+#REF!</f>
        <v>#REF!</v>
      </c>
      <c r="F498" s="38" t="e">
        <f>F499+F503+F508+#REF!+F530+F537+#REF!</f>
        <v>#REF!</v>
      </c>
      <c r="G498" s="38" t="e">
        <f>G499+G503+G508+#REF!+G530+G537+#REF!</f>
        <v>#REF!</v>
      </c>
      <c r="H498" s="38" t="e">
        <f>H499+H503+H508+#REF!+H530+H537+#REF!</f>
        <v>#REF!</v>
      </c>
      <c r="I498" s="38"/>
      <c r="J498" s="38" t="e">
        <f>J499+J503+J508+#REF!+J530+J537+J524</f>
        <v>#REF!</v>
      </c>
      <c r="K498" s="38" t="e">
        <f>K499+K503+K508+#REF!+K530+K537+K524</f>
        <v>#REF!</v>
      </c>
      <c r="L498" s="38" t="e">
        <f>L499+L503+L508+#REF!+L530+L537+L524</f>
        <v>#REF!</v>
      </c>
      <c r="M498" s="38" t="e">
        <f>M499+M503+M508+#REF!+M530+M537+M524</f>
        <v>#REF!</v>
      </c>
      <c r="N498" s="38">
        <v>2074613</v>
      </c>
      <c r="O498" s="38">
        <f>O499+O503+O508+O530+O537+O524</f>
        <v>112862</v>
      </c>
      <c r="P498" s="38">
        <f>P499+P503+P508+P530+P537+P524</f>
        <v>36683</v>
      </c>
      <c r="Q498" s="39">
        <f aca="true" t="shared" si="50" ref="Q498:Q507">N498+O498-P498</f>
        <v>2150792</v>
      </c>
    </row>
    <row r="499" spans="1:17" ht="12.75">
      <c r="A499" s="40"/>
      <c r="B499" s="40">
        <v>85401</v>
      </c>
      <c r="C499" s="41"/>
      <c r="D499" s="50" t="s">
        <v>158</v>
      </c>
      <c r="E499" s="43">
        <f>SUM(E500:E502)</f>
        <v>156790</v>
      </c>
      <c r="F499" s="43">
        <f>SUM(F500:F502)</f>
        <v>156790</v>
      </c>
      <c r="G499" s="44">
        <f>SUM(G500:G502)</f>
        <v>149204</v>
      </c>
      <c r="H499" s="44">
        <f>SUM(H500:H502)</f>
        <v>149540</v>
      </c>
      <c r="I499" s="44"/>
      <c r="J499" s="44">
        <f>SUM(J500:J502)</f>
        <v>149540</v>
      </c>
      <c r="K499" s="44">
        <f>SUM(K500:K502)</f>
        <v>158120</v>
      </c>
      <c r="L499" s="44">
        <f>SUM(L500:L502)</f>
        <v>151391</v>
      </c>
      <c r="M499" s="44">
        <f>SUM(M500:M502)</f>
        <v>161302</v>
      </c>
      <c r="N499" s="44">
        <v>160218</v>
      </c>
      <c r="O499" s="44">
        <f>SUM(O500:O502)</f>
        <v>2439</v>
      </c>
      <c r="P499" s="44">
        <f>SUM(P500:P502)</f>
        <v>713</v>
      </c>
      <c r="Q499" s="39">
        <f t="shared" si="50"/>
        <v>161944</v>
      </c>
    </row>
    <row r="500" spans="1:17" ht="25.5">
      <c r="A500" s="31"/>
      <c r="B500" s="31"/>
      <c r="C500" s="32">
        <v>4010</v>
      </c>
      <c r="D500" s="33" t="s">
        <v>28</v>
      </c>
      <c r="E500" s="49">
        <v>129640</v>
      </c>
      <c r="F500" s="49">
        <v>129640</v>
      </c>
      <c r="G500" s="51">
        <v>127504</v>
      </c>
      <c r="H500" s="51">
        <v>127500</v>
      </c>
      <c r="I500" s="51">
        <v>127500</v>
      </c>
      <c r="J500" s="51">
        <v>127500</v>
      </c>
      <c r="K500" s="51">
        <v>134850</v>
      </c>
      <c r="L500" s="51">
        <v>130891</v>
      </c>
      <c r="M500" s="51">
        <v>135802</v>
      </c>
      <c r="N500" s="51">
        <v>123312</v>
      </c>
      <c r="O500" s="51">
        <v>2439</v>
      </c>
      <c r="P500" s="51"/>
      <c r="Q500" s="39">
        <f t="shared" si="50"/>
        <v>125751</v>
      </c>
    </row>
    <row r="501" spans="1:17" ht="25.5">
      <c r="A501" s="31"/>
      <c r="B501" s="31"/>
      <c r="C501" s="32">
        <v>4110</v>
      </c>
      <c r="D501" s="33" t="s">
        <v>88</v>
      </c>
      <c r="E501" s="49">
        <v>23710</v>
      </c>
      <c r="F501" s="49">
        <v>23710</v>
      </c>
      <c r="G501" s="51">
        <v>18700</v>
      </c>
      <c r="H501" s="51">
        <v>18780</v>
      </c>
      <c r="I501" s="51"/>
      <c r="J501" s="51">
        <v>18780</v>
      </c>
      <c r="K501" s="51">
        <v>19830</v>
      </c>
      <c r="L501" s="51">
        <v>17500</v>
      </c>
      <c r="M501" s="51">
        <v>22000</v>
      </c>
      <c r="N501" s="51">
        <v>18967</v>
      </c>
      <c r="O501" s="51"/>
      <c r="P501" s="51">
        <v>441</v>
      </c>
      <c r="Q501" s="39">
        <f t="shared" si="50"/>
        <v>18526</v>
      </c>
    </row>
    <row r="502" spans="1:17" ht="12.75">
      <c r="A502" s="31"/>
      <c r="B502" s="31"/>
      <c r="C502" s="32">
        <v>4120</v>
      </c>
      <c r="D502" s="33" t="s">
        <v>31</v>
      </c>
      <c r="E502" s="49">
        <v>3440</v>
      </c>
      <c r="F502" s="49">
        <v>3440</v>
      </c>
      <c r="G502" s="51">
        <v>3000</v>
      </c>
      <c r="H502" s="51">
        <v>3260</v>
      </c>
      <c r="I502" s="51"/>
      <c r="J502" s="51">
        <v>3260</v>
      </c>
      <c r="K502" s="51">
        <v>3440</v>
      </c>
      <c r="L502" s="51">
        <v>3000</v>
      </c>
      <c r="M502" s="51">
        <v>3500</v>
      </c>
      <c r="N502" s="51">
        <v>3001</v>
      </c>
      <c r="O502" s="51"/>
      <c r="P502" s="51">
        <v>272</v>
      </c>
      <c r="Q502" s="39">
        <f t="shared" si="50"/>
        <v>2729</v>
      </c>
    </row>
    <row r="503" spans="1:17" ht="38.25">
      <c r="A503" s="40"/>
      <c r="B503" s="40">
        <v>85406</v>
      </c>
      <c r="C503" s="41"/>
      <c r="D503" s="50" t="s">
        <v>159</v>
      </c>
      <c r="E503" s="43">
        <f>SUM(E504:E507)</f>
        <v>459220</v>
      </c>
      <c r="F503" s="43">
        <f>SUM(F504:F507)</f>
        <v>460020</v>
      </c>
      <c r="G503" s="43">
        <f>SUM(G504:G507)</f>
        <v>511731</v>
      </c>
      <c r="H503" s="43">
        <f>SUM(H504:H507)</f>
        <v>495750</v>
      </c>
      <c r="I503" s="43"/>
      <c r="J503" s="43">
        <f>SUM(J504:J507)</f>
        <v>495750</v>
      </c>
      <c r="K503" s="43">
        <f>SUM(K504:K507)</f>
        <v>524170</v>
      </c>
      <c r="L503" s="43">
        <f>SUM(L504:L507)</f>
        <v>529695</v>
      </c>
      <c r="M503" s="43">
        <f>SUM(M504:M507)</f>
        <v>589807</v>
      </c>
      <c r="N503" s="43">
        <v>979345</v>
      </c>
      <c r="O503" s="43">
        <f>SUM(O504:O507)</f>
        <v>46</v>
      </c>
      <c r="P503" s="43">
        <f>SUM(P504:P507)</f>
        <v>4044</v>
      </c>
      <c r="Q503" s="39">
        <f t="shared" si="50"/>
        <v>975347</v>
      </c>
    </row>
    <row r="504" spans="1:17" ht="25.5">
      <c r="A504" s="31"/>
      <c r="B504" s="31"/>
      <c r="C504" s="32">
        <v>4010</v>
      </c>
      <c r="D504" s="33" t="s">
        <v>28</v>
      </c>
      <c r="E504" s="49">
        <f>372260+5400</f>
        <v>377660</v>
      </c>
      <c r="F504" s="49">
        <f>372260+5400</f>
        <v>377660</v>
      </c>
      <c r="G504" s="51">
        <v>417421</v>
      </c>
      <c r="H504" s="51">
        <v>417420</v>
      </c>
      <c r="I504" s="51">
        <v>417420</v>
      </c>
      <c r="J504" s="51">
        <v>417420</v>
      </c>
      <c r="K504" s="51">
        <v>441600</v>
      </c>
      <c r="L504" s="51">
        <v>444925</v>
      </c>
      <c r="M504" s="51">
        <v>481082</v>
      </c>
      <c r="N504" s="51">
        <v>469941</v>
      </c>
      <c r="O504" s="51"/>
      <c r="P504" s="51">
        <v>3249</v>
      </c>
      <c r="Q504" s="39">
        <f t="shared" si="50"/>
        <v>466692</v>
      </c>
    </row>
    <row r="505" spans="1:17" ht="25.5">
      <c r="A505" s="31"/>
      <c r="B505" s="31"/>
      <c r="C505" s="32">
        <v>4110</v>
      </c>
      <c r="D505" s="33" t="s">
        <v>88</v>
      </c>
      <c r="E505" s="49">
        <v>67720</v>
      </c>
      <c r="F505" s="49">
        <v>67720</v>
      </c>
      <c r="G505" s="51">
        <v>73200</v>
      </c>
      <c r="H505" s="51">
        <v>62630</v>
      </c>
      <c r="I505" s="51"/>
      <c r="J505" s="51">
        <v>62630</v>
      </c>
      <c r="K505" s="51">
        <v>66290</v>
      </c>
      <c r="L505" s="51">
        <v>68490</v>
      </c>
      <c r="M505" s="51">
        <v>85000</v>
      </c>
      <c r="N505" s="51">
        <v>78580</v>
      </c>
      <c r="O505" s="51"/>
      <c r="P505" s="51">
        <v>530</v>
      </c>
      <c r="Q505" s="39">
        <f t="shared" si="50"/>
        <v>78050</v>
      </c>
    </row>
    <row r="506" spans="1:17" ht="12.75">
      <c r="A506" s="31"/>
      <c r="B506" s="31"/>
      <c r="C506" s="32">
        <v>4120</v>
      </c>
      <c r="D506" s="33" t="s">
        <v>31</v>
      </c>
      <c r="E506" s="49">
        <v>9830</v>
      </c>
      <c r="F506" s="49">
        <v>9830</v>
      </c>
      <c r="G506" s="51">
        <v>10560</v>
      </c>
      <c r="H506" s="51">
        <v>10780</v>
      </c>
      <c r="I506" s="51"/>
      <c r="J506" s="51">
        <v>10780</v>
      </c>
      <c r="K506" s="51">
        <v>11360</v>
      </c>
      <c r="L506" s="51">
        <v>11360</v>
      </c>
      <c r="M506" s="51">
        <v>16000</v>
      </c>
      <c r="N506" s="51">
        <v>12707</v>
      </c>
      <c r="O506" s="51"/>
      <c r="P506" s="51">
        <v>265</v>
      </c>
      <c r="Q506" s="39">
        <f t="shared" si="50"/>
        <v>12442</v>
      </c>
    </row>
    <row r="507" spans="1:17" ht="12.75">
      <c r="A507" s="31"/>
      <c r="B507" s="31"/>
      <c r="C507" s="32">
        <v>4210</v>
      </c>
      <c r="D507" s="33" t="s">
        <v>33</v>
      </c>
      <c r="E507" s="49">
        <v>4010</v>
      </c>
      <c r="F507" s="49">
        <v>4810</v>
      </c>
      <c r="G507" s="51">
        <v>10550</v>
      </c>
      <c r="H507" s="51">
        <v>4920</v>
      </c>
      <c r="I507" s="51"/>
      <c r="J507" s="51">
        <v>4920</v>
      </c>
      <c r="K507" s="51">
        <v>4920</v>
      </c>
      <c r="L507" s="51">
        <v>4920</v>
      </c>
      <c r="M507" s="51">
        <v>7725</v>
      </c>
      <c r="N507" s="51">
        <v>11331</v>
      </c>
      <c r="O507" s="51">
        <v>46</v>
      </c>
      <c r="P507" s="51"/>
      <c r="Q507" s="39">
        <f t="shared" si="50"/>
        <v>11377</v>
      </c>
    </row>
    <row r="508" spans="1:17" ht="12.75">
      <c r="A508" s="40"/>
      <c r="B508" s="40">
        <v>85410</v>
      </c>
      <c r="C508" s="41"/>
      <c r="D508" s="50" t="s">
        <v>160</v>
      </c>
      <c r="E508" s="43">
        <f>SUM(E509:E522)</f>
        <v>928190</v>
      </c>
      <c r="F508" s="43">
        <f>SUM(F509:F522)</f>
        <v>1016090</v>
      </c>
      <c r="G508" s="43">
        <f>SUM(G509:G522)</f>
        <v>850432</v>
      </c>
      <c r="H508" s="43">
        <f>SUM(H509:H522)</f>
        <v>852770</v>
      </c>
      <c r="I508" s="43"/>
      <c r="J508" s="43">
        <f aca="true" t="shared" si="51" ref="J508:P508">SUM(J509:J523)</f>
        <v>861020</v>
      </c>
      <c r="K508" s="43">
        <f t="shared" si="51"/>
        <v>925942</v>
      </c>
      <c r="L508" s="43">
        <f t="shared" si="51"/>
        <v>793572</v>
      </c>
      <c r="M508" s="43">
        <f t="shared" si="51"/>
        <v>794603</v>
      </c>
      <c r="N508" s="43">
        <v>844136</v>
      </c>
      <c r="O508" s="43">
        <f t="shared" si="51"/>
        <v>104377</v>
      </c>
      <c r="P508" s="43">
        <f t="shared" si="51"/>
        <v>31880</v>
      </c>
      <c r="Q508" s="39">
        <f aca="true" t="shared" si="52" ref="Q508:Q538">N508+O508-P508</f>
        <v>916633</v>
      </c>
    </row>
    <row r="509" spans="1:17" ht="25.5">
      <c r="A509" s="31"/>
      <c r="B509" s="31"/>
      <c r="C509" s="32">
        <v>3020</v>
      </c>
      <c r="D509" s="33" t="s">
        <v>59</v>
      </c>
      <c r="E509" s="49">
        <v>22620</v>
      </c>
      <c r="F509" s="49">
        <v>22620</v>
      </c>
      <c r="G509" s="51">
        <v>24450</v>
      </c>
      <c r="H509" s="51">
        <v>24460</v>
      </c>
      <c r="I509" s="51"/>
      <c r="J509" s="51">
        <v>24460</v>
      </c>
      <c r="K509" s="51">
        <v>26240</v>
      </c>
      <c r="L509" s="51">
        <v>21000</v>
      </c>
      <c r="M509" s="51">
        <v>19130</v>
      </c>
      <c r="N509" s="51">
        <v>21189</v>
      </c>
      <c r="O509" s="51">
        <v>591</v>
      </c>
      <c r="P509" s="51"/>
      <c r="Q509" s="39">
        <f t="shared" si="52"/>
        <v>21780</v>
      </c>
    </row>
    <row r="510" spans="1:17" ht="25.5">
      <c r="A510" s="31"/>
      <c r="B510" s="31"/>
      <c r="C510" s="32">
        <v>4010</v>
      </c>
      <c r="D510" s="33" t="s">
        <v>28</v>
      </c>
      <c r="E510" s="49">
        <v>439860</v>
      </c>
      <c r="F510" s="49">
        <v>439860</v>
      </c>
      <c r="G510" s="51">
        <v>428586</v>
      </c>
      <c r="H510" s="51">
        <v>432710</v>
      </c>
      <c r="I510" s="51">
        <v>432710</v>
      </c>
      <c r="J510" s="51">
        <v>432710</v>
      </c>
      <c r="K510" s="51">
        <v>471190</v>
      </c>
      <c r="L510" s="51">
        <v>363231</v>
      </c>
      <c r="M510" s="51">
        <v>368764</v>
      </c>
      <c r="N510" s="51">
        <v>360900</v>
      </c>
      <c r="O510" s="51"/>
      <c r="P510" s="51">
        <v>3360</v>
      </c>
      <c r="Q510" s="39">
        <f t="shared" si="52"/>
        <v>357540</v>
      </c>
    </row>
    <row r="511" spans="1:17" ht="12.75">
      <c r="A511" s="31"/>
      <c r="B511" s="31"/>
      <c r="C511" s="32">
        <v>4170</v>
      </c>
      <c r="D511" s="33" t="s">
        <v>147</v>
      </c>
      <c r="E511" s="49"/>
      <c r="F511" s="49"/>
      <c r="G511" s="51"/>
      <c r="H511" s="51"/>
      <c r="I511" s="51"/>
      <c r="J511" s="51">
        <v>7500</v>
      </c>
      <c r="K511" s="51">
        <v>4956</v>
      </c>
      <c r="L511" s="51">
        <v>4956</v>
      </c>
      <c r="M511" s="51">
        <v>5100</v>
      </c>
      <c r="N511" s="51">
        <v>5237</v>
      </c>
      <c r="O511" s="51"/>
      <c r="P511" s="51">
        <f>400+137</f>
        <v>537</v>
      </c>
      <c r="Q511" s="39">
        <f t="shared" si="52"/>
        <v>4700</v>
      </c>
    </row>
    <row r="512" spans="1:17" ht="25.5">
      <c r="A512" s="31"/>
      <c r="B512" s="31"/>
      <c r="C512" s="32">
        <v>4110</v>
      </c>
      <c r="D512" s="33" t="s">
        <v>88</v>
      </c>
      <c r="E512" s="49">
        <v>80110</v>
      </c>
      <c r="F512" s="49">
        <v>80110</v>
      </c>
      <c r="G512" s="51">
        <v>70985</v>
      </c>
      <c r="H512" s="51">
        <v>69320</v>
      </c>
      <c r="I512" s="51"/>
      <c r="J512" s="51">
        <v>69320</v>
      </c>
      <c r="K512" s="51">
        <v>75495</v>
      </c>
      <c r="L512" s="51">
        <v>62430</v>
      </c>
      <c r="M512" s="51">
        <v>61100</v>
      </c>
      <c r="N512" s="51">
        <v>61252</v>
      </c>
      <c r="O512" s="51">
        <v>115</v>
      </c>
      <c r="P512" s="51">
        <v>1008</v>
      </c>
      <c r="Q512" s="39">
        <f t="shared" si="52"/>
        <v>60359</v>
      </c>
    </row>
    <row r="513" spans="1:17" ht="12.75">
      <c r="A513" s="31"/>
      <c r="B513" s="31"/>
      <c r="C513" s="32">
        <v>4120</v>
      </c>
      <c r="D513" s="33" t="s">
        <v>31</v>
      </c>
      <c r="E513" s="49">
        <v>11630</v>
      </c>
      <c r="F513" s="49">
        <v>11630</v>
      </c>
      <c r="G513" s="51">
        <v>11337</v>
      </c>
      <c r="H513" s="51">
        <v>11210</v>
      </c>
      <c r="I513" s="51"/>
      <c r="J513" s="51">
        <v>11210</v>
      </c>
      <c r="K513" s="51">
        <v>12197</v>
      </c>
      <c r="L513" s="51">
        <v>9970</v>
      </c>
      <c r="M513" s="51">
        <v>9760</v>
      </c>
      <c r="N513" s="51">
        <v>9072</v>
      </c>
      <c r="O513" s="51">
        <v>22</v>
      </c>
      <c r="P513" s="51">
        <v>517</v>
      </c>
      <c r="Q513" s="39">
        <f t="shared" si="52"/>
        <v>8577</v>
      </c>
    </row>
    <row r="514" spans="1:17" ht="12.75">
      <c r="A514" s="31"/>
      <c r="B514" s="31"/>
      <c r="C514" s="32">
        <v>4210</v>
      </c>
      <c r="D514" s="33" t="s">
        <v>33</v>
      </c>
      <c r="E514" s="49">
        <v>300000</v>
      </c>
      <c r="F514" s="49">
        <v>363900</v>
      </c>
      <c r="G514" s="51">
        <v>255750</v>
      </c>
      <c r="H514" s="51">
        <v>255750</v>
      </c>
      <c r="I514" s="51"/>
      <c r="J514" s="51">
        <v>255000</v>
      </c>
      <c r="K514" s="51">
        <v>265000</v>
      </c>
      <c r="L514" s="51">
        <v>265000</v>
      </c>
      <c r="M514" s="51">
        <v>272685</v>
      </c>
      <c r="N514" s="51">
        <v>272690</v>
      </c>
      <c r="O514" s="51"/>
      <c r="P514" s="51">
        <v>25000</v>
      </c>
      <c r="Q514" s="39">
        <f t="shared" si="52"/>
        <v>247690</v>
      </c>
    </row>
    <row r="515" spans="1:17" ht="12.75">
      <c r="A515" s="31"/>
      <c r="B515" s="31"/>
      <c r="C515" s="32">
        <v>4260</v>
      </c>
      <c r="D515" s="33" t="s">
        <v>34</v>
      </c>
      <c r="E515" s="49">
        <v>42700</v>
      </c>
      <c r="F515" s="49">
        <v>42700</v>
      </c>
      <c r="G515" s="51">
        <v>28682</v>
      </c>
      <c r="H515" s="51">
        <v>28680</v>
      </c>
      <c r="I515" s="51"/>
      <c r="J515" s="51">
        <v>28680</v>
      </c>
      <c r="K515" s="51">
        <v>28680</v>
      </c>
      <c r="L515" s="51">
        <v>28860</v>
      </c>
      <c r="M515" s="51">
        <v>29512</v>
      </c>
      <c r="N515" s="51">
        <v>34510</v>
      </c>
      <c r="O515" s="51">
        <v>5000</v>
      </c>
      <c r="P515" s="51"/>
      <c r="Q515" s="39">
        <f t="shared" si="52"/>
        <v>39510</v>
      </c>
    </row>
    <row r="516" spans="1:17" ht="12.75">
      <c r="A516" s="31"/>
      <c r="B516" s="31"/>
      <c r="C516" s="32">
        <v>4270</v>
      </c>
      <c r="D516" s="33" t="s">
        <v>35</v>
      </c>
      <c r="E516" s="49">
        <v>1040</v>
      </c>
      <c r="F516" s="49">
        <v>25040</v>
      </c>
      <c r="G516" s="51">
        <v>500</v>
      </c>
      <c r="H516" s="51">
        <v>500</v>
      </c>
      <c r="I516" s="51"/>
      <c r="J516" s="51">
        <v>2000</v>
      </c>
      <c r="K516" s="51">
        <v>5044</v>
      </c>
      <c r="L516" s="51">
        <v>5044</v>
      </c>
      <c r="M516" s="51">
        <v>5190</v>
      </c>
      <c r="N516" s="51">
        <v>5190</v>
      </c>
      <c r="O516" s="51">
        <v>98050</v>
      </c>
      <c r="P516" s="51"/>
      <c r="Q516" s="39">
        <f t="shared" si="52"/>
        <v>103240</v>
      </c>
    </row>
    <row r="517" spans="1:17" ht="12.75">
      <c r="A517" s="31"/>
      <c r="B517" s="31"/>
      <c r="C517" s="32">
        <v>4280</v>
      </c>
      <c r="D517" s="33" t="s">
        <v>36</v>
      </c>
      <c r="E517" s="49">
        <v>510</v>
      </c>
      <c r="F517" s="49">
        <v>510</v>
      </c>
      <c r="G517" s="51">
        <v>260</v>
      </c>
      <c r="H517" s="51">
        <v>260</v>
      </c>
      <c r="I517" s="51"/>
      <c r="J517" s="51">
        <v>260</v>
      </c>
      <c r="K517" s="51">
        <v>260</v>
      </c>
      <c r="L517" s="51">
        <v>260</v>
      </c>
      <c r="M517" s="51">
        <v>268</v>
      </c>
      <c r="N517" s="51">
        <v>270</v>
      </c>
      <c r="O517" s="51"/>
      <c r="P517" s="51">
        <v>270</v>
      </c>
      <c r="Q517" s="39">
        <f t="shared" si="52"/>
        <v>0</v>
      </c>
    </row>
    <row r="518" spans="1:17" ht="38.25">
      <c r="A518" s="31"/>
      <c r="B518" s="31"/>
      <c r="C518" s="32">
        <v>4360</v>
      </c>
      <c r="D518" s="33" t="s">
        <v>99</v>
      </c>
      <c r="E518" s="49">
        <v>0</v>
      </c>
      <c r="F518" s="49">
        <v>0</v>
      </c>
      <c r="G518" s="51">
        <v>960</v>
      </c>
      <c r="H518" s="51">
        <v>960</v>
      </c>
      <c r="I518" s="51"/>
      <c r="J518" s="51">
        <v>960</v>
      </c>
      <c r="K518" s="51">
        <v>960</v>
      </c>
      <c r="L518" s="51">
        <v>960</v>
      </c>
      <c r="M518" s="51">
        <v>988</v>
      </c>
      <c r="N518" s="51">
        <v>990</v>
      </c>
      <c r="O518" s="51"/>
      <c r="P518" s="51">
        <v>404</v>
      </c>
      <c r="Q518" s="39">
        <f t="shared" si="52"/>
        <v>586</v>
      </c>
    </row>
    <row r="519" spans="1:17" ht="38.25">
      <c r="A519" s="31"/>
      <c r="B519" s="31"/>
      <c r="C519" s="32">
        <v>4370</v>
      </c>
      <c r="D519" s="33" t="s">
        <v>101</v>
      </c>
      <c r="E519" s="49">
        <v>3060</v>
      </c>
      <c r="F519" s="49">
        <v>3060</v>
      </c>
      <c r="G519" s="51">
        <v>2170</v>
      </c>
      <c r="H519" s="51">
        <v>2170</v>
      </c>
      <c r="I519" s="51"/>
      <c r="J519" s="51">
        <v>2170</v>
      </c>
      <c r="K519" s="51">
        <v>1670</v>
      </c>
      <c r="L519" s="51">
        <v>1670</v>
      </c>
      <c r="M519" s="51">
        <v>1718</v>
      </c>
      <c r="N519" s="51">
        <v>1720</v>
      </c>
      <c r="O519" s="51"/>
      <c r="P519" s="51">
        <v>520</v>
      </c>
      <c r="Q519" s="39">
        <f t="shared" si="52"/>
        <v>1200</v>
      </c>
    </row>
    <row r="520" spans="1:17" ht="12.75">
      <c r="A520" s="31"/>
      <c r="B520" s="31"/>
      <c r="C520" s="32">
        <v>4410</v>
      </c>
      <c r="D520" s="33" t="s">
        <v>41</v>
      </c>
      <c r="E520" s="49">
        <v>390</v>
      </c>
      <c r="F520" s="49">
        <v>390</v>
      </c>
      <c r="G520" s="51">
        <v>400</v>
      </c>
      <c r="H520" s="51">
        <v>400</v>
      </c>
      <c r="I520" s="51"/>
      <c r="J520" s="51">
        <v>400</v>
      </c>
      <c r="K520" s="51">
        <v>400</v>
      </c>
      <c r="L520" s="51">
        <v>400</v>
      </c>
      <c r="M520" s="51">
        <v>412</v>
      </c>
      <c r="N520" s="51">
        <v>410</v>
      </c>
      <c r="O520" s="51"/>
      <c r="P520" s="51">
        <v>264</v>
      </c>
      <c r="Q520" s="39">
        <f t="shared" si="52"/>
        <v>146</v>
      </c>
    </row>
    <row r="521" spans="1:17" ht="12.75">
      <c r="A521" s="31"/>
      <c r="B521" s="31"/>
      <c r="C521" s="32">
        <v>4430</v>
      </c>
      <c r="D521" s="33" t="s">
        <v>42</v>
      </c>
      <c r="E521" s="49">
        <v>530</v>
      </c>
      <c r="F521" s="49">
        <v>530</v>
      </c>
      <c r="G521" s="51">
        <v>542</v>
      </c>
      <c r="H521" s="51">
        <v>540</v>
      </c>
      <c r="I521" s="51"/>
      <c r="J521" s="51">
        <v>540</v>
      </c>
      <c r="K521" s="51">
        <v>540</v>
      </c>
      <c r="L521" s="51">
        <v>540</v>
      </c>
      <c r="M521" s="51">
        <v>556</v>
      </c>
      <c r="N521" s="51">
        <v>560</v>
      </c>
      <c r="O521" s="51"/>
      <c r="P521" s="51"/>
      <c r="Q521" s="39">
        <f t="shared" si="52"/>
        <v>560</v>
      </c>
    </row>
    <row r="522" spans="1:17" ht="25.5">
      <c r="A522" s="31"/>
      <c r="B522" s="31"/>
      <c r="C522" s="32">
        <v>4440</v>
      </c>
      <c r="D522" s="33" t="s">
        <v>43</v>
      </c>
      <c r="E522" s="49">
        <v>25740</v>
      </c>
      <c r="F522" s="49">
        <v>25740</v>
      </c>
      <c r="G522" s="51">
        <v>25810</v>
      </c>
      <c r="H522" s="51">
        <v>25810</v>
      </c>
      <c r="I522" s="51"/>
      <c r="J522" s="51">
        <v>25810</v>
      </c>
      <c r="K522" s="51">
        <v>25810</v>
      </c>
      <c r="L522" s="51">
        <v>22367</v>
      </c>
      <c r="M522" s="51">
        <v>19420</v>
      </c>
      <c r="N522" s="51">
        <v>19770</v>
      </c>
      <c r="O522" s="51">
        <v>599</v>
      </c>
      <c r="P522" s="51"/>
      <c r="Q522" s="39">
        <f t="shared" si="52"/>
        <v>20369</v>
      </c>
    </row>
    <row r="523" spans="1:17" ht="25.5">
      <c r="A523" s="31"/>
      <c r="B523" s="31"/>
      <c r="C523" s="32">
        <v>6060</v>
      </c>
      <c r="D523" s="55" t="s">
        <v>49</v>
      </c>
      <c r="E523" s="49"/>
      <c r="F523" s="49"/>
      <c r="G523" s="51"/>
      <c r="H523" s="51"/>
      <c r="I523" s="51"/>
      <c r="J523" s="51"/>
      <c r="K523" s="51">
        <v>7500</v>
      </c>
      <c r="L523" s="51">
        <v>6884</v>
      </c>
      <c r="M523" s="51">
        <v>0</v>
      </c>
      <c r="N523" s="51">
        <v>0</v>
      </c>
      <c r="O523" s="51">
        <v>0</v>
      </c>
      <c r="P523" s="51">
        <v>0</v>
      </c>
      <c r="Q523" s="39">
        <f t="shared" si="52"/>
        <v>0</v>
      </c>
    </row>
    <row r="524" spans="1:17" ht="25.5">
      <c r="A524" s="115"/>
      <c r="B524" s="127">
        <v>85413</v>
      </c>
      <c r="C524" s="115"/>
      <c r="D524" s="127" t="s">
        <v>161</v>
      </c>
      <c r="E524" s="128">
        <f>SUM(E526)</f>
        <v>54249</v>
      </c>
      <c r="F524" s="128">
        <f>SUM(F526:F529)</f>
        <v>151200</v>
      </c>
      <c r="G524" s="128">
        <f>SUM(G526:G529)</f>
        <v>0</v>
      </c>
      <c r="H524" s="128">
        <f>SUM(H526:H529)</f>
        <v>0</v>
      </c>
      <c r="I524" s="129">
        <f aca="true" t="shared" si="53" ref="I524:I529">F524+G524-H524</f>
        <v>151200</v>
      </c>
      <c r="J524" s="128">
        <f aca="true" t="shared" si="54" ref="J524:P524">SUM(J526:J529)</f>
        <v>0</v>
      </c>
      <c r="K524" s="128">
        <f t="shared" si="54"/>
        <v>226800</v>
      </c>
      <c r="L524" s="128">
        <f t="shared" si="54"/>
        <v>226800</v>
      </c>
      <c r="M524" s="128">
        <f t="shared" si="54"/>
        <v>0</v>
      </c>
      <c r="N524" s="128">
        <v>0</v>
      </c>
      <c r="O524" s="128">
        <f t="shared" si="54"/>
        <v>0</v>
      </c>
      <c r="P524" s="128">
        <f t="shared" si="54"/>
        <v>0</v>
      </c>
      <c r="Q524" s="39">
        <f t="shared" si="52"/>
        <v>0</v>
      </c>
    </row>
    <row r="525" spans="1:17" ht="12.75">
      <c r="A525" s="115"/>
      <c r="B525" s="127"/>
      <c r="C525" s="115"/>
      <c r="D525" s="127" t="s">
        <v>162</v>
      </c>
      <c r="E525" s="128"/>
      <c r="F525" s="128"/>
      <c r="G525" s="128"/>
      <c r="H525" s="128"/>
      <c r="I525" s="130">
        <f t="shared" si="53"/>
        <v>0</v>
      </c>
      <c r="J525" s="128"/>
      <c r="K525" s="128"/>
      <c r="L525" s="128"/>
      <c r="M525" s="128"/>
      <c r="N525" s="128">
        <v>0</v>
      </c>
      <c r="O525" s="128"/>
      <c r="P525" s="128"/>
      <c r="Q525" s="39">
        <f t="shared" si="52"/>
        <v>0</v>
      </c>
    </row>
    <row r="526" spans="1:17" ht="12.75">
      <c r="A526" s="131"/>
      <c r="B526" s="131"/>
      <c r="C526" s="132">
        <v>4170</v>
      </c>
      <c r="D526" s="133" t="s">
        <v>147</v>
      </c>
      <c r="E526" s="130">
        <v>54249</v>
      </c>
      <c r="F526" s="130">
        <v>25946</v>
      </c>
      <c r="G526" s="130"/>
      <c r="H526" s="130"/>
      <c r="I526" s="130">
        <f t="shared" si="53"/>
        <v>25946</v>
      </c>
      <c r="J526" s="130"/>
      <c r="K526" s="130">
        <v>42360</v>
      </c>
      <c r="L526" s="130">
        <v>42360</v>
      </c>
      <c r="M526" s="130">
        <v>0</v>
      </c>
      <c r="N526" s="130">
        <v>0</v>
      </c>
      <c r="O526" s="130">
        <v>0</v>
      </c>
      <c r="P526" s="130">
        <v>0</v>
      </c>
      <c r="Q526" s="39">
        <f t="shared" si="52"/>
        <v>0</v>
      </c>
    </row>
    <row r="527" spans="1:17" ht="12.75">
      <c r="A527" s="131"/>
      <c r="B527" s="131"/>
      <c r="C527" s="132">
        <v>4210</v>
      </c>
      <c r="D527" s="133" t="s">
        <v>33</v>
      </c>
      <c r="E527" s="130">
        <v>280967</v>
      </c>
      <c r="F527" s="130">
        <v>25598</v>
      </c>
      <c r="G527" s="130">
        <v>0</v>
      </c>
      <c r="H527" s="130"/>
      <c r="I527" s="130">
        <f t="shared" si="53"/>
        <v>25598</v>
      </c>
      <c r="J527" s="130"/>
      <c r="K527" s="130">
        <v>34340</v>
      </c>
      <c r="L527" s="130">
        <v>34340</v>
      </c>
      <c r="M527" s="130">
        <v>0</v>
      </c>
      <c r="N527" s="130">
        <v>0</v>
      </c>
      <c r="O527" s="130">
        <v>0</v>
      </c>
      <c r="P527" s="130">
        <v>0</v>
      </c>
      <c r="Q527" s="39">
        <f t="shared" si="52"/>
        <v>0</v>
      </c>
    </row>
    <row r="528" spans="1:17" ht="12.75">
      <c r="A528" s="131"/>
      <c r="B528" s="131"/>
      <c r="C528" s="132">
        <v>4300</v>
      </c>
      <c r="D528" s="133" t="s">
        <v>69</v>
      </c>
      <c r="E528" s="130">
        <v>8033</v>
      </c>
      <c r="F528" s="130">
        <v>99551</v>
      </c>
      <c r="G528" s="130"/>
      <c r="H528" s="130">
        <v>0</v>
      </c>
      <c r="I528" s="130">
        <f t="shared" si="53"/>
        <v>99551</v>
      </c>
      <c r="J528" s="130"/>
      <c r="K528" s="130">
        <v>150000</v>
      </c>
      <c r="L528" s="130">
        <v>150000</v>
      </c>
      <c r="M528" s="130">
        <v>0</v>
      </c>
      <c r="N528" s="130">
        <v>0</v>
      </c>
      <c r="O528" s="130">
        <v>0</v>
      </c>
      <c r="P528" s="130">
        <v>0</v>
      </c>
      <c r="Q528" s="39">
        <f t="shared" si="52"/>
        <v>0</v>
      </c>
    </row>
    <row r="529" spans="1:17" ht="12.75">
      <c r="A529" s="131"/>
      <c r="B529" s="131"/>
      <c r="C529" s="132">
        <v>4430</v>
      </c>
      <c r="D529" s="133" t="s">
        <v>42</v>
      </c>
      <c r="E529" s="130">
        <v>510</v>
      </c>
      <c r="F529" s="130">
        <v>105</v>
      </c>
      <c r="G529" s="130"/>
      <c r="H529" s="130">
        <v>0</v>
      </c>
      <c r="I529" s="130">
        <f t="shared" si="53"/>
        <v>105</v>
      </c>
      <c r="J529" s="130"/>
      <c r="K529" s="130">
        <v>100</v>
      </c>
      <c r="L529" s="130">
        <v>100</v>
      </c>
      <c r="M529" s="130">
        <v>0</v>
      </c>
      <c r="N529" s="130">
        <v>0</v>
      </c>
      <c r="O529" s="130">
        <v>0</v>
      </c>
      <c r="P529" s="130">
        <v>0</v>
      </c>
      <c r="Q529" s="39">
        <f t="shared" si="52"/>
        <v>0</v>
      </c>
    </row>
    <row r="530" spans="1:17" ht="12.75">
      <c r="A530" s="40"/>
      <c r="B530" s="40">
        <v>85415</v>
      </c>
      <c r="C530" s="41"/>
      <c r="D530" s="50" t="s">
        <v>163</v>
      </c>
      <c r="E530" s="43">
        <f>SUM(E531:E531)</f>
        <v>49000</v>
      </c>
      <c r="F530" s="43">
        <f>SUM(F531:F531)</f>
        <v>65800</v>
      </c>
      <c r="G530" s="43">
        <f>SUM(G531:G531)</f>
        <v>40000</v>
      </c>
      <c r="H530" s="43">
        <f>SUM(H531:H531)</f>
        <v>40000</v>
      </c>
      <c r="I530" s="43"/>
      <c r="J530" s="43">
        <f aca="true" t="shared" si="55" ref="J530:P530">SUM(J531:J531)</f>
        <v>49000</v>
      </c>
      <c r="K530" s="43">
        <f t="shared" si="55"/>
        <v>53800</v>
      </c>
      <c r="L530" s="43">
        <f t="shared" si="55"/>
        <v>53800</v>
      </c>
      <c r="M530" s="43">
        <f t="shared" si="55"/>
        <v>59800</v>
      </c>
      <c r="N530" s="43">
        <v>70100</v>
      </c>
      <c r="O530" s="43">
        <f t="shared" si="55"/>
        <v>6000</v>
      </c>
      <c r="P530" s="43">
        <f t="shared" si="55"/>
        <v>0</v>
      </c>
      <c r="Q530" s="39">
        <f t="shared" si="52"/>
        <v>76100</v>
      </c>
    </row>
    <row r="531" spans="1:17" ht="25.5">
      <c r="A531" s="31"/>
      <c r="B531" s="31"/>
      <c r="C531" s="32">
        <v>3240</v>
      </c>
      <c r="D531" s="33" t="s">
        <v>164</v>
      </c>
      <c r="E531" s="49">
        <v>49000</v>
      </c>
      <c r="F531" s="49">
        <v>65800</v>
      </c>
      <c r="G531" s="49">
        <v>40000</v>
      </c>
      <c r="H531" s="49">
        <v>40000</v>
      </c>
      <c r="I531" s="49"/>
      <c r="J531" s="49">
        <v>49000</v>
      </c>
      <c r="K531" s="49">
        <v>53800</v>
      </c>
      <c r="L531" s="49">
        <v>53800</v>
      </c>
      <c r="M531" s="49">
        <v>59800</v>
      </c>
      <c r="N531" s="49">
        <v>70100</v>
      </c>
      <c r="O531" s="49">
        <v>6000</v>
      </c>
      <c r="P531" s="49"/>
      <c r="Q531" s="39">
        <f t="shared" si="52"/>
        <v>76100</v>
      </c>
    </row>
    <row r="532" spans="1:17" ht="25.5">
      <c r="A532" s="31"/>
      <c r="B532" s="134"/>
      <c r="C532" s="32"/>
      <c r="D532" s="50" t="s">
        <v>165</v>
      </c>
      <c r="E532" s="49">
        <f>SUM(E533)</f>
        <v>3600</v>
      </c>
      <c r="F532" s="49">
        <f>SUM(F533)</f>
        <v>3600</v>
      </c>
      <c r="G532" s="49">
        <f>SUM(G533)</f>
        <v>0</v>
      </c>
      <c r="H532" s="49">
        <f>SUM(H533)</f>
        <v>0</v>
      </c>
      <c r="I532" s="49"/>
      <c r="J532" s="49">
        <f aca="true" t="shared" si="56" ref="J532:P532">SUM(J533)</f>
        <v>0</v>
      </c>
      <c r="K532" s="49">
        <f t="shared" si="56"/>
        <v>1600</v>
      </c>
      <c r="L532" s="49">
        <f t="shared" si="56"/>
        <v>1600</v>
      </c>
      <c r="M532" s="49">
        <f t="shared" si="56"/>
        <v>0</v>
      </c>
      <c r="N532" s="49">
        <v>0</v>
      </c>
      <c r="O532" s="49">
        <f t="shared" si="56"/>
        <v>0</v>
      </c>
      <c r="P532" s="49">
        <f t="shared" si="56"/>
        <v>0</v>
      </c>
      <c r="Q532" s="39">
        <f t="shared" si="52"/>
        <v>0</v>
      </c>
    </row>
    <row r="533" spans="1:17" ht="25.5">
      <c r="A533" s="31"/>
      <c r="B533" s="134"/>
      <c r="C533" s="32">
        <v>3240</v>
      </c>
      <c r="D533" s="33" t="s">
        <v>164</v>
      </c>
      <c r="E533" s="49">
        <v>3600</v>
      </c>
      <c r="F533" s="49">
        <v>3600</v>
      </c>
      <c r="G533" s="49"/>
      <c r="H533" s="49"/>
      <c r="I533" s="49"/>
      <c r="J533" s="49"/>
      <c r="K533" s="49">
        <v>1600</v>
      </c>
      <c r="L533" s="49">
        <v>1600</v>
      </c>
      <c r="M533" s="49">
        <v>0</v>
      </c>
      <c r="N533" s="49">
        <v>0</v>
      </c>
      <c r="O533" s="49">
        <v>0</v>
      </c>
      <c r="P533" s="49">
        <v>0</v>
      </c>
      <c r="Q533" s="39">
        <f t="shared" si="52"/>
        <v>0</v>
      </c>
    </row>
    <row r="534" spans="1:17" ht="25.5">
      <c r="A534" s="31"/>
      <c r="B534" s="134"/>
      <c r="C534" s="32"/>
      <c r="D534" s="50" t="s">
        <v>166</v>
      </c>
      <c r="E534" s="49">
        <f>SUM(E535:E535)</f>
        <v>5400</v>
      </c>
      <c r="F534" s="49">
        <f>SUM(F535:F535)</f>
        <v>5400</v>
      </c>
      <c r="G534" s="49">
        <f>SUM(G535:G535)</f>
        <v>0</v>
      </c>
      <c r="H534" s="49">
        <f>SUM(H535:H535)</f>
        <v>0</v>
      </c>
      <c r="I534" s="49"/>
      <c r="J534" s="49">
        <f aca="true" t="shared" si="57" ref="J534:P534">SUM(J535:J535)</f>
        <v>0</v>
      </c>
      <c r="K534" s="49">
        <f t="shared" si="57"/>
        <v>3200</v>
      </c>
      <c r="L534" s="49">
        <f t="shared" si="57"/>
        <v>3200</v>
      </c>
      <c r="M534" s="49">
        <f t="shared" si="57"/>
        <v>0</v>
      </c>
      <c r="N534" s="49">
        <v>0</v>
      </c>
      <c r="O534" s="49">
        <f t="shared" si="57"/>
        <v>0</v>
      </c>
      <c r="P534" s="49">
        <f t="shared" si="57"/>
        <v>0</v>
      </c>
      <c r="Q534" s="39">
        <f t="shared" si="52"/>
        <v>0</v>
      </c>
    </row>
    <row r="535" spans="1:17" ht="25.5">
      <c r="A535" s="31"/>
      <c r="B535" s="134"/>
      <c r="C535" s="32">
        <v>3240</v>
      </c>
      <c r="D535" s="33" t="s">
        <v>164</v>
      </c>
      <c r="E535" s="49">
        <v>5400</v>
      </c>
      <c r="F535" s="49">
        <v>5400</v>
      </c>
      <c r="G535" s="49"/>
      <c r="H535" s="49"/>
      <c r="I535" s="49"/>
      <c r="J535" s="49"/>
      <c r="K535" s="49">
        <v>3200</v>
      </c>
      <c r="L535" s="49">
        <v>3200</v>
      </c>
      <c r="M535" s="49">
        <v>0</v>
      </c>
      <c r="N535" s="49">
        <v>0</v>
      </c>
      <c r="O535" s="49">
        <v>0</v>
      </c>
      <c r="P535" s="49">
        <v>0</v>
      </c>
      <c r="Q535" s="39">
        <f t="shared" si="52"/>
        <v>0</v>
      </c>
    </row>
    <row r="536" spans="1:17" ht="12.75">
      <c r="A536" s="31"/>
      <c r="B536" s="134"/>
      <c r="C536" s="32"/>
      <c r="D536" s="33"/>
      <c r="E536" s="49"/>
      <c r="F536" s="49"/>
      <c r="G536" s="49"/>
      <c r="H536" s="49"/>
      <c r="I536" s="49"/>
      <c r="J536" s="49"/>
      <c r="K536" s="49"/>
      <c r="L536" s="49"/>
      <c r="M536" s="49"/>
      <c r="N536" s="49">
        <v>0</v>
      </c>
      <c r="O536" s="49"/>
      <c r="P536" s="49"/>
      <c r="Q536" s="39">
        <f t="shared" si="52"/>
        <v>0</v>
      </c>
    </row>
    <row r="537" spans="1:17" ht="25.5">
      <c r="A537" s="40"/>
      <c r="B537" s="40">
        <v>85446</v>
      </c>
      <c r="C537" s="41"/>
      <c r="D537" s="50" t="s">
        <v>105</v>
      </c>
      <c r="E537" s="43">
        <f>SUM(E538:E538)</f>
        <v>1280</v>
      </c>
      <c r="F537" s="43">
        <f>SUM(F538:F538)</f>
        <v>380</v>
      </c>
      <c r="G537" s="43">
        <f>SUM(G538:G538)</f>
        <v>1540</v>
      </c>
      <c r="H537" s="43">
        <f>SUM(H538:H538)</f>
        <v>1540</v>
      </c>
      <c r="I537" s="43"/>
      <c r="J537" s="43">
        <f>SUM(J538:J538)</f>
        <v>250</v>
      </c>
      <c r="K537" s="43">
        <f>SUM(K538:K538)</f>
        <v>250</v>
      </c>
      <c r="L537" s="43">
        <f>SUM(L538:L538)</f>
        <v>250</v>
      </c>
      <c r="M537" s="43">
        <f>SUM(M538:M538)</f>
        <v>1500</v>
      </c>
      <c r="N537" s="43">
        <v>7913</v>
      </c>
      <c r="O537" s="43">
        <f>SUM(O538:O538)</f>
        <v>0</v>
      </c>
      <c r="P537" s="43">
        <f>SUM(P538:P538)</f>
        <v>46</v>
      </c>
      <c r="Q537" s="39">
        <f t="shared" si="52"/>
        <v>7867</v>
      </c>
    </row>
    <row r="538" spans="1:17" ht="12.75">
      <c r="A538" s="31"/>
      <c r="B538" s="31"/>
      <c r="C538" s="32">
        <v>4410</v>
      </c>
      <c r="D538" s="33" t="s">
        <v>41</v>
      </c>
      <c r="E538" s="95">
        <v>1280</v>
      </c>
      <c r="F538" s="95">
        <v>380</v>
      </c>
      <c r="G538" s="95">
        <v>1540</v>
      </c>
      <c r="H538" s="95">
        <v>1540</v>
      </c>
      <c r="I538" s="95"/>
      <c r="J538" s="95">
        <v>250</v>
      </c>
      <c r="K538" s="95">
        <v>250</v>
      </c>
      <c r="L538" s="95">
        <v>250</v>
      </c>
      <c r="M538" s="95">
        <v>1500</v>
      </c>
      <c r="N538" s="95">
        <v>1478</v>
      </c>
      <c r="O538" s="95"/>
      <c r="P538" s="95">
        <v>46</v>
      </c>
      <c r="Q538" s="39">
        <f t="shared" si="52"/>
        <v>1432</v>
      </c>
    </row>
    <row r="539" spans="1:17" ht="25.5">
      <c r="A539" s="35">
        <v>921</v>
      </c>
      <c r="B539" s="35"/>
      <c r="C539" s="36"/>
      <c r="D539" s="52" t="s">
        <v>167</v>
      </c>
      <c r="E539" s="38" t="e">
        <f>E540+#REF!+#REF!</f>
        <v>#REF!</v>
      </c>
      <c r="F539" s="38" t="e">
        <f>F540+#REF!+#REF!</f>
        <v>#REF!</v>
      </c>
      <c r="G539" s="39" t="e">
        <f>G540+#REF!+#REF!</f>
        <v>#REF!</v>
      </c>
      <c r="H539" s="39" t="e">
        <f>H540+#REF!+#REF!</f>
        <v>#REF!</v>
      </c>
      <c r="I539" s="39"/>
      <c r="J539" s="39" t="e">
        <f>#REF!+J540+#REF!</f>
        <v>#REF!</v>
      </c>
      <c r="K539" s="39" t="e">
        <f>#REF!+K540+#REF!</f>
        <v>#REF!</v>
      </c>
      <c r="L539" s="39" t="e">
        <f>#REF!+L540+#REF!</f>
        <v>#REF!</v>
      </c>
      <c r="M539" s="39" t="e">
        <f>#REF!+M540+#REF!</f>
        <v>#REF!</v>
      </c>
      <c r="N539" s="39">
        <v>376850</v>
      </c>
      <c r="O539" s="39">
        <f>O540</f>
        <v>4700</v>
      </c>
      <c r="P539" s="39">
        <f>P540</f>
        <v>4700</v>
      </c>
      <c r="Q539" s="39">
        <f aca="true" t="shared" si="58" ref="Q539:Q548">N539+O539-P539</f>
        <v>376850</v>
      </c>
    </row>
    <row r="540" spans="1:17" ht="12.75">
      <c r="A540" s="40"/>
      <c r="B540" s="40">
        <v>92195</v>
      </c>
      <c r="C540" s="41"/>
      <c r="D540" s="50" t="s">
        <v>80</v>
      </c>
      <c r="E540" s="43">
        <f>SUM(E541:E543)</f>
        <v>36600</v>
      </c>
      <c r="F540" s="43">
        <f>SUM(F541:F543)</f>
        <v>40694</v>
      </c>
      <c r="G540" s="43">
        <f>SUM(G541:G543)</f>
        <v>53680</v>
      </c>
      <c r="H540" s="43">
        <f>SUM(H541:H543)</f>
        <v>53680</v>
      </c>
      <c r="I540" s="43"/>
      <c r="J540" s="43">
        <f>SUM(J541:J543)</f>
        <v>48000</v>
      </c>
      <c r="K540" s="43">
        <f>SUM(K541:K543)</f>
        <v>38100</v>
      </c>
      <c r="L540" s="43">
        <f>SUM(L541:L543)</f>
        <v>0</v>
      </c>
      <c r="M540" s="43">
        <f>SUM(M541:M543)</f>
        <v>0</v>
      </c>
      <c r="N540" s="43">
        <v>314000</v>
      </c>
      <c r="O540" s="43">
        <f>SUM(O542:O543)</f>
        <v>4700</v>
      </c>
      <c r="P540" s="43">
        <f>SUM(P542:P543)</f>
        <v>4700</v>
      </c>
      <c r="Q540" s="39">
        <f t="shared" si="58"/>
        <v>314000</v>
      </c>
    </row>
    <row r="541" spans="1:17" ht="51">
      <c r="A541" s="31"/>
      <c r="B541" s="31"/>
      <c r="C541" s="32">
        <v>2810</v>
      </c>
      <c r="D541" s="33" t="s">
        <v>168</v>
      </c>
      <c r="E541" s="63"/>
      <c r="F541" s="63">
        <v>8000</v>
      </c>
      <c r="G541" s="64">
        <v>8000</v>
      </c>
      <c r="H541" s="64">
        <v>8000</v>
      </c>
      <c r="I541" s="64"/>
      <c r="J541" s="64">
        <v>8000</v>
      </c>
      <c r="K541" s="64">
        <v>0</v>
      </c>
      <c r="L541" s="64"/>
      <c r="M541" s="64"/>
      <c r="N541" s="64">
        <v>0</v>
      </c>
      <c r="O541" s="64"/>
      <c r="P541" s="64"/>
      <c r="Q541" s="39">
        <f t="shared" si="58"/>
        <v>0</v>
      </c>
    </row>
    <row r="542" spans="1:17" ht="12.75">
      <c r="A542" s="31"/>
      <c r="B542" s="31"/>
      <c r="C542" s="32">
        <v>4170</v>
      </c>
      <c r="D542" s="33" t="s">
        <v>133</v>
      </c>
      <c r="E542" s="49">
        <v>18300</v>
      </c>
      <c r="F542" s="49">
        <v>16347</v>
      </c>
      <c r="G542" s="51">
        <v>22840</v>
      </c>
      <c r="H542" s="51">
        <v>22840</v>
      </c>
      <c r="I542" s="51"/>
      <c r="J542" s="51">
        <v>20000</v>
      </c>
      <c r="K542" s="51">
        <v>19050</v>
      </c>
      <c r="L542" s="51"/>
      <c r="M542" s="51"/>
      <c r="N542" s="51"/>
      <c r="O542" s="51">
        <v>4700</v>
      </c>
      <c r="P542" s="51"/>
      <c r="Q542" s="39">
        <f>N542+O542-P542</f>
        <v>4700</v>
      </c>
    </row>
    <row r="543" spans="1:17" ht="12.75">
      <c r="A543" s="31"/>
      <c r="B543" s="31"/>
      <c r="C543" s="32">
        <v>4210</v>
      </c>
      <c r="D543" s="33" t="s">
        <v>33</v>
      </c>
      <c r="E543" s="49">
        <v>18300</v>
      </c>
      <c r="F543" s="49">
        <v>16347</v>
      </c>
      <c r="G543" s="51">
        <v>22840</v>
      </c>
      <c r="H543" s="51">
        <v>22840</v>
      </c>
      <c r="I543" s="51"/>
      <c r="J543" s="51">
        <v>20000</v>
      </c>
      <c r="K543" s="51">
        <v>19050</v>
      </c>
      <c r="L543" s="51"/>
      <c r="M543" s="51"/>
      <c r="N543" s="51">
        <v>35000</v>
      </c>
      <c r="O543" s="51"/>
      <c r="P543" s="51">
        <v>4700</v>
      </c>
      <c r="Q543" s="39">
        <f t="shared" si="58"/>
        <v>30300</v>
      </c>
    </row>
    <row r="544" spans="1:17" ht="12.75">
      <c r="A544" s="31"/>
      <c r="B544" s="31"/>
      <c r="C544" s="41"/>
      <c r="D544" s="50" t="s">
        <v>169</v>
      </c>
      <c r="E544" s="49">
        <v>3500</v>
      </c>
      <c r="F544" s="49">
        <f>SUM(F545:F546)</f>
        <v>4150</v>
      </c>
      <c r="G544" s="49">
        <f>SUM(G545:G546)</f>
        <v>5000</v>
      </c>
      <c r="H544" s="49">
        <f>SUM(H545:H546)</f>
        <v>5000</v>
      </c>
      <c r="I544" s="49"/>
      <c r="J544" s="49">
        <f aca="true" t="shared" si="59" ref="J544:P544">SUM(J545:J546)</f>
        <v>5000</v>
      </c>
      <c r="K544" s="49">
        <f t="shared" si="59"/>
        <v>5000</v>
      </c>
      <c r="L544" s="49">
        <f t="shared" si="59"/>
        <v>5000</v>
      </c>
      <c r="M544" s="49">
        <f t="shared" si="59"/>
        <v>5000</v>
      </c>
      <c r="N544" s="49">
        <v>0</v>
      </c>
      <c r="O544" s="49">
        <f t="shared" si="59"/>
        <v>0</v>
      </c>
      <c r="P544" s="49">
        <f t="shared" si="59"/>
        <v>0</v>
      </c>
      <c r="Q544" s="39">
        <f t="shared" si="58"/>
        <v>0</v>
      </c>
    </row>
    <row r="545" spans="1:17" ht="12.75">
      <c r="A545" s="31"/>
      <c r="B545" s="31"/>
      <c r="C545" s="32">
        <v>4210</v>
      </c>
      <c r="D545" s="33" t="s">
        <v>33</v>
      </c>
      <c r="E545" s="49">
        <v>3500</v>
      </c>
      <c r="F545" s="49">
        <v>3500</v>
      </c>
      <c r="G545" s="51">
        <v>5000</v>
      </c>
      <c r="H545" s="51">
        <v>5000</v>
      </c>
      <c r="I545" s="51"/>
      <c r="J545" s="51">
        <v>5000</v>
      </c>
      <c r="K545" s="51">
        <v>5000</v>
      </c>
      <c r="L545" s="51">
        <v>5000</v>
      </c>
      <c r="M545" s="51">
        <v>5000</v>
      </c>
      <c r="N545" s="51">
        <v>0</v>
      </c>
      <c r="O545" s="51"/>
      <c r="P545" s="51"/>
      <c r="Q545" s="39">
        <f t="shared" si="58"/>
        <v>0</v>
      </c>
    </row>
    <row r="546" spans="1:17" ht="12.75">
      <c r="A546" s="31"/>
      <c r="B546" s="31"/>
      <c r="C546" s="32">
        <v>4300</v>
      </c>
      <c r="D546" s="33" t="s">
        <v>69</v>
      </c>
      <c r="E546" s="49"/>
      <c r="F546" s="49">
        <v>650</v>
      </c>
      <c r="G546" s="51">
        <v>0</v>
      </c>
      <c r="H546" s="51">
        <v>0</v>
      </c>
      <c r="I546" s="51"/>
      <c r="J546" s="51">
        <v>0</v>
      </c>
      <c r="K546" s="51">
        <v>0</v>
      </c>
      <c r="L546" s="51"/>
      <c r="M546" s="51"/>
      <c r="N546" s="51">
        <v>0</v>
      </c>
      <c r="O546" s="51"/>
      <c r="P546" s="51"/>
      <c r="Q546" s="39">
        <f t="shared" si="58"/>
        <v>0</v>
      </c>
    </row>
    <row r="547" spans="1:17" ht="12.75">
      <c r="A547" s="31"/>
      <c r="B547" s="31"/>
      <c r="C547" s="41"/>
      <c r="D547" s="50" t="s">
        <v>170</v>
      </c>
      <c r="E547" s="49">
        <f>SUM(E548)</f>
        <v>1000</v>
      </c>
      <c r="F547" s="49">
        <f>SUM(F548)</f>
        <v>1000</v>
      </c>
      <c r="G547" s="51">
        <f>SUM(G548)</f>
        <v>1000</v>
      </c>
      <c r="H547" s="51">
        <f>SUM(H548)</f>
        <v>1000</v>
      </c>
      <c r="I547" s="51"/>
      <c r="J547" s="51">
        <f aca="true" t="shared" si="60" ref="J547:P547">SUM(J548)</f>
        <v>1000</v>
      </c>
      <c r="K547" s="51">
        <f t="shared" si="60"/>
        <v>1000</v>
      </c>
      <c r="L547" s="51">
        <f t="shared" si="60"/>
        <v>1000</v>
      </c>
      <c r="M547" s="51">
        <f t="shared" si="60"/>
        <v>1000</v>
      </c>
      <c r="N547" s="51">
        <v>0</v>
      </c>
      <c r="O547" s="51">
        <f t="shared" si="60"/>
        <v>0</v>
      </c>
      <c r="P547" s="51">
        <f t="shared" si="60"/>
        <v>0</v>
      </c>
      <c r="Q547" s="39">
        <f t="shared" si="58"/>
        <v>0</v>
      </c>
    </row>
    <row r="548" spans="1:17" ht="12.75">
      <c r="A548" s="31"/>
      <c r="B548" s="31"/>
      <c r="C548" s="32">
        <v>4210</v>
      </c>
      <c r="D548" s="33" t="s">
        <v>33</v>
      </c>
      <c r="E548" s="63">
        <v>1000</v>
      </c>
      <c r="F548" s="63">
        <v>1000</v>
      </c>
      <c r="G548" s="64">
        <v>1000</v>
      </c>
      <c r="H548" s="64">
        <v>1000</v>
      </c>
      <c r="I548" s="64"/>
      <c r="J548" s="64">
        <v>1000</v>
      </c>
      <c r="K548" s="64">
        <v>1000</v>
      </c>
      <c r="L548" s="64">
        <v>1000</v>
      </c>
      <c r="M548" s="64">
        <v>1000</v>
      </c>
      <c r="N548" s="64">
        <v>0</v>
      </c>
      <c r="O548" s="64"/>
      <c r="P548" s="64"/>
      <c r="Q548" s="39">
        <f t="shared" si="58"/>
        <v>0</v>
      </c>
    </row>
    <row r="549" spans="1:17" ht="12.75">
      <c r="A549" s="35"/>
      <c r="B549" s="35"/>
      <c r="C549" s="36"/>
      <c r="D549" s="52" t="s">
        <v>171</v>
      </c>
      <c r="E549" s="135" t="e">
        <f>+#REF!+E8+E13+E34+E40+E62+E85+E89+#REF!+E167+E170+E430+E96+#REF!+E498+E539+#REF!</f>
        <v>#REF!</v>
      </c>
      <c r="F549" s="135" t="e">
        <f>+#REF!+F8+F13+F34+F40+F62+F85+F89+#REF!+F167+F170+F430+F96+#REF!+F498+F539+#REF!</f>
        <v>#REF!</v>
      </c>
      <c r="G549" s="135" t="e">
        <f>+#REF!+G8+G13+G34+G40+G62+G85+G89+#REF!+G167+G170+G430+G96+#REF!+G498+G539+#REF!</f>
        <v>#REF!</v>
      </c>
      <c r="H549" s="135" t="e">
        <f>+#REF!+H8+H13+H34+H40+H62+H85+H89+#REF!+H167+H170+H430+H96+#REF!+H498+H539+#REF!</f>
        <v>#REF!</v>
      </c>
      <c r="I549" s="135"/>
      <c r="J549" s="135" t="e">
        <f>+#REF!+J8+J13+J34+J40+J62+J85+J89+#REF!+J167+J170+J430+J96+J498+J539+#REF!+#REF!</f>
        <v>#REF!</v>
      </c>
      <c r="K549" s="135" t="e">
        <f>+#REF!+K8+K13+K34+K40+K62+K85+K89+#REF!+K167+K170+K430+K96+K498+K539+#REF!+#REF!</f>
        <v>#REF!</v>
      </c>
      <c r="L549" s="135" t="e">
        <f>+#REF!+L8+L13+L34+L40+L62+L85+L89+#REF!+L167+L170+L430+L96+L498+L539+#REF!+#REF!</f>
        <v>#REF!</v>
      </c>
      <c r="M549" s="135" t="e">
        <f>+#REF!+M8+M13+M34+M40+M62+M85+M89+#REF!+M167+M170+M430+M96+M498+M539+#REF!+#REF!</f>
        <v>#REF!</v>
      </c>
      <c r="N549" s="135">
        <v>67620383</v>
      </c>
      <c r="O549" s="135">
        <f>O8+O13+O34+O40+O62+O85+O89+O167+O170+O430+O96+O498+O539</f>
        <v>969081</v>
      </c>
      <c r="P549" s="135">
        <f>P8+P13+P34+P40+P62+P85+P89+P167+P170+P430+P96+P498+P539</f>
        <v>3271778</v>
      </c>
      <c r="Q549" s="39">
        <f>N549+O549-P549</f>
        <v>65317686</v>
      </c>
    </row>
    <row r="550" spans="1:17" ht="25.5">
      <c r="A550" s="136"/>
      <c r="B550" s="136"/>
      <c r="C550" s="137"/>
      <c r="D550" s="52" t="s">
        <v>206</v>
      </c>
      <c r="E550" s="48" t="e">
        <f>#REF!+#REF!+#REF!+#REF!+#REF!+#REF!+#REF!</f>
        <v>#REF!</v>
      </c>
      <c r="F550" s="48" t="e">
        <f>#REF!+#REF!+#REF!+#REF!+#REF!+#REF!+#REF!</f>
        <v>#REF!</v>
      </c>
      <c r="G550" s="48" t="e">
        <f>#REF!+#REF!+#REF!+#REF!+#REF!+#REF!+#REF!</f>
        <v>#REF!</v>
      </c>
      <c r="H550" s="48" t="e">
        <f>#REF!+#REF!+#REF!+#REF!+#REF!+#REF!+#REF!</f>
        <v>#REF!</v>
      </c>
      <c r="I550" s="48"/>
      <c r="J550" s="48" t="e">
        <f>SUM(J31:J31)+SUM(#REF!)+SUM(J464:J495)+SUM(J446+#REF!+#REF!+#REF!+J460+J449+#REF!)</f>
        <v>#REF!</v>
      </c>
      <c r="K550" s="48" t="e">
        <f>SUM(K31:K31)+SUM(#REF!)+SUM(K464:K495)+SUM(K446+#REF!+#REF!+#REF!+K460+K449+#REF!)</f>
        <v>#REF!</v>
      </c>
      <c r="L550" s="48" t="e">
        <f>SUM(L31:L31)+SUM(#REF!)+SUM(L464:L495)+SUM(L446+#REF!+#REF!+#REF!+L460+L449+#REF!)</f>
        <v>#REF!</v>
      </c>
      <c r="M550" s="48" t="e">
        <f>SUM(M31:M31)+SUM(#REF!)+SUM(M464:M495)+SUM(M446+#REF!+#REF!+#REF!+M460+M449+#REF!)</f>
        <v>#REF!</v>
      </c>
      <c r="N550" s="48">
        <v>8496241</v>
      </c>
      <c r="O550" s="48">
        <f>SUM(O31:O31)+SUM(O464:O495)+SUM(O446+O460+O449)</f>
        <v>102923</v>
      </c>
      <c r="P550" s="48">
        <f>SUM(P31:P31)+SUM(P464:P495)+SUM(P446+P460+P449)</f>
        <v>996088</v>
      </c>
      <c r="Q550" s="39">
        <f>N550+O550-P550</f>
        <v>7603076</v>
      </c>
    </row>
    <row r="551" spans="1:17" ht="12.75">
      <c r="A551" s="138"/>
      <c r="B551" s="138"/>
      <c r="C551" s="138"/>
      <c r="D551" s="139" t="s">
        <v>172</v>
      </c>
      <c r="E551" s="140" t="e">
        <f>E549-E550</f>
        <v>#REF!</v>
      </c>
      <c r="F551" s="140" t="e">
        <f>F549-F550</f>
        <v>#REF!</v>
      </c>
      <c r="G551" s="140" t="e">
        <f>G549-G550</f>
        <v>#REF!</v>
      </c>
      <c r="H551" s="140" t="e">
        <f>H549-H550</f>
        <v>#REF!</v>
      </c>
      <c r="I551" s="140"/>
      <c r="J551" s="141" t="e">
        <f aca="true" t="shared" si="61" ref="J551:P551">J549-J550</f>
        <v>#REF!</v>
      </c>
      <c r="K551" s="141" t="e">
        <f t="shared" si="61"/>
        <v>#REF!</v>
      </c>
      <c r="L551" s="141" t="e">
        <f t="shared" si="61"/>
        <v>#REF!</v>
      </c>
      <c r="M551" s="141" t="e">
        <f t="shared" si="61"/>
        <v>#REF!</v>
      </c>
      <c r="N551" s="141">
        <v>59124142</v>
      </c>
      <c r="O551" s="141">
        <f t="shared" si="61"/>
        <v>866158</v>
      </c>
      <c r="P551" s="141">
        <f t="shared" si="61"/>
        <v>2275690</v>
      </c>
      <c r="Q551" s="39">
        <f>N551+O551-P551</f>
        <v>57714610</v>
      </c>
    </row>
    <row r="553" spans="11:17" ht="12">
      <c r="K553" s="28"/>
      <c r="N553" s="28"/>
      <c r="O553" s="28"/>
      <c r="P553" s="28"/>
      <c r="Q553" s="28"/>
    </row>
    <row r="554" ht="12">
      <c r="Q554" s="29"/>
    </row>
    <row r="555" spans="4:17" ht="12">
      <c r="D555" s="29"/>
      <c r="K555" s="28"/>
      <c r="N555" s="28"/>
      <c r="O555" s="28"/>
      <c r="P555" s="28"/>
      <c r="Q555" s="28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H45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3.00390625" style="0" customWidth="1"/>
    <col min="2" max="2" width="20.00390625" style="1" customWidth="1"/>
    <col min="3" max="3" width="13.375" style="1" customWidth="1"/>
    <col min="4" max="4" width="9.25390625" style="1" customWidth="1"/>
    <col min="5" max="5" width="6.875" style="1" customWidth="1"/>
    <col min="6" max="6" width="9.25390625" style="1" customWidth="1"/>
    <col min="7" max="7" width="14.00390625" style="3" customWidth="1"/>
    <col min="8" max="8" width="7.125" style="1" customWidth="1"/>
  </cols>
  <sheetData>
    <row r="8" spans="1:8" s="2" customFormat="1" ht="51">
      <c r="A8" s="4" t="s">
        <v>176</v>
      </c>
      <c r="B8" s="5" t="s">
        <v>177</v>
      </c>
      <c r="C8" s="5" t="s">
        <v>199</v>
      </c>
      <c r="D8" s="5" t="s">
        <v>200</v>
      </c>
      <c r="E8" s="5" t="s">
        <v>175</v>
      </c>
      <c r="F8" s="5" t="s">
        <v>197</v>
      </c>
      <c r="G8" s="14" t="s">
        <v>174</v>
      </c>
      <c r="H8" s="5" t="s">
        <v>201</v>
      </c>
    </row>
    <row r="9" spans="1:8" ht="18.75" customHeight="1">
      <c r="A9" s="6"/>
      <c r="B9" s="7" t="s">
        <v>190</v>
      </c>
      <c r="C9" s="7">
        <v>19.5</v>
      </c>
      <c r="D9" s="7">
        <v>19.5</v>
      </c>
      <c r="E9" s="7">
        <v>0</v>
      </c>
      <c r="F9" s="7">
        <f>D9+E9</f>
        <v>19.5</v>
      </c>
      <c r="G9" s="8" t="s">
        <v>185</v>
      </c>
      <c r="H9" s="7">
        <v>15.86</v>
      </c>
    </row>
    <row r="10" spans="1:8" ht="38.25">
      <c r="A10" s="6">
        <v>1</v>
      </c>
      <c r="B10" s="7" t="s">
        <v>188</v>
      </c>
      <c r="C10" s="7"/>
      <c r="D10" s="7"/>
      <c r="E10" s="7"/>
      <c r="F10" s="7"/>
      <c r="G10" s="8"/>
      <c r="H10" s="7"/>
    </row>
    <row r="11" spans="1:8" ht="12.75">
      <c r="A11" s="6"/>
      <c r="B11" s="7">
        <v>75011</v>
      </c>
      <c r="C11" s="7">
        <v>9.5</v>
      </c>
      <c r="D11" s="7">
        <v>9.5</v>
      </c>
      <c r="E11" s="7"/>
      <c r="F11" s="7">
        <f aca="true" t="shared" si="0" ref="F11:F44">D11+E11</f>
        <v>9.5</v>
      </c>
      <c r="G11" s="8"/>
      <c r="H11" s="7">
        <v>15.9</v>
      </c>
    </row>
    <row r="12" spans="1:8" ht="12.75">
      <c r="A12" s="6"/>
      <c r="B12" s="7">
        <v>75020</v>
      </c>
      <c r="C12" s="7">
        <v>79.1</v>
      </c>
      <c r="D12" s="7">
        <v>79.1</v>
      </c>
      <c r="E12" s="7"/>
      <c r="F12" s="7">
        <f t="shared" si="0"/>
        <v>79.1</v>
      </c>
      <c r="G12" s="8">
        <f>129754+38869</f>
        <v>168623</v>
      </c>
      <c r="H12" s="7">
        <v>15.9</v>
      </c>
    </row>
    <row r="13" spans="1:8" ht="12.75">
      <c r="A13" s="6"/>
      <c r="B13" s="7">
        <v>80195</v>
      </c>
      <c r="C13" s="7">
        <v>1</v>
      </c>
      <c r="D13" s="7">
        <v>1</v>
      </c>
      <c r="E13" s="7"/>
      <c r="F13" s="7">
        <f t="shared" si="0"/>
        <v>1</v>
      </c>
      <c r="G13" s="13">
        <v>19749</v>
      </c>
      <c r="H13" s="7">
        <v>15.9</v>
      </c>
    </row>
    <row r="14" spans="1:8" ht="38.25">
      <c r="A14" s="6">
        <v>2</v>
      </c>
      <c r="B14" s="7" t="s">
        <v>189</v>
      </c>
      <c r="C14" s="7" t="s">
        <v>198</v>
      </c>
      <c r="D14" s="7">
        <v>15.5</v>
      </c>
      <c r="E14" s="7">
        <v>9</v>
      </c>
      <c r="F14" s="7">
        <f t="shared" si="0"/>
        <v>24.5</v>
      </c>
      <c r="G14" s="8">
        <f>13477+9000</f>
        <v>22477</v>
      </c>
      <c r="H14" s="7">
        <v>15.44</v>
      </c>
    </row>
    <row r="15" spans="1:8" ht="25.5">
      <c r="A15" s="6">
        <v>3</v>
      </c>
      <c r="B15" s="7" t="s">
        <v>186</v>
      </c>
      <c r="C15" s="7">
        <f>57.5+4</f>
        <v>61.5</v>
      </c>
      <c r="D15" s="7">
        <f>57.5+4</f>
        <v>61.5</v>
      </c>
      <c r="E15" s="7">
        <v>0</v>
      </c>
      <c r="F15" s="7">
        <f t="shared" si="0"/>
        <v>61.5</v>
      </c>
      <c r="G15" s="8">
        <v>13754</v>
      </c>
      <c r="H15" s="7">
        <v>15.1</v>
      </c>
    </row>
    <row r="16" spans="1:8" ht="12.75">
      <c r="A16" s="6">
        <v>4</v>
      </c>
      <c r="B16" s="7" t="s">
        <v>178</v>
      </c>
      <c r="C16" s="7">
        <v>45</v>
      </c>
      <c r="D16" s="7">
        <v>43</v>
      </c>
      <c r="E16" s="7">
        <v>0</v>
      </c>
      <c r="F16" s="7">
        <f t="shared" si="0"/>
        <v>43</v>
      </c>
      <c r="G16" s="8">
        <v>31000</v>
      </c>
      <c r="H16" s="7">
        <v>16</v>
      </c>
    </row>
    <row r="17" spans="1:8" ht="25.5">
      <c r="A17" s="6">
        <v>5</v>
      </c>
      <c r="B17" s="7" t="s">
        <v>179</v>
      </c>
      <c r="C17" s="7" t="s">
        <v>180</v>
      </c>
      <c r="D17" s="7">
        <v>77.34</v>
      </c>
      <c r="E17" s="7">
        <v>0</v>
      </c>
      <c r="F17" s="7">
        <f t="shared" si="0"/>
        <v>77.34</v>
      </c>
      <c r="G17" s="8">
        <v>78600</v>
      </c>
      <c r="H17" s="7">
        <v>15.88</v>
      </c>
    </row>
    <row r="18" spans="1:8" ht="12.75">
      <c r="A18" s="6"/>
      <c r="B18" s="7" t="s">
        <v>183</v>
      </c>
      <c r="C18" s="7">
        <v>8</v>
      </c>
      <c r="D18" s="7">
        <v>8</v>
      </c>
      <c r="E18" s="7">
        <v>0</v>
      </c>
      <c r="F18" s="7">
        <f t="shared" si="0"/>
        <v>8</v>
      </c>
      <c r="G18" s="8" t="s">
        <v>185</v>
      </c>
      <c r="H18" s="7">
        <v>15.88</v>
      </c>
    </row>
    <row r="19" spans="1:8" ht="25.5">
      <c r="A19" s="6">
        <v>6</v>
      </c>
      <c r="B19" s="7" t="s">
        <v>181</v>
      </c>
      <c r="C19" s="7">
        <v>53</v>
      </c>
      <c r="D19" s="7">
        <v>48</v>
      </c>
      <c r="E19" s="7">
        <v>0</v>
      </c>
      <c r="F19" s="7">
        <f t="shared" si="0"/>
        <v>48</v>
      </c>
      <c r="G19" s="8">
        <v>32000</v>
      </c>
      <c r="H19" s="7">
        <v>15.44</v>
      </c>
    </row>
    <row r="20" spans="1:8" ht="25.5">
      <c r="A20" s="6">
        <v>7</v>
      </c>
      <c r="B20" s="7" t="s">
        <v>182</v>
      </c>
      <c r="C20" s="7">
        <v>35.5</v>
      </c>
      <c r="D20" s="7">
        <v>35.5</v>
      </c>
      <c r="E20" s="7">
        <v>0</v>
      </c>
      <c r="F20" s="7">
        <f t="shared" si="0"/>
        <v>35.5</v>
      </c>
      <c r="G20" s="8">
        <v>20500</v>
      </c>
      <c r="H20" s="7">
        <v>15.73</v>
      </c>
    </row>
    <row r="21" spans="1:8" ht="25.5">
      <c r="A21" s="6"/>
      <c r="B21" s="7" t="s">
        <v>202</v>
      </c>
      <c r="C21" s="7">
        <v>9</v>
      </c>
      <c r="D21" s="7">
        <v>9</v>
      </c>
      <c r="E21" s="7">
        <v>0</v>
      </c>
      <c r="F21" s="7">
        <f t="shared" si="0"/>
        <v>9</v>
      </c>
      <c r="G21" s="8" t="s">
        <v>185</v>
      </c>
      <c r="H21" s="7">
        <v>15.73</v>
      </c>
    </row>
    <row r="22" spans="1:6" ht="12.75">
      <c r="A22" s="6">
        <v>8</v>
      </c>
      <c r="B22" s="7" t="s">
        <v>184</v>
      </c>
      <c r="F22" s="7">
        <f t="shared" si="0"/>
        <v>0</v>
      </c>
    </row>
    <row r="23" spans="1:8" ht="12.75">
      <c r="A23" s="6"/>
      <c r="B23" s="7">
        <v>85218</v>
      </c>
      <c r="C23" s="7">
        <v>10.5</v>
      </c>
      <c r="D23" s="7">
        <v>10.5</v>
      </c>
      <c r="E23" s="7">
        <v>0</v>
      </c>
      <c r="F23" s="7">
        <f t="shared" si="0"/>
        <v>10.5</v>
      </c>
      <c r="G23" s="8" t="s">
        <v>185</v>
      </c>
      <c r="H23" s="7">
        <v>15.44</v>
      </c>
    </row>
    <row r="24" spans="1:8" ht="12.75">
      <c r="A24" s="6"/>
      <c r="B24" s="7">
        <v>85220</v>
      </c>
      <c r="C24" s="7">
        <v>1</v>
      </c>
      <c r="D24" s="7">
        <v>1</v>
      </c>
      <c r="E24" s="7">
        <v>0</v>
      </c>
      <c r="F24" s="7">
        <f t="shared" si="0"/>
        <v>1</v>
      </c>
      <c r="G24" s="8" t="s">
        <v>185</v>
      </c>
      <c r="H24" s="7">
        <v>15.44</v>
      </c>
    </row>
    <row r="25" spans="1:8" ht="12.75">
      <c r="A25" s="6"/>
      <c r="B25" s="1">
        <v>85321</v>
      </c>
      <c r="C25" s="7">
        <v>1</v>
      </c>
      <c r="D25" s="7">
        <v>1</v>
      </c>
      <c r="E25" s="7">
        <v>0</v>
      </c>
      <c r="F25" s="7">
        <f t="shared" si="0"/>
        <v>1</v>
      </c>
      <c r="G25" s="8" t="s">
        <v>185</v>
      </c>
      <c r="H25" s="7">
        <v>15.44</v>
      </c>
    </row>
    <row r="26" spans="1:8" ht="12.75">
      <c r="A26" s="6">
        <v>9</v>
      </c>
      <c r="B26" s="7" t="s">
        <v>187</v>
      </c>
      <c r="C26" s="7">
        <v>8.5</v>
      </c>
      <c r="D26" s="7">
        <v>8.5</v>
      </c>
      <c r="E26" s="7"/>
      <c r="F26" s="7">
        <f t="shared" si="0"/>
        <v>8.5</v>
      </c>
      <c r="G26" s="8" t="s">
        <v>185</v>
      </c>
      <c r="H26" s="7"/>
    </row>
    <row r="27" spans="1:8" ht="25.5">
      <c r="A27" s="6">
        <v>10</v>
      </c>
      <c r="B27" s="7" t="s">
        <v>192</v>
      </c>
      <c r="C27" s="7"/>
      <c r="D27" s="7"/>
      <c r="E27" s="7"/>
      <c r="F27" s="7">
        <f t="shared" si="0"/>
        <v>0</v>
      </c>
      <c r="G27" s="8"/>
      <c r="H27" s="7"/>
    </row>
    <row r="28" spans="1:8" ht="12.75">
      <c r="A28" s="6"/>
      <c r="B28" s="7">
        <v>80120</v>
      </c>
      <c r="C28" s="7"/>
      <c r="D28" s="7"/>
      <c r="E28" s="7">
        <v>19</v>
      </c>
      <c r="F28" s="7">
        <f t="shared" si="0"/>
        <v>19</v>
      </c>
      <c r="G28" s="8">
        <v>39704</v>
      </c>
      <c r="H28" s="7"/>
    </row>
    <row r="29" spans="1:8" ht="12.75">
      <c r="A29" s="6"/>
      <c r="B29" s="7">
        <v>80130</v>
      </c>
      <c r="C29" s="7"/>
      <c r="D29" s="7">
        <v>24</v>
      </c>
      <c r="E29" s="7">
        <v>66.82</v>
      </c>
      <c r="F29" s="7">
        <f t="shared" si="0"/>
        <v>90.82</v>
      </c>
      <c r="G29" s="8">
        <f>87488+12616</f>
        <v>100104</v>
      </c>
      <c r="H29" s="7">
        <v>15.34</v>
      </c>
    </row>
    <row r="30" spans="1:8" ht="12.75">
      <c r="A30" s="6"/>
      <c r="B30" s="7">
        <v>80148</v>
      </c>
      <c r="C30" s="7"/>
      <c r="D30" s="7">
        <v>7</v>
      </c>
      <c r="E30" s="7"/>
      <c r="F30" s="7">
        <f t="shared" si="0"/>
        <v>7</v>
      </c>
      <c r="G30" s="8">
        <v>28595</v>
      </c>
      <c r="H30" s="7">
        <v>15.34</v>
      </c>
    </row>
    <row r="31" spans="1:8" ht="12.75">
      <c r="A31" s="6"/>
      <c r="B31" s="7">
        <v>85410</v>
      </c>
      <c r="C31" s="7"/>
      <c r="D31" s="7">
        <v>3</v>
      </c>
      <c r="E31" s="7">
        <v>7</v>
      </c>
      <c r="F31" s="7">
        <f t="shared" si="0"/>
        <v>10</v>
      </c>
      <c r="G31" s="8"/>
      <c r="H31" s="7">
        <v>15.34</v>
      </c>
    </row>
    <row r="32" spans="1:8" ht="12.75">
      <c r="A32" s="6">
        <v>11</v>
      </c>
      <c r="B32" s="7" t="s">
        <v>191</v>
      </c>
      <c r="C32" s="7"/>
      <c r="D32" s="7"/>
      <c r="E32" s="7"/>
      <c r="F32" s="7">
        <f t="shared" si="0"/>
        <v>0</v>
      </c>
      <c r="G32" s="8"/>
      <c r="H32" s="7"/>
    </row>
    <row r="33" spans="1:8" ht="12.75">
      <c r="A33" s="6"/>
      <c r="B33" s="7">
        <v>80120</v>
      </c>
      <c r="C33" s="7"/>
      <c r="D33" s="7"/>
      <c r="E33" s="7">
        <v>24.56</v>
      </c>
      <c r="F33" s="7">
        <f t="shared" si="0"/>
        <v>24.56</v>
      </c>
      <c r="G33" s="8">
        <v>31166</v>
      </c>
      <c r="H33" s="7">
        <v>15.7</v>
      </c>
    </row>
    <row r="34" spans="1:8" ht="12.75">
      <c r="A34" s="6"/>
      <c r="B34" s="7">
        <v>80130</v>
      </c>
      <c r="C34" s="7"/>
      <c r="D34" s="7">
        <v>10</v>
      </c>
      <c r="E34" s="7">
        <v>13</v>
      </c>
      <c r="F34" s="7">
        <f t="shared" si="0"/>
        <v>23</v>
      </c>
      <c r="G34" s="8">
        <v>22019</v>
      </c>
      <c r="H34" s="7">
        <v>15.7</v>
      </c>
    </row>
    <row r="35" spans="1:8" ht="12.75">
      <c r="A35" s="6"/>
      <c r="B35" s="7">
        <v>80195</v>
      </c>
      <c r="C35" s="7"/>
      <c r="D35" s="7">
        <v>5</v>
      </c>
      <c r="E35" s="7"/>
      <c r="F35" s="7">
        <f t="shared" si="0"/>
        <v>5</v>
      </c>
      <c r="G35" s="8"/>
      <c r="H35" s="7">
        <v>15.7</v>
      </c>
    </row>
    <row r="36" spans="1:8" ht="12.75">
      <c r="A36" s="6">
        <v>12</v>
      </c>
      <c r="B36" s="7" t="s">
        <v>193</v>
      </c>
      <c r="C36" s="7"/>
      <c r="D36" s="7"/>
      <c r="E36" s="7"/>
      <c r="F36" s="7">
        <f t="shared" si="0"/>
        <v>0</v>
      </c>
      <c r="G36" s="8"/>
      <c r="H36" s="7"/>
    </row>
    <row r="37" spans="1:8" ht="12.75">
      <c r="A37" s="6"/>
      <c r="B37" s="7">
        <v>80102</v>
      </c>
      <c r="C37" s="7"/>
      <c r="D37" s="7">
        <v>5</v>
      </c>
      <c r="E37" s="7">
        <v>14.2</v>
      </c>
      <c r="F37" s="7">
        <f t="shared" si="0"/>
        <v>19.2</v>
      </c>
      <c r="G37" s="8">
        <f>1600+15975</f>
        <v>17575</v>
      </c>
      <c r="H37" s="7">
        <v>15.46</v>
      </c>
    </row>
    <row r="38" spans="1:8" ht="12.75">
      <c r="A38" s="6"/>
      <c r="B38" s="7">
        <v>80111</v>
      </c>
      <c r="C38" s="7"/>
      <c r="D38" s="7"/>
      <c r="E38" s="7">
        <v>10.1</v>
      </c>
      <c r="F38" s="7">
        <f t="shared" si="0"/>
        <v>10.1</v>
      </c>
      <c r="G38" s="8">
        <v>13186</v>
      </c>
      <c r="H38" s="7">
        <v>15.46</v>
      </c>
    </row>
    <row r="39" spans="1:8" ht="12.75">
      <c r="A39" s="6"/>
      <c r="B39" s="7">
        <v>80148</v>
      </c>
      <c r="C39" s="7"/>
      <c r="D39" s="7">
        <v>2.75</v>
      </c>
      <c r="E39" s="7"/>
      <c r="F39" s="7">
        <f t="shared" si="0"/>
        <v>2.75</v>
      </c>
      <c r="G39" s="8"/>
      <c r="H39" s="7">
        <v>15.46</v>
      </c>
    </row>
    <row r="40" spans="1:8" ht="12.75">
      <c r="A40" s="6"/>
      <c r="B40" s="7">
        <v>80134</v>
      </c>
      <c r="C40" s="7"/>
      <c r="D40" s="7"/>
      <c r="E40" s="7">
        <f>5.77+1.2</f>
        <v>6.97</v>
      </c>
      <c r="F40" s="7">
        <f t="shared" si="0"/>
        <v>6.97</v>
      </c>
      <c r="G40" s="8">
        <v>15074</v>
      </c>
      <c r="H40" s="7">
        <v>15.46</v>
      </c>
    </row>
    <row r="41" spans="1:8" ht="12.75">
      <c r="A41" s="6"/>
      <c r="B41" s="7">
        <v>85401</v>
      </c>
      <c r="C41" s="7"/>
      <c r="D41" s="7">
        <v>1</v>
      </c>
      <c r="E41" s="7">
        <v>2</v>
      </c>
      <c r="F41" s="7">
        <f t="shared" si="0"/>
        <v>3</v>
      </c>
      <c r="G41" s="8">
        <v>8000</v>
      </c>
      <c r="H41" s="7">
        <v>15.46</v>
      </c>
    </row>
    <row r="42" spans="1:8" ht="38.25">
      <c r="A42" s="6">
        <v>13</v>
      </c>
      <c r="B42" s="7" t="s">
        <v>194</v>
      </c>
      <c r="C42" s="7"/>
      <c r="D42" s="7"/>
      <c r="E42" s="7"/>
      <c r="F42" s="7">
        <f t="shared" si="0"/>
        <v>0</v>
      </c>
      <c r="G42" s="8"/>
      <c r="H42" s="7"/>
    </row>
    <row r="43" spans="1:8" ht="12.75">
      <c r="A43" s="6"/>
      <c r="B43" s="7">
        <v>80132</v>
      </c>
      <c r="C43" s="7"/>
      <c r="D43" s="7">
        <v>4</v>
      </c>
      <c r="E43" s="7">
        <v>24.01</v>
      </c>
      <c r="F43" s="7">
        <f t="shared" si="0"/>
        <v>28.01</v>
      </c>
      <c r="G43" s="8">
        <v>2226</v>
      </c>
      <c r="H43" s="7">
        <v>15.22</v>
      </c>
    </row>
    <row r="44" spans="1:8" ht="12.75">
      <c r="A44" s="6">
        <v>14</v>
      </c>
      <c r="B44" s="7" t="s">
        <v>195</v>
      </c>
      <c r="C44" s="7"/>
      <c r="D44" s="7">
        <v>3.13</v>
      </c>
      <c r="E44" s="7">
        <v>10.5</v>
      </c>
      <c r="F44" s="7">
        <f t="shared" si="0"/>
        <v>13.629999999999999</v>
      </c>
      <c r="G44" s="8">
        <f>2059+4117</f>
        <v>6176</v>
      </c>
      <c r="H44" s="7">
        <v>15.44</v>
      </c>
    </row>
    <row r="45" spans="1:8" s="12" customFormat="1" ht="29.25" customHeight="1">
      <c r="A45" s="9"/>
      <c r="B45" s="10" t="s">
        <v>196</v>
      </c>
      <c r="C45" s="10"/>
      <c r="D45" s="10">
        <f>SUM(D9:D44)</f>
        <v>492.82</v>
      </c>
      <c r="E45" s="10">
        <f>SUM(E9:E44)</f>
        <v>207.15999999999997</v>
      </c>
      <c r="F45" s="10">
        <f>SUM(F9:F44)</f>
        <v>699.98</v>
      </c>
      <c r="G45" s="11">
        <f>SUM(G9:G44)</f>
        <v>670528</v>
      </c>
      <c r="H45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2009-12-18T09:22:41Z</cp:lastPrinted>
  <dcterms:created xsi:type="dcterms:W3CDTF">1997-02-26T13:46:56Z</dcterms:created>
  <dcterms:modified xsi:type="dcterms:W3CDTF">2009-12-18T09:22:42Z</dcterms:modified>
  <cp:category/>
  <cp:version/>
  <cp:contentType/>
  <cp:contentStatus/>
</cp:coreProperties>
</file>