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udżet 2010" sheetId="1" r:id="rId1"/>
    <sheet name="etaty  2010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<sst xmlns="http://schemas.openxmlformats.org/spreadsheetml/2006/main" count="1755" uniqueCount="383">
  <si>
    <t>Dz.</t>
  </si>
  <si>
    <t>R.</t>
  </si>
  <si>
    <t>P.</t>
  </si>
  <si>
    <t>W Y S Z C Z E G Ó L N I E N I E</t>
  </si>
  <si>
    <t>BUDŻET   2007 - wg.  stanu  na  dzień   1.03.07</t>
  </si>
  <si>
    <t>BUDŻET   2007 - wg.  stanu  na  dzień   27.08.07</t>
  </si>
  <si>
    <t xml:space="preserve">Propozycje     budżetu   2008  złożone  przez jednostki  org. </t>
  </si>
  <si>
    <t>Propozycja  wydziałów    nadzorujących  lub   dane   z    kol. 7</t>
  </si>
  <si>
    <t xml:space="preserve">Wynagrodzenia     (  4010) -   do   wyliczenia   rezerwy </t>
  </si>
  <si>
    <t xml:space="preserve">Budżet  2008-   pierwotny </t>
  </si>
  <si>
    <t xml:space="preserve">Budżet  2008- na  30.09.2008 </t>
  </si>
  <si>
    <t>Przewidywane    wykonanie   na  31.12.2008</t>
  </si>
  <si>
    <t xml:space="preserve">Plan  jednostki </t>
  </si>
  <si>
    <t>.010</t>
  </si>
  <si>
    <t>ROLNICTWO I ŁOWIECTWO</t>
  </si>
  <si>
    <t>.01005</t>
  </si>
  <si>
    <t>Prace geodezyjno - urządzeniowe na potrzeby  rolnictwa</t>
  </si>
  <si>
    <t xml:space="preserve">Zakup  usług  pozostałych 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</si>
  <si>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</si>
  <si>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</si>
  <si>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</si>
  <si>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</si>
  <si>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</si>
  <si>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</si>
  <si>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</si>
  <si>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</si>
  <si>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</si>
  <si>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</si>
  <si>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</si>
  <si>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</si>
  <si>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</si>
  <si>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</si>
  <si>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</si>
  <si>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</si>
  <si>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</si>
  <si>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</si>
  <si>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</si>
  <si>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</si>
  <si>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</si>
  <si>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>Opłaty z tytułu usług telekomunikacyjnych telefonii komórkowej</t>
  </si>
  <si>
    <t>Opłata z tytułu telekomunikacyjnych telefonii stacjonarnej</t>
  </si>
  <si>
    <t>Zakup usług obejmujących wykonanie ekspertyz analiz i opinii</t>
  </si>
  <si>
    <t>Podróże służbowe krajowe</t>
  </si>
  <si>
    <t>Różne opłaty i składki</t>
  </si>
  <si>
    <t>Odpisy na zakładowy fundusz świadczeń socjalnych</t>
  </si>
  <si>
    <t xml:space="preserve">Podatek  od nieruchomości </t>
  </si>
  <si>
    <t>Szkolenia pracowników niebędących członkami korpusu służby cywilnej</t>
  </si>
  <si>
    <t>Zakup materiałów papierniczych do sprzętu</t>
  </si>
  <si>
    <t>Zakup akcesoriów komputerowych</t>
  </si>
  <si>
    <t xml:space="preserve">Wydatki  inwestycyjne  jednostek  budżetowych </t>
  </si>
  <si>
    <t>Wydatki na zakupy inwestycyjne jednostek budżetowych</t>
  </si>
  <si>
    <t>GOSPODARKA MIESZKANIOWA</t>
  </si>
  <si>
    <t>Gospodarka gruntami i nieruchomościami</t>
  </si>
  <si>
    <t xml:space="preserve">Zakup usług remontowych </t>
  </si>
  <si>
    <t xml:space="preserve">Odsetki  pozostałe </t>
  </si>
  <si>
    <t>Kary  i  odszkodowania wypłacane na rzecz osób fizycznych</t>
  </si>
  <si>
    <t xml:space="preserve">Koszty postępowania sądowego i prokuratorskiego </t>
  </si>
  <si>
    <t>Wydatki na zakupy inwestycyjne  jednostek budżetowych</t>
  </si>
  <si>
    <t>w tym :</t>
  </si>
  <si>
    <t>*</t>
  </si>
  <si>
    <t>Gospodarka gruntami i nieruchomościami- skarb państwa</t>
  </si>
  <si>
    <t>Podatek od nieruchomości</t>
  </si>
  <si>
    <t xml:space="preserve">Gospodarka gruntami i nieruchomościami- Powiat Toruński </t>
  </si>
  <si>
    <t>DZIAŁALNOŚĆ USŁUGOWA</t>
  </si>
  <si>
    <t>Prace geodezyjne i kartograficzne (nieinwest.)</t>
  </si>
  <si>
    <t xml:space="preserve">Opracowania  geodezyjne i kartograficzne </t>
  </si>
  <si>
    <t>Nadzór budowlany</t>
  </si>
  <si>
    <t xml:space="preserve">realizacja  PINB  w  Toruniu </t>
  </si>
  <si>
    <t>Wydatki osobowe niezaliczone do wynagrodzeń</t>
  </si>
  <si>
    <t xml:space="preserve">Wynagrodzenia  bezosobowe </t>
  </si>
  <si>
    <t xml:space="preserve">Zakup usług zdrowotnych </t>
  </si>
  <si>
    <t>Zakup pozostałych usług</t>
  </si>
  <si>
    <t>Opłaty za administrowanie i   czynsze   za  budynki , lokale  i  pomieszczenia   garażowe</t>
  </si>
  <si>
    <t>Zakup materiałów papierniczych do sprzętu drukarskiego i urządzeń kserograficznych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</si>
  <si>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</si>
  <si>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</si>
  <si>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</si>
  <si>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</si>
  <si>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</si>
  <si>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</si>
  <si>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</si>
  <si>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Zakup usług pozostałych</t>
  </si>
  <si>
    <t>Szkolenia pracowników nie będących członkami korpusu służby cywilnej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</si>
  <si>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</si>
  <si>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</si>
  <si>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</si>
  <si>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</si>
  <si>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 tego druki komunikacyjne</t>
  </si>
  <si>
    <t>Zakup leków i wyrobów  medycznych i produktów biobójczych</t>
  </si>
  <si>
    <t xml:space="preserve"> z tego tablice rejestracyjne</t>
  </si>
  <si>
    <t xml:space="preserve">Podróże służbowe zagraniczne </t>
  </si>
  <si>
    <t>Opłaty na  rzecz budżetu państwa</t>
  </si>
  <si>
    <t xml:space="preserve">Wydatki    inwestycyjne  jednostek  budżetowych 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</si>
  <si>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</si>
  <si>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</si>
  <si>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</si>
  <si>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</si>
  <si>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Komendy  Powiatowe Straży Pożarnej</t>
  </si>
  <si>
    <t>Pozostała działalność</t>
  </si>
  <si>
    <t xml:space="preserve">Zakup materiałów i wyposażenia </t>
  </si>
  <si>
    <t>Dotacje celowe przekazane dla powiatu   na zadania  bieżące realizowane na podstawie porozumień (umów) między  jednostkami samorządu terytorialnego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</si>
  <si>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</si>
  <si>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</si>
  <si>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</si>
  <si>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</si>
  <si>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</si>
  <si>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</si>
  <si>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rezerwa ogólna</t>
  </si>
  <si>
    <t xml:space="preserve">rezerwa  celowa  -art. 26  ustawy z dnia 26 kwietnia 2007roku  o zarządzaniu  kryzysowym </t>
  </si>
  <si>
    <t>Rezerwy na inwestycje i zakupy inwestycyjne</t>
  </si>
  <si>
    <t>OŚWIATA I WYCHOWANIE</t>
  </si>
  <si>
    <t>Szkoła podstawowa  specjalna</t>
  </si>
  <si>
    <t>Realizacja Z.Sz.S. w Chełmży</t>
  </si>
  <si>
    <t>Składki na ubezpieczenie społeczne</t>
  </si>
  <si>
    <t>Gimnazja specjalne</t>
  </si>
  <si>
    <t xml:space="preserve">Realizacja -Z.Sz.S w Chełmży </t>
  </si>
  <si>
    <t>Składki na Fundusz  Pracy</t>
  </si>
  <si>
    <t>Zakup pomocy naukowych , dydaktycznych , książek</t>
  </si>
  <si>
    <t>Zakup akcesoriów komputerowych, w tym programów i licencji</t>
  </si>
  <si>
    <t>Licea ogólnokształcące</t>
  </si>
  <si>
    <t>Dotacja podmiotowa z budżetu dla niepublicznej szkoły lub innej placówki oświatowo - wychowawczej</t>
  </si>
  <si>
    <t>w tym:</t>
  </si>
  <si>
    <t>*Z.Sz. W  Chełmży</t>
  </si>
  <si>
    <t>*Z.Sz.CKU w  Gronowie</t>
  </si>
  <si>
    <t>Nagrody i wydatki osobowe nie zaliczone do wynagr.</t>
  </si>
  <si>
    <t>*Starostwo  Powiatowe  w  Toruniu -Liceum Wieczorowe niepubliczne</t>
  </si>
  <si>
    <t>Szkoły  zawodowe</t>
  </si>
  <si>
    <t>Dotacje celowe przekazane do   samorządu   województwa  na zadania  bieżące realizowane na podstawie porozumień (umów) między  jednostkami samorządu terytorialnego</t>
  </si>
  <si>
    <t xml:space="preserve">Wpłaty  na  PFRON </t>
  </si>
  <si>
    <t xml:space="preserve">Zakup pomocy  naukowych , dydaktycznych  i  książek </t>
  </si>
  <si>
    <t>Opłaty z tytułu zakupu usług telekomunikacyjnych telefonii komórkowej</t>
  </si>
  <si>
    <t xml:space="preserve">Opłaty z tytułu zakupu usług telekomunikacyjnych telefonii  stacjonarnej </t>
  </si>
  <si>
    <t xml:space="preserve">Podatek od nieruchomości </t>
  </si>
  <si>
    <t xml:space="preserve">Pozostałe  podatki  na  rzecz  budżetów  jednostek  samorządu  terytorialnego </t>
  </si>
  <si>
    <t xml:space="preserve">*Z.Sz. w Chełmży </t>
  </si>
  <si>
    <t>Opłaty z tytułu zakupu usług telekomunikacyjnych telefonii stacjonarnej</t>
  </si>
  <si>
    <t>*Z.Sz.CKU  w Gronowie</t>
  </si>
  <si>
    <t>Wynagrodzenia  bezosobowe</t>
  </si>
  <si>
    <t>*Starostwo Powiatowe w Toruniu</t>
  </si>
  <si>
    <t>Szkoły artystyczne</t>
  </si>
  <si>
    <t xml:space="preserve">Realizacja -Szkoła Muzyczna I Stopnia w Chełmży </t>
  </si>
  <si>
    <t>Szkoły zawodowe specjalne</t>
  </si>
  <si>
    <t xml:space="preserve">Realizacja Z.Sz.S w Chełmży 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</si>
  <si>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</si>
  <si>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</si>
  <si>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w  tym  :</t>
  </si>
  <si>
    <t xml:space="preserve">Starostwo Powiatowe  w  Toruniu </t>
  </si>
  <si>
    <t xml:space="preserve">Z.Sz.  w  Chełmży </t>
  </si>
  <si>
    <t xml:space="preserve">Z.Sz.S  w  Chełmży </t>
  </si>
  <si>
    <t xml:space="preserve">Z.Sz. CKU  w  Gronowie  </t>
  </si>
  <si>
    <t xml:space="preserve">Szkoła   Muzyczna  w  Chełmży </t>
  </si>
  <si>
    <t>Stołówki szkolne</t>
  </si>
  <si>
    <t>*Z.Sz.S. W  Chełmży</t>
  </si>
  <si>
    <t xml:space="preserve">Wydatki na   zakupy  inwestycyjne  jednostek  budżetowych </t>
  </si>
  <si>
    <t>Zakup  usług pozostałych</t>
  </si>
  <si>
    <t xml:space="preserve">Wydatki   inwestycyjne  jednostek  budżetowych </t>
  </si>
  <si>
    <t xml:space="preserve">w tym: </t>
  </si>
  <si>
    <t>* Nagrody Starosty- Starostwo Powiatowe</t>
  </si>
  <si>
    <t>* Pozostała działalność-Starostwo Powiatowe</t>
  </si>
  <si>
    <t xml:space="preserve">Z.Sz.  W  Chełmży  </t>
  </si>
  <si>
    <t>Szkoła  Muzyczna  w  Chełmży</t>
  </si>
  <si>
    <t>* Księgowość w Chełmży</t>
  </si>
  <si>
    <t xml:space="preserve">*Państwowa Szkoła Muzyczna I Stopnia w Chełmży </t>
  </si>
  <si>
    <t xml:space="preserve">Starostwo  Powiatowe -  inwestycja  Hallera </t>
  </si>
  <si>
    <t>Z.SZ.  CKU  Gronowo-  równe   szanse  w  drodze   do  poszerzenia  kompetencji  kluczowych -UE</t>
  </si>
  <si>
    <t>Z.SZ.  CKU  Gronowo- Dobre doradztwo-dobre kształcenie=sukces zawodowy  -UE</t>
  </si>
  <si>
    <t>Z.SZ.  CKU  Gronowo- Atrakcyjna szkoła w trosce o pokolenia  -UE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</si>
  <si>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</si>
  <si>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</si>
  <si>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</si>
  <si>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>w  tym :</t>
  </si>
  <si>
    <t xml:space="preserve">*Placówka Opiekuńczo - Wychowawcza w Głuchowie </t>
  </si>
  <si>
    <t xml:space="preserve">*PUP  w  Chełmży </t>
  </si>
  <si>
    <t xml:space="preserve">*Z.Sz.  CKU  Gronowo 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</si>
  <si>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</si>
  <si>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</si>
  <si>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</si>
  <si>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</si>
  <si>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</si>
  <si>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</si>
  <si>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</si>
  <si>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</si>
  <si>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</si>
  <si>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Wydatki  inwestycyjne jednostek budżetowych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</si>
  <si>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</si>
  <si>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</si>
  <si>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</si>
  <si>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</si>
  <si>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</si>
  <si>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</si>
  <si>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</si>
  <si>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</si>
  <si>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*DPS BROWINA</t>
  </si>
  <si>
    <t>Wydatki inwestycyjne jednostek budżetowych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</si>
  <si>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</si>
  <si>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</si>
  <si>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</si>
  <si>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</si>
  <si>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</si>
  <si>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</si>
  <si>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</si>
  <si>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</si>
  <si>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</si>
  <si>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</si>
  <si>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>w  tym:</t>
  </si>
  <si>
    <t xml:space="preserve">*PCPR w Toruniu </t>
  </si>
  <si>
    <t>*Starostwo Powiatowe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</si>
  <si>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</si>
  <si>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</si>
  <si>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</si>
  <si>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>Wynagrodzenia bezosobowe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</si>
  <si>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</si>
  <si>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</si>
  <si>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</si>
  <si>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</si>
  <si>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</si>
  <si>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</si>
  <si>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</si>
  <si>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</si>
  <si>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</si>
  <si>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Opłata   na  rzecz  budżetów  j.s.t. </t>
  </si>
  <si>
    <t xml:space="preserve">Szkolenia  pracowników nie  będących   członkami   korpusu  służby   cywilnej </t>
  </si>
  <si>
    <t xml:space="preserve">Pomoc   dla  repatriantów </t>
  </si>
  <si>
    <t xml:space="preserve">Dotacje  przekazane  gminie  na  zadania  bieżące  realizowane  na  podstawie  porozumień (  umów  ) między   j.s.t 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</si>
  <si>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</si>
  <si>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</si>
  <si>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>z tego:</t>
  </si>
  <si>
    <t>wydatki koordynatora</t>
  </si>
  <si>
    <t>wydatki powiatu toruńskiego (bez koordynatora)</t>
  </si>
  <si>
    <t xml:space="preserve">koordynator-   m.dydaktyczne  dla  pozostałych  powiatów  </t>
  </si>
  <si>
    <t>EDUKACYJNA OPIEKA WYCHOWAWCZA</t>
  </si>
  <si>
    <t>Świetlice szkolne</t>
  </si>
  <si>
    <t>Realizacja  Z.Sz.S. w Chełmży</t>
  </si>
  <si>
    <t xml:space="preserve">Poradnie psychologiczno -pedagogiczne, w  tym  poradnie  specjalistyczne </t>
  </si>
  <si>
    <t>Dotacje celowe przekazane gminie na zadania bieżące realizowane na podstawie  porozumień (umów) p. jednostkami samorządu terytorialnego</t>
  </si>
  <si>
    <t>*Poradnia Psychologiczno - Pedagogiczna w Chełmży</t>
  </si>
  <si>
    <t xml:space="preserve">Internaty i bursy szkolne </t>
  </si>
  <si>
    <t xml:space="preserve">* Z.Sz. CKU w Gronowie </t>
  </si>
  <si>
    <t xml:space="preserve">Kolonie  i  obozy   dla  młodzieży polonijnej   w  kraju </t>
  </si>
  <si>
    <t xml:space="preserve">* P.Sz. Muzyczna  w   Chełmży </t>
  </si>
  <si>
    <t xml:space="preserve">Pomoc materialna dla uczniów </t>
  </si>
  <si>
    <t xml:space="preserve">Stypendia  oraz  inne formy pomocy dla uczniów </t>
  </si>
  <si>
    <t>Starostwo Powiatowe w Toruniu</t>
  </si>
  <si>
    <t>Stypendia dla uczniów</t>
  </si>
  <si>
    <t xml:space="preserve">*Z.SZ Chełmża-stypendia  Marszałka </t>
  </si>
  <si>
    <t xml:space="preserve">*Z.SZ.CKU Gronowo-stypendia  Marszałka </t>
  </si>
  <si>
    <t>*Z.SZ Chełmża-stypendia   z  programu  rządowego</t>
  </si>
  <si>
    <t xml:space="preserve">*Z.SZ.CKU Gronowo-stypendia  z  programu  rządowego </t>
  </si>
  <si>
    <t xml:space="preserve">*PPP  w  Chełmży </t>
  </si>
  <si>
    <t xml:space="preserve">Z.SZ.S  Chełmża </t>
  </si>
  <si>
    <t>KULTURA I OCHRONA DZIEDZICTWA NARODOWEGO</t>
  </si>
  <si>
    <t xml:space="preserve">Filharmonie ,orkiestry ,chóry, kapele </t>
  </si>
  <si>
    <t xml:space="preserve">Dotacja  celowa  z  budżetu  na  finansowanie  lub  dofinansowanie  zadań  zleconych  do  realizacji  stowarzyszeniom   </t>
  </si>
  <si>
    <t>Biblioteki</t>
  </si>
  <si>
    <t xml:space="preserve">Dotacje celowe przekazane gminie   na zadania bieżące realizowane na podstawie porozumień  (umów )  między jednostkami samorządu terytorialnego </t>
  </si>
  <si>
    <t xml:space="preserve">Dotacja  celowa  z  budżetu  na  finansowanie  lub  dofinansowanie  zadań  zleconych  do  realizacji   fundacjom  </t>
  </si>
  <si>
    <t xml:space="preserve">*Starostwo  Powiatowe w  Toruniu </t>
  </si>
  <si>
    <t xml:space="preserve">Dotacja  celowa  z  budżetu  na  finansowanie  lub  dofinansowanie  zadań  zleconych  do  realizacji  stowarzyszeniom </t>
  </si>
  <si>
    <t xml:space="preserve">Zakup usług pozostałych </t>
  </si>
  <si>
    <t>KULTURA FIZYCZNA I SPORT</t>
  </si>
  <si>
    <t>Zadania w zakresie kultury fizycznej i sportu</t>
  </si>
  <si>
    <t xml:space="preserve">*Starostwo Powiatowe  w  Toruniu </t>
  </si>
  <si>
    <t xml:space="preserve">*Zespół Szkół  w Chełmży </t>
  </si>
  <si>
    <t xml:space="preserve">*Z.Sz. S. w Chełmży </t>
  </si>
  <si>
    <t>RAZEM   WYDATKI BUDŻETOWE</t>
  </si>
  <si>
    <t xml:space="preserve">BUDŻET    BEZ   UE </t>
  </si>
  <si>
    <t xml:space="preserve">Wynagrodzenie osobowe członków  korpusu  służby  cywilnej </t>
  </si>
  <si>
    <t>Etaty  nauczycieli</t>
  </si>
  <si>
    <t>L.P</t>
  </si>
  <si>
    <t xml:space="preserve">Jednostka   organizacyjna   powiatu </t>
  </si>
  <si>
    <t>DPS  PIGŻA</t>
  </si>
  <si>
    <t>DPS BROWINA</t>
  </si>
  <si>
    <t>DPS WIELKA  NIESZAWKA</t>
  </si>
  <si>
    <t>DPS DOBRZEJEWICE</t>
  </si>
  <si>
    <t xml:space="preserve"> ŚDS  BROWINA</t>
  </si>
  <si>
    <t>PCPR</t>
  </si>
  <si>
    <t>BRAK</t>
  </si>
  <si>
    <t>PUP DLA  PT   W  TORUNIU</t>
  </si>
  <si>
    <t>PINB</t>
  </si>
  <si>
    <t>STAROSTWO  POWIATOWE  W  TORUNIU</t>
  </si>
  <si>
    <t>POW  GŁUCHOWO</t>
  </si>
  <si>
    <t>PZD   w  Toruniu</t>
  </si>
  <si>
    <t>Z.SZ.W   CHEMŻY</t>
  </si>
  <si>
    <t>Z.SZ.  CKU  GRONOWO</t>
  </si>
  <si>
    <t>Z.SZ.S.W  CHEŁMŻY</t>
  </si>
  <si>
    <t>SZKOŁA  MUZYCZNA  I  STOPNIA  W   CHEŁMŻY</t>
  </si>
  <si>
    <t>PPP   W  CHEŁMŻY</t>
  </si>
  <si>
    <t xml:space="preserve">RAZEM   </t>
  </si>
  <si>
    <t xml:space="preserve">Łącznie  etaty   w  jednostce </t>
  </si>
  <si>
    <t xml:space="preserve">Wnioskowana  etatyzacja  przez  jednostkę </t>
  </si>
  <si>
    <t xml:space="preserve">Etaty   administracji </t>
  </si>
  <si>
    <t>ŚDS DOBRZEJEWICE</t>
  </si>
  <si>
    <t>OBRONA  NARODOWA</t>
  </si>
  <si>
    <t xml:space="preserve">Pozostałe  wydatki  obronne </t>
  </si>
  <si>
    <t>Z.SZ.  CKU  Gronowo- Dobre  szkolenie    w  drodze   do  poszerzenia  kompetencji  -UE</t>
  </si>
  <si>
    <t xml:space="preserve">    </t>
  </si>
  <si>
    <t xml:space="preserve">Zakup  usług  zdrowotnych </t>
  </si>
  <si>
    <t>Wydatki  inwestycyjne  jednostek budżetowych</t>
  </si>
  <si>
    <t>Z.SZ  CKU  Gronowo</t>
  </si>
  <si>
    <t>Opłata z tytułu usług  telekomunikacyjnych telefonii stacjonarnej</t>
  </si>
  <si>
    <t>Zakup usług  obejmujących  tłumaczenia,wykonanie  ekspertyz ,analiz i  opinii</t>
  </si>
  <si>
    <t>-Rozliczenia z tytułu poręczeń i gwarancji udzielonych przez Skarb Państwa lub jednostkę samorządu terytorialnego  </t>
  </si>
  <si>
    <t>Wypłaty z tytułu gwarancji i poręczeń</t>
  </si>
  <si>
    <t>Z.SZ.  CKU  Gronowo- Nigdy  nie  jest  za  późno na  naukę  -  daj   sobie  szansę   -UE</t>
  </si>
  <si>
    <t>S.P.</t>
  </si>
  <si>
    <t>Projekt    9.4</t>
  </si>
  <si>
    <t xml:space="preserve">Rozliczenia   z  bankami   związane   z  obsługą  długu  publicznego </t>
  </si>
  <si>
    <t xml:space="preserve">Komendy  Powiatowe   Policji </t>
  </si>
  <si>
    <t xml:space="preserve">Szkolenia  pracowników  korpusu   służby   cywilnej </t>
  </si>
  <si>
    <t>PPP Chełmża</t>
  </si>
  <si>
    <t>Szpitale ogólne</t>
  </si>
  <si>
    <t>Wydatki na zakup i objęcie akcji oraz wniesienie wkładów do spółek prawa handlowego</t>
  </si>
  <si>
    <t xml:space="preserve">Wynagrodzenia  osobowe pracowników </t>
  </si>
  <si>
    <t>PCPR  w  Toruniu - „ Uwierzyć   w  siebie -  aktywna integracja  osób  przebywających   w  rodzinach   zastępczych   i  je  opuszczających   „</t>
  </si>
  <si>
    <t xml:space="preserve">Wynagrodzenie osobowe pracowników </t>
  </si>
  <si>
    <t xml:space="preserve">Wynagrodzenia  osobowe pracowników  </t>
  </si>
  <si>
    <t>PLANY  WYDATKÓW  BUDŻETOWYCH   na  30.06.2009</t>
  </si>
  <si>
    <t>WYKONANIE  WYDATKÓW  BUDZETOWYCH   NA  30.06.2009</t>
  </si>
  <si>
    <t xml:space="preserve">Urzędy  naczelnych  i  centralnych  organów  administracji  rządowej </t>
  </si>
  <si>
    <t>Zakup materiałów i  wyposażenia</t>
  </si>
  <si>
    <t xml:space="preserve">%  wykonania </t>
  </si>
  <si>
    <t>PLANY  WYDATKÓW  BUDŻETOWYCH   na  23.01.2009</t>
  </si>
  <si>
    <t>Wydatki osobowe nie zaliczane do wynagrodzeń</t>
  </si>
  <si>
    <t>Zakup leków i materiałów medycznych</t>
  </si>
  <si>
    <t>Zakup leków, wyrobów medycznych i produktów biobójczych</t>
  </si>
  <si>
    <t>Zakup środków żywnościowych</t>
  </si>
  <si>
    <t>Dotacje przekazane gminie za zadania bieżące realizowane na podstawie porozumień (umów) między j.s.t.</t>
  </si>
  <si>
    <t>Dotacje przekazane dla powiatu za zadania bieżące realizowane na podstawie porozumień (umów) między j.s.t.</t>
  </si>
  <si>
    <t>*Z.Sz CKU Gronowo</t>
  </si>
  <si>
    <t>PRZEWIDYWANE WYKONANIE  WYDATKÓW  BUDZETOWYCH   NA  31.12..2009</t>
  </si>
  <si>
    <t>PLANY  WYDATKÓW   BUDŻETOWYCH   2010</t>
  </si>
  <si>
    <t>Zakup usług dostępu do sieci Internet</t>
  </si>
  <si>
    <t>Lepsza szkoła, lepszy zawód - wzmocnienie oerty edukacyjnej szkolnictwa zawodowego w powiecie toruńskim w roku szkolnym 2009/2010</t>
  </si>
  <si>
    <t>Pozostałe odsetki</t>
  </si>
  <si>
    <t>Opłaty na rzecz budzetu państwa</t>
  </si>
  <si>
    <t>Dotacja podmiotowa z budżetu dla niepublicznej szkoły lub innej placówki oświatowo - wychowawczej - Siedlecki Centrum Edukacyjne</t>
  </si>
  <si>
    <t>*ZSS w Chełmży - Mistrzostwa w warcabach, Regionalny Konkurs Przyrodniczy "Żywioły w przyrodzie"</t>
  </si>
  <si>
    <t>Szkoła Muzyczna I stopnia w Chełmży, konkurs gitarowy</t>
  </si>
  <si>
    <t>DPS w Browinie, Przegląd Twórczości Osób Niepełnosprawnych</t>
  </si>
  <si>
    <t xml:space="preserve">     </t>
  </si>
  <si>
    <t xml:space="preserve"> </t>
  </si>
  <si>
    <t xml:space="preserve">Wydatki na  zakupu inwestycyjne  j.budżetowych </t>
  </si>
  <si>
    <t>\</t>
  </si>
  <si>
    <t>Szkolenia pracowników</t>
  </si>
  <si>
    <t>Lepsza szkoła, lepszy zawód - wzmocnienie oferty edeukacyjnej szkolnictwa zawodowego w powiecie toruńskim w roku szkolnym 2009/2010</t>
  </si>
  <si>
    <t xml:space="preserve">PROJEKT  PLANU   2010  PRZEDŁOŻONY  PRZEZ  J.O </t>
  </si>
  <si>
    <t>Zakup usług obejmujących tłumaczenia, wykonanie ekspertyz, analiz i opinii</t>
  </si>
  <si>
    <t>85395-UE</t>
  </si>
  <si>
    <t xml:space="preserve">Kwoty   wynagrodzeń   nieperiodycznych  planowanych  przez  jednostkę </t>
  </si>
  <si>
    <t xml:space="preserve"> Dotacja celowa na pomoc finansową udzielaną między jednostkami samorządu terytorialnego na dofinansowanie własnych zadań inwestycyjnych i zakupów inwestycyjnych  </t>
  </si>
  <si>
    <t>Starostwo  Powiatowe   w  Toruniu</t>
  </si>
  <si>
    <t>Kwalifikacja  wojskowa</t>
  </si>
  <si>
    <t>Zał  nr   2  do    Uchwały  Rady   Powiatu  Toruńskiego</t>
  </si>
  <si>
    <t>w  sprawie   budżetu   PT  na  2010  rok</t>
  </si>
  <si>
    <t xml:space="preserve">Zwiększenia </t>
  </si>
  <si>
    <t xml:space="preserve">Zmniejszenia </t>
  </si>
  <si>
    <t xml:space="preserve">Plan  po   zmianach </t>
  </si>
  <si>
    <t>GOSPODARKA  KOMUNALNA I  OCHRONA ŚRODOWISKA</t>
  </si>
  <si>
    <t>Wpływy  i wydatki  związane  z  gromadzeniem  środków   z  opłat  i  kar   za  korzystanie  ze  środowiska</t>
  </si>
  <si>
    <t xml:space="preserve">Wpłaty jednostek na  fundusz celowy na   finansowanie  lub  dofinansowanie  zadań inwestycyjnych </t>
  </si>
  <si>
    <t xml:space="preserve">Dotacje  celowe przekazane gminie  na  inwestycje  i  zakupy  inwestycyjne  realizowane  na  podstawie  porozumień  (  umów ) pomiędzy  jednostami  samorządu  terytorialnego </t>
  </si>
  <si>
    <t>PZD   w   Toruniu</t>
  </si>
  <si>
    <t xml:space="preserve">Starostwo  Powiatowe  </t>
  </si>
  <si>
    <t xml:space="preserve">Z.SZ. CKU Gronowo </t>
  </si>
  <si>
    <t xml:space="preserve">Aktywizacja  spoleczna  mieszkańców  DPS Browina </t>
  </si>
  <si>
    <t xml:space="preserve">Dotacja  celowa  z  budżetu  na  finansowanie  lub  dofinansowanie  zadań  zleconych  do  realizacji  fundacjom </t>
  </si>
  <si>
    <t>"Czego Jaś się nie nauczy… - wzbogacenie oferty edukacyjnej szkół realizujących kształcenie ogólne z terenu powiatu toruńskiego w roku szkolnym 2009/2010"</t>
  </si>
  <si>
    <t>Dotacje celowe przekazane dla powiatu na inwestycje i zakupy inwestycyjne realizowane na podstawie porozumień (umów) między jednostkami samorządu terytorialnego </t>
  </si>
  <si>
    <t xml:space="preserve">rezerwa  na  podwyżki   wynagrodzeń  osobowych ,nieperiodyczne  oraz  pochodnych  od   wynagrodzeń   </t>
  </si>
  <si>
    <t xml:space="preserve">Składki  na  fundusz  emerytur pomostowych </t>
  </si>
  <si>
    <t xml:space="preserve">Zakup środków żywności </t>
  </si>
  <si>
    <t xml:space="preserve">w  tym  Powiat </t>
  </si>
  <si>
    <t xml:space="preserve">Zadania  rzadowe </t>
  </si>
  <si>
    <t>PCPR  w  Toruniu - „ Uwierzyć   w  siebie    „</t>
  </si>
  <si>
    <t xml:space="preserve">Dodatkowe wynagrodzenia roczne </t>
  </si>
  <si>
    <t xml:space="preserve">Odpisy na Zakładowy Fundzusz  świadczeń Socjalnych </t>
  </si>
  <si>
    <t>w  tym projekty  finansowane  i  współfinansowane   z UE</t>
  </si>
  <si>
    <t xml:space="preserve">Po  korekcie  poprawić   funkcje   w   kol. U i  V </t>
  </si>
  <si>
    <t>Zakup usług obejmujących tłumaczenia</t>
  </si>
  <si>
    <t>INNOWACJA</t>
  </si>
  <si>
    <t>Szkoła innowacyjna i konkurencyjna - dostosowanie oferty szkolnictwa zawodowego do wymagań lokalnego rynku pracy"-  SP  Toruń</t>
  </si>
  <si>
    <t>zmiany   na   dzień  16.08.2010 r.</t>
  </si>
  <si>
    <t xml:space="preserve">Warsztaty szkolne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</si>
</sst>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77">
    <font>
      <sz val="10"/>
      <name val="Arial CE"/>
      <family val="0"/>
    </font>
    <font>
      <b/>
      <u val="single"/>
      <sz val="9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b/>
      <u val="single"/>
      <sz val="9"/>
      <color indexed="12"/>
      <name val="Arial"/>
      <family val="2"/>
    </font>
    <font>
      <sz val="9"/>
      <color indexed="12"/>
      <name val="Arial"/>
      <family val="2"/>
    </font>
    <font>
      <b/>
      <u val="single"/>
      <sz val="9"/>
      <name val="Arial CE"/>
      <family val="0"/>
    </font>
    <font>
      <b/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sz val="9"/>
      <name val="Calibri"/>
      <family val="2"/>
    </font>
    <font>
      <sz val="9"/>
      <color indexed="8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9"/>
      <color indexed="62"/>
      <name val="Arial"/>
      <family val="2"/>
    </font>
    <font>
      <sz val="9"/>
      <color indexed="62"/>
      <name val="Arial CE"/>
      <family val="0"/>
    </font>
    <font>
      <b/>
      <u val="single"/>
      <sz val="9"/>
      <color indexed="48"/>
      <name val="Arial"/>
      <family val="2"/>
    </font>
    <font>
      <sz val="6"/>
      <name val="Arial"/>
      <family val="2"/>
    </font>
    <font>
      <b/>
      <u val="single"/>
      <sz val="6"/>
      <name val="Arial"/>
      <family val="2"/>
    </font>
    <font>
      <b/>
      <u val="single"/>
      <sz val="6"/>
      <color indexed="48"/>
      <name val="Arial"/>
      <family val="2"/>
    </font>
    <font>
      <b/>
      <u val="single"/>
      <sz val="6"/>
      <color indexed="62"/>
      <name val="Arial"/>
      <family val="2"/>
    </font>
    <font>
      <sz val="6"/>
      <name val="Arial CE"/>
      <family val="0"/>
    </font>
    <font>
      <sz val="8"/>
      <name val="Arial"/>
      <family val="2"/>
    </font>
    <font>
      <sz val="10"/>
      <name val="Arial"/>
      <family val="2"/>
    </font>
    <font>
      <u val="single"/>
      <sz val="6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6"/>
      <color indexed="10"/>
      <name val="Arial"/>
      <family val="2"/>
    </font>
    <font>
      <b/>
      <u val="single"/>
      <sz val="9"/>
      <color indexed="10"/>
      <name val="Arial"/>
      <family val="2"/>
    </font>
    <font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  <font>
      <b/>
      <u val="single"/>
      <sz val="6"/>
      <color rgb="FFFF0000"/>
      <name val="Arial"/>
      <family val="2"/>
    </font>
    <font>
      <b/>
      <u val="single"/>
      <sz val="9"/>
      <color rgb="FFFF0000"/>
      <name val="Arial"/>
      <family val="2"/>
    </font>
    <font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 wrapText="1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3" fontId="6" fillId="0" borderId="10" xfId="0" applyNumberFormat="1" applyFont="1" applyFill="1" applyBorder="1" applyAlignment="1">
      <alignment horizontal="right" vertical="center" shrinkToFit="1"/>
    </xf>
    <xf numFmtId="1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shrinkToFit="1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wrapText="1" shrinkToFit="1"/>
    </xf>
    <xf numFmtId="3" fontId="2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vertical="center" wrapText="1" shrinkToFit="1"/>
    </xf>
    <xf numFmtId="1" fontId="1" fillId="0" borderId="10" xfId="0" applyNumberFormat="1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shrinkToFit="1"/>
    </xf>
    <xf numFmtId="3" fontId="2" fillId="0" borderId="11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3" fontId="8" fillId="0" borderId="10" xfId="0" applyNumberFormat="1" applyFont="1" applyFill="1" applyBorder="1" applyAlignment="1">
      <alignment horizontal="right"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vertical="center" wrapText="1" shrinkToFit="1"/>
    </xf>
    <xf numFmtId="3" fontId="8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 shrinkToFit="1"/>
    </xf>
    <xf numFmtId="164" fontId="2" fillId="0" borderId="10" xfId="0" applyNumberFormat="1" applyFont="1" applyFill="1" applyBorder="1" applyAlignment="1">
      <alignment vertical="center" shrinkToFit="1"/>
    </xf>
    <xf numFmtId="165" fontId="2" fillId="0" borderId="10" xfId="42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vertical="center" shrinkToFit="1"/>
    </xf>
    <xf numFmtId="1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shrinkToFit="1"/>
    </xf>
    <xf numFmtId="165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165" fontId="2" fillId="0" borderId="12" xfId="42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165" fontId="2" fillId="0" borderId="13" xfId="42" applyNumberFormat="1" applyFont="1" applyFill="1" applyBorder="1" applyAlignment="1">
      <alignment/>
    </xf>
    <xf numFmtId="165" fontId="2" fillId="0" borderId="14" xfId="42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 shrinkToFit="1"/>
    </xf>
    <xf numFmtId="164" fontId="6" fillId="0" borderId="10" xfId="0" applyNumberFormat="1" applyFont="1" applyFill="1" applyBorder="1" applyAlignment="1">
      <alignment horizontal="right" vertical="center" shrinkToFit="1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vertical="center" wrapText="1" shrinkToFit="1"/>
    </xf>
    <xf numFmtId="3" fontId="10" fillId="0" borderId="10" xfId="0" applyNumberFormat="1" applyFont="1" applyFill="1" applyBorder="1" applyAlignment="1">
      <alignment horizontal="right" vertical="center" wrapText="1" shrinkToFi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 wrapText="1" shrinkToFit="1"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vertical="center" wrapText="1" shrinkToFit="1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vertical="center" wrapText="1" shrinkToFit="1"/>
    </xf>
    <xf numFmtId="3" fontId="6" fillId="0" borderId="15" xfId="0" applyNumberFormat="1" applyFont="1" applyFill="1" applyBorder="1" applyAlignment="1">
      <alignment vertical="center" shrinkToFit="1"/>
    </xf>
    <xf numFmtId="3" fontId="2" fillId="0" borderId="15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 wrapText="1" shrinkToFit="1"/>
    </xf>
    <xf numFmtId="164" fontId="1" fillId="0" borderId="10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1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wrapText="1"/>
    </xf>
    <xf numFmtId="3" fontId="14" fillId="0" borderId="10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vertical="center" wrapText="1" shrinkToFit="1"/>
    </xf>
    <xf numFmtId="3" fontId="18" fillId="0" borderId="10" xfId="0" applyNumberFormat="1" applyFont="1" applyFill="1" applyBorder="1" applyAlignment="1">
      <alignment horizontal="right" vertical="center" shrinkToFit="1"/>
    </xf>
    <xf numFmtId="3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vertical="center" shrinkToFit="1"/>
    </xf>
    <xf numFmtId="3" fontId="19" fillId="0" borderId="10" xfId="0" applyNumberFormat="1" applyFont="1" applyFill="1" applyBorder="1" applyAlignment="1">
      <alignment wrapText="1"/>
    </xf>
    <xf numFmtId="3" fontId="18" fillId="0" borderId="10" xfId="0" applyNumberFormat="1" applyFont="1" applyFill="1" applyBorder="1" applyAlignment="1">
      <alignment vertical="center" shrinkToFit="1"/>
    </xf>
    <xf numFmtId="3" fontId="19" fillId="0" borderId="10" xfId="0" applyNumberFormat="1" applyFont="1" applyFill="1" applyBorder="1" applyAlignment="1">
      <alignment horizontal="right" vertical="center" shrinkToFit="1"/>
    </xf>
    <xf numFmtId="3" fontId="20" fillId="0" borderId="10" xfId="0" applyNumberFormat="1" applyFont="1" applyFill="1" applyBorder="1" applyAlignment="1">
      <alignment vertical="center" shrinkToFit="1"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vertical="center" wrapText="1" shrinkToFit="1"/>
    </xf>
    <xf numFmtId="3" fontId="20" fillId="0" borderId="10" xfId="0" applyNumberFormat="1" applyFont="1" applyFill="1" applyBorder="1" applyAlignment="1">
      <alignment horizontal="right" vertical="center" shrinkToFit="1"/>
    </xf>
    <xf numFmtId="3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/>
    </xf>
    <xf numFmtId="164" fontId="18" fillId="0" borderId="10" xfId="0" applyNumberFormat="1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vertical="center" shrinkToFit="1"/>
    </xf>
    <xf numFmtId="164" fontId="19" fillId="0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 applyProtection="1">
      <alignment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vertical="center" wrapText="1" shrinkToFit="1"/>
      <protection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 applyProtection="1">
      <alignment/>
      <protection locked="0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5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wrapText="1"/>
    </xf>
    <xf numFmtId="10" fontId="24" fillId="0" borderId="10" xfId="0" applyNumberFormat="1" applyFont="1" applyFill="1" applyBorder="1" applyAlignment="1">
      <alignment vertical="center" shrinkToFit="1"/>
    </xf>
    <xf numFmtId="10" fontId="24" fillId="0" borderId="10" xfId="0" applyNumberFormat="1" applyFont="1" applyFill="1" applyBorder="1" applyAlignment="1" applyProtection="1">
      <alignment vertical="center" shrinkToFit="1"/>
      <protection locked="0"/>
    </xf>
    <xf numFmtId="10" fontId="25" fillId="0" borderId="10" xfId="0" applyNumberFormat="1" applyFont="1" applyFill="1" applyBorder="1" applyAlignment="1">
      <alignment vertical="center" shrinkToFit="1"/>
    </xf>
    <xf numFmtId="10" fontId="26" fillId="0" borderId="10" xfId="0" applyNumberFormat="1" applyFont="1" applyFill="1" applyBorder="1" applyAlignment="1">
      <alignment vertical="center" shrinkToFit="1"/>
    </xf>
    <xf numFmtId="164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1" fontId="0" fillId="0" borderId="16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left" vertical="center" wrapText="1" shrinkToFit="1"/>
    </xf>
    <xf numFmtId="1" fontId="0" fillId="0" borderId="11" xfId="0" applyNumberFormat="1" applyFont="1" applyFill="1" applyBorder="1" applyAlignment="1">
      <alignment horizontal="left" vertical="center" wrapText="1" shrinkToFit="1"/>
    </xf>
    <xf numFmtId="3" fontId="2" fillId="0" borderId="16" xfId="0" applyNumberFormat="1" applyFont="1" applyFill="1" applyBorder="1" applyAlignment="1">
      <alignment horizontal="right" vertical="center" shrinkToFit="1"/>
    </xf>
    <xf numFmtId="3" fontId="2" fillId="0" borderId="16" xfId="0" applyNumberFormat="1" applyFont="1" applyFill="1" applyBorder="1" applyAlignment="1">
      <alignment vertical="center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4" fontId="28" fillId="0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33" borderId="1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0" fillId="0" borderId="10" xfId="0" applyNumberFormat="1" applyFill="1" applyBorder="1" applyAlignment="1">
      <alignment vertical="center" shrinkToFit="1"/>
    </xf>
    <xf numFmtId="3" fontId="4" fillId="0" borderId="10" xfId="0" applyNumberFormat="1" applyFont="1" applyFill="1" applyBorder="1" applyAlignment="1">
      <alignment vertical="center" shrinkToFit="1"/>
    </xf>
    <xf numFmtId="3" fontId="13" fillId="0" borderId="10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 horizontal="right" vertical="center" shrinkToFit="1"/>
    </xf>
    <xf numFmtId="1" fontId="73" fillId="0" borderId="10" xfId="0" applyNumberFormat="1" applyFont="1" applyFill="1" applyBorder="1" applyAlignment="1">
      <alignment horizontal="center" vertical="center"/>
    </xf>
    <xf numFmtId="1" fontId="73" fillId="0" borderId="10" xfId="0" applyNumberFormat="1" applyFont="1" applyFill="1" applyBorder="1" applyAlignment="1">
      <alignment vertical="center" wrapText="1" shrinkToFit="1"/>
    </xf>
    <xf numFmtId="3" fontId="73" fillId="0" borderId="10" xfId="0" applyNumberFormat="1" applyFont="1" applyFill="1" applyBorder="1" applyAlignment="1">
      <alignment horizontal="right" vertical="center"/>
    </xf>
    <xf numFmtId="3" fontId="73" fillId="0" borderId="10" xfId="0" applyNumberFormat="1" applyFont="1" applyFill="1" applyBorder="1" applyAlignment="1">
      <alignment vertical="center"/>
    </xf>
    <xf numFmtId="10" fontId="74" fillId="0" borderId="10" xfId="0" applyNumberFormat="1" applyFont="1" applyFill="1" applyBorder="1" applyAlignment="1">
      <alignment vertical="center" shrinkToFit="1"/>
    </xf>
    <xf numFmtId="3" fontId="73" fillId="0" borderId="10" xfId="0" applyNumberFormat="1" applyFont="1" applyFill="1" applyBorder="1" applyAlignment="1">
      <alignment vertical="center" shrinkToFit="1"/>
    </xf>
    <xf numFmtId="3" fontId="75" fillId="0" borderId="10" xfId="0" applyNumberFormat="1" applyFont="1" applyFill="1" applyBorder="1" applyAlignment="1">
      <alignment vertical="center" shrinkToFit="1"/>
    </xf>
    <xf numFmtId="10" fontId="30" fillId="0" borderId="10" xfId="0" applyNumberFormat="1" applyFont="1" applyFill="1" applyBorder="1" applyAlignment="1">
      <alignment vertical="center" shrinkToFit="1"/>
    </xf>
    <xf numFmtId="1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vertical="center" shrinkToFit="1"/>
    </xf>
    <xf numFmtId="1" fontId="2" fillId="0" borderId="10" xfId="0" applyNumberFormat="1" applyFont="1" applyFill="1" applyBorder="1" applyAlignment="1">
      <alignment vertical="center"/>
    </xf>
    <xf numFmtId="1" fontId="5" fillId="0" borderId="0" xfId="0" applyNumberFormat="1" applyFont="1" applyFill="1" applyAlignment="1" applyProtection="1">
      <alignment/>
      <protection locked="0"/>
    </xf>
    <xf numFmtId="1" fontId="15" fillId="0" borderId="0" xfId="0" applyNumberFormat="1" applyFont="1" applyAlignment="1" applyProtection="1">
      <alignment/>
      <protection locked="0"/>
    </xf>
    <xf numFmtId="1" fontId="15" fillId="0" borderId="0" xfId="0" applyNumberFormat="1" applyFont="1" applyAlignment="1">
      <alignment/>
    </xf>
    <xf numFmtId="1" fontId="21" fillId="0" borderId="0" xfId="0" applyNumberFormat="1" applyFont="1" applyFill="1" applyAlignment="1">
      <alignment/>
    </xf>
    <xf numFmtId="1" fontId="73" fillId="0" borderId="10" xfId="0" applyNumberFormat="1" applyFont="1" applyFill="1" applyBorder="1" applyAlignment="1">
      <alignment vertical="center" shrinkToFit="1"/>
    </xf>
    <xf numFmtId="1" fontId="76" fillId="0" borderId="0" xfId="0" applyNumberFormat="1" applyFont="1" applyFill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76" fillId="0" borderId="10" xfId="0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 horizontal="right" wrapText="1"/>
    </xf>
    <xf numFmtId="3" fontId="0" fillId="0" borderId="10" xfId="55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2" fillId="0" borderId="10" xfId="0" applyFont="1" applyFill="1" applyBorder="1" applyAlignment="1">
      <alignment wrapText="1"/>
    </xf>
    <xf numFmtId="0" fontId="29" fillId="0" borderId="0" xfId="0" applyFont="1" applyFill="1" applyAlignment="1">
      <alignment wrapText="1"/>
    </xf>
    <xf numFmtId="0" fontId="29" fillId="0" borderId="10" xfId="0" applyFont="1" applyFill="1" applyBorder="1" applyAlignment="1">
      <alignment wrapText="1"/>
    </xf>
    <xf numFmtId="3" fontId="17" fillId="0" borderId="10" xfId="0" applyNumberFormat="1" applyFont="1" applyFill="1" applyBorder="1" applyAlignment="1">
      <alignment horizontal="right" vertical="center" shrinkToFi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horizontal="center" vertical="center" wrapText="1" shrinkToFi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vertical="center" wrapText="1" shrinkToFi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 shrinkToFit="1"/>
    </xf>
    <xf numFmtId="1" fontId="2" fillId="0" borderId="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76" fillId="0" borderId="10" xfId="0" applyFont="1" applyFill="1" applyBorder="1" applyAlignment="1">
      <alignment/>
    </xf>
    <xf numFmtId="3" fontId="76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left" wrapText="1"/>
    </xf>
    <xf numFmtId="3" fontId="0" fillId="0" borderId="1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3" fontId="0" fillId="0" borderId="16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8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2009 24-09-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92"/>
  <sheetViews>
    <sheetView tabSelected="1" zoomScalePageLayoutView="0" workbookViewId="0" topLeftCell="A1">
      <selection activeCell="T6" sqref="T6"/>
    </sheetView>
  </sheetViews>
  <sheetFormatPr defaultColWidth="9.00390625" defaultRowHeight="12.75"/>
  <cols>
    <col min="1" max="1" width="4.00390625" style="16" bestFit="1" customWidth="1"/>
    <col min="2" max="2" width="6.00390625" style="16" customWidth="1"/>
    <col min="3" max="3" width="5.00390625" style="16" customWidth="1"/>
    <col min="4" max="4" width="29.00390625" style="16" customWidth="1"/>
    <col min="5" max="5" width="11.25390625" style="16" hidden="1" customWidth="1"/>
    <col min="6" max="6" width="11.625" style="16" hidden="1" customWidth="1"/>
    <col min="7" max="7" width="12.00390625" style="16" hidden="1" customWidth="1"/>
    <col min="8" max="9" width="9.125" style="16" hidden="1" customWidth="1"/>
    <col min="10" max="10" width="14.00390625" style="16" hidden="1" customWidth="1"/>
    <col min="11" max="11" width="13.375" style="16" hidden="1" customWidth="1"/>
    <col min="12" max="12" width="15.375" style="16" hidden="1" customWidth="1"/>
    <col min="13" max="13" width="13.875" style="16" hidden="1" customWidth="1"/>
    <col min="14" max="15" width="17.625" style="16" hidden="1" customWidth="1"/>
    <col min="16" max="16" width="14.875" style="16" hidden="1" customWidth="1"/>
    <col min="17" max="17" width="7.00390625" style="191" hidden="1" customWidth="1"/>
    <col min="18" max="19" width="14.875" style="16" hidden="1" customWidth="1"/>
    <col min="20" max="20" width="11.875" style="16" customWidth="1"/>
    <col min="21" max="21" width="11.125" style="16" bestFit="1" customWidth="1"/>
    <col min="22" max="22" width="12.00390625" style="16" bestFit="1" customWidth="1"/>
    <col min="23" max="23" width="11.375" style="16" customWidth="1"/>
    <col min="24" max="24" width="9.125" style="16" customWidth="1"/>
    <col min="25" max="26" width="9.125" style="225" customWidth="1"/>
    <col min="27" max="16384" width="9.125" style="16" customWidth="1"/>
  </cols>
  <sheetData>
    <row r="1" spans="1:26" s="211" customFormat="1" ht="12">
      <c r="A1" s="17" t="s">
        <v>352</v>
      </c>
      <c r="B1" s="208"/>
      <c r="C1" s="17"/>
      <c r="D1" s="209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10"/>
      <c r="R1" s="208"/>
      <c r="S1" s="208"/>
      <c r="T1" s="208"/>
      <c r="U1" s="208"/>
      <c r="V1" s="208"/>
      <c r="W1" s="208"/>
      <c r="Y1" s="224"/>
      <c r="Z1" s="224"/>
    </row>
    <row r="2" spans="1:26" s="211" customFormat="1" ht="12">
      <c r="A2" s="17" t="s">
        <v>353</v>
      </c>
      <c r="B2" s="208"/>
      <c r="C2" s="17"/>
      <c r="D2" s="209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10"/>
      <c r="R2" s="208"/>
      <c r="S2" s="208"/>
      <c r="T2" s="208"/>
      <c r="U2" s="208"/>
      <c r="V2" s="208"/>
      <c r="W2" s="208"/>
      <c r="Y2" s="224"/>
      <c r="Z2" s="224"/>
    </row>
    <row r="3" spans="1:23" ht="12">
      <c r="A3" s="17"/>
      <c r="B3" s="18"/>
      <c r="C3" s="13"/>
      <c r="D3" s="19" t="s">
        <v>381</v>
      </c>
      <c r="E3" s="14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84"/>
      <c r="R3" s="15"/>
      <c r="S3" s="15"/>
      <c r="T3" s="15"/>
      <c r="U3" s="15"/>
      <c r="V3" s="15"/>
      <c r="W3" s="15"/>
    </row>
    <row r="4" spans="1:23" ht="12">
      <c r="A4" s="20"/>
      <c r="B4" s="21"/>
      <c r="C4" s="22"/>
      <c r="D4" s="23" t="s">
        <v>330</v>
      </c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84"/>
      <c r="R4" s="15"/>
      <c r="S4" s="15"/>
      <c r="T4" s="15"/>
      <c r="U4" s="15"/>
      <c r="V4" s="15"/>
      <c r="W4" s="15"/>
    </row>
    <row r="5" spans="1:23" ht="8.25" customHeight="1">
      <c r="A5" s="20"/>
      <c r="B5" s="21"/>
      <c r="C5" s="22"/>
      <c r="D5" s="24"/>
      <c r="E5" s="14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84"/>
      <c r="R5" s="15"/>
      <c r="S5" s="15"/>
      <c r="T5" s="15"/>
      <c r="U5" s="15"/>
      <c r="V5" s="15"/>
      <c r="W5" s="15"/>
    </row>
    <row r="6" spans="1:23" ht="68.25" customHeight="1">
      <c r="A6" s="25" t="s">
        <v>0</v>
      </c>
      <c r="B6" s="25" t="s">
        <v>1</v>
      </c>
      <c r="C6" s="26" t="s">
        <v>2</v>
      </c>
      <c r="D6" s="27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  <c r="N6" s="28" t="s">
        <v>321</v>
      </c>
      <c r="O6" s="28" t="s">
        <v>316</v>
      </c>
      <c r="P6" s="28" t="s">
        <v>317</v>
      </c>
      <c r="Q6" s="185" t="s">
        <v>320</v>
      </c>
      <c r="R6" s="28" t="s">
        <v>329</v>
      </c>
      <c r="S6" s="28" t="s">
        <v>345</v>
      </c>
      <c r="T6" s="28" t="s">
        <v>356</v>
      </c>
      <c r="U6" s="28" t="s">
        <v>354</v>
      </c>
      <c r="V6" s="28" t="s">
        <v>355</v>
      </c>
      <c r="W6" s="28" t="s">
        <v>356</v>
      </c>
    </row>
    <row r="7" spans="1:23" ht="11.25" customHeight="1">
      <c r="A7" s="25">
        <v>1</v>
      </c>
      <c r="B7" s="25">
        <v>2</v>
      </c>
      <c r="C7" s="26">
        <v>3</v>
      </c>
      <c r="D7" s="181">
        <v>4</v>
      </c>
      <c r="E7" s="28">
        <v>5</v>
      </c>
      <c r="F7" s="28">
        <v>6</v>
      </c>
      <c r="G7" s="28">
        <v>7</v>
      </c>
      <c r="H7" s="28">
        <v>8</v>
      </c>
      <c r="I7" s="28"/>
      <c r="J7" s="28">
        <v>5</v>
      </c>
      <c r="K7" s="28">
        <v>6</v>
      </c>
      <c r="L7" s="28">
        <v>7</v>
      </c>
      <c r="M7" s="28">
        <v>8</v>
      </c>
      <c r="N7" s="28">
        <v>5</v>
      </c>
      <c r="O7" s="28">
        <v>6</v>
      </c>
      <c r="P7" s="28">
        <v>7</v>
      </c>
      <c r="Q7" s="185">
        <v>8</v>
      </c>
      <c r="R7" s="28">
        <v>9</v>
      </c>
      <c r="S7" s="28">
        <v>10</v>
      </c>
      <c r="T7" s="28">
        <v>8</v>
      </c>
      <c r="U7" s="28">
        <v>6</v>
      </c>
      <c r="V7" s="28">
        <v>7</v>
      </c>
      <c r="W7" s="28">
        <v>8</v>
      </c>
    </row>
    <row r="8" spans="1:23" ht="12">
      <c r="A8" s="8" t="s">
        <v>13</v>
      </c>
      <c r="B8" s="8"/>
      <c r="C8" s="29"/>
      <c r="D8" s="30" t="s">
        <v>14</v>
      </c>
      <c r="E8" s="31">
        <f>E9</f>
        <v>40000</v>
      </c>
      <c r="F8" s="31">
        <f>F9</f>
        <v>40000</v>
      </c>
      <c r="G8" s="32">
        <f>G9</f>
        <v>59000</v>
      </c>
      <c r="H8" s="32">
        <f>H9</f>
        <v>59000</v>
      </c>
      <c r="I8" s="32"/>
      <c r="J8" s="32">
        <f aca="true" t="shared" si="0" ref="J8:S8">J9</f>
        <v>45000</v>
      </c>
      <c r="K8" s="32">
        <f t="shared" si="0"/>
        <v>45000</v>
      </c>
      <c r="L8" s="32">
        <f t="shared" si="0"/>
        <v>45000</v>
      </c>
      <c r="M8" s="32">
        <f t="shared" si="0"/>
        <v>60000</v>
      </c>
      <c r="N8" s="32">
        <f>N9</f>
        <v>45000</v>
      </c>
      <c r="O8" s="32">
        <v>30000</v>
      </c>
      <c r="P8" s="32">
        <f t="shared" si="0"/>
        <v>2989</v>
      </c>
      <c r="Q8" s="186">
        <f>P8/O8</f>
        <v>0.09963333333333334</v>
      </c>
      <c r="R8" s="32">
        <f t="shared" si="0"/>
        <v>30000</v>
      </c>
      <c r="S8" s="32">
        <f t="shared" si="0"/>
        <v>50000</v>
      </c>
      <c r="T8" s="32">
        <v>25000</v>
      </c>
      <c r="U8" s="32">
        <f>U9</f>
        <v>0</v>
      </c>
      <c r="V8" s="32">
        <f>V9</f>
        <v>0</v>
      </c>
      <c r="W8" s="32">
        <f>T8+U8-V8</f>
        <v>25000</v>
      </c>
    </row>
    <row r="9" spans="1:23" ht="24">
      <c r="A9" s="25"/>
      <c r="B9" s="33" t="s">
        <v>15</v>
      </c>
      <c r="C9" s="26"/>
      <c r="D9" s="34" t="s">
        <v>16</v>
      </c>
      <c r="E9" s="35">
        <f>SUM(E10:E10)</f>
        <v>40000</v>
      </c>
      <c r="F9" s="35">
        <f>SUM(F10:F10)</f>
        <v>40000</v>
      </c>
      <c r="G9" s="35">
        <f>SUM(G10:G10)</f>
        <v>59000</v>
      </c>
      <c r="H9" s="35">
        <f>SUM(H10:H10)</f>
        <v>59000</v>
      </c>
      <c r="I9" s="35"/>
      <c r="J9" s="35">
        <f>SUM(J10:J10)</f>
        <v>45000</v>
      </c>
      <c r="K9" s="35">
        <f>SUM(K10:K10)</f>
        <v>45000</v>
      </c>
      <c r="L9" s="35">
        <f>SUM(L10:L10)</f>
        <v>45000</v>
      </c>
      <c r="M9" s="35">
        <f>SUM(M10:M10)</f>
        <v>60000</v>
      </c>
      <c r="N9" s="35">
        <f>N10</f>
        <v>45000</v>
      </c>
      <c r="O9" s="35">
        <v>30000</v>
      </c>
      <c r="P9" s="35">
        <f>SUM(P10:P11)</f>
        <v>2989</v>
      </c>
      <c r="Q9" s="186">
        <f aca="true" t="shared" si="1" ref="Q9:Q110">P9/O9</f>
        <v>0.09963333333333334</v>
      </c>
      <c r="R9" s="35">
        <f>SUM(R10:R11)</f>
        <v>30000</v>
      </c>
      <c r="S9" s="35">
        <f>SUM(S10:S11)</f>
        <v>50000</v>
      </c>
      <c r="T9" s="35">
        <v>25000</v>
      </c>
      <c r="U9" s="35">
        <f>SUM(U10:U11)</f>
        <v>0</v>
      </c>
      <c r="V9" s="35">
        <f>SUM(V10:V11)</f>
        <v>0</v>
      </c>
      <c r="W9" s="32">
        <f aca="true" t="shared" si="2" ref="W9:W109">T9+U9-V9</f>
        <v>25000</v>
      </c>
    </row>
    <row r="10" spans="1:23" ht="12">
      <c r="A10" s="25"/>
      <c r="B10" s="25"/>
      <c r="C10" s="26">
        <v>4300</v>
      </c>
      <c r="D10" s="27" t="s">
        <v>17</v>
      </c>
      <c r="E10" s="11">
        <v>40000</v>
      </c>
      <c r="F10" s="11">
        <v>40000</v>
      </c>
      <c r="G10" s="11">
        <v>59000</v>
      </c>
      <c r="H10" s="11">
        <f>G10</f>
        <v>59000</v>
      </c>
      <c r="I10" s="11"/>
      <c r="J10" s="11">
        <v>45000</v>
      </c>
      <c r="K10" s="11">
        <v>45000</v>
      </c>
      <c r="L10" s="11">
        <v>45000</v>
      </c>
      <c r="M10" s="11">
        <v>60000</v>
      </c>
      <c r="N10" s="11">
        <v>45000</v>
      </c>
      <c r="O10" s="11">
        <v>27011</v>
      </c>
      <c r="P10" s="11"/>
      <c r="Q10" s="186">
        <f t="shared" si="1"/>
        <v>0</v>
      </c>
      <c r="R10" s="11">
        <v>27011</v>
      </c>
      <c r="S10" s="11">
        <v>50000</v>
      </c>
      <c r="T10" s="11">
        <v>25000</v>
      </c>
      <c r="U10" s="11"/>
      <c r="V10" s="11"/>
      <c r="W10" s="32">
        <f t="shared" si="2"/>
        <v>25000</v>
      </c>
    </row>
    <row r="11" spans="1:23" ht="24">
      <c r="A11" s="25"/>
      <c r="B11" s="25"/>
      <c r="C11" s="26">
        <v>4390</v>
      </c>
      <c r="D11" s="27" t="s">
        <v>41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2989</v>
      </c>
      <c r="P11" s="11">
        <v>2989</v>
      </c>
      <c r="Q11" s="186">
        <f t="shared" si="1"/>
        <v>1</v>
      </c>
      <c r="R11" s="11">
        <v>2989</v>
      </c>
      <c r="S11" s="11">
        <v>0</v>
      </c>
      <c r="T11" s="11">
        <v>0</v>
      </c>
      <c r="U11" s="11">
        <v>0</v>
      </c>
      <c r="V11" s="11">
        <v>0</v>
      </c>
      <c r="W11" s="32">
        <f t="shared" si="2"/>
        <v>0</v>
      </c>
    </row>
    <row r="12" spans="1:23" ht="12">
      <c r="A12" s="8" t="s">
        <v>18</v>
      </c>
      <c r="B12" s="8"/>
      <c r="C12" s="29"/>
      <c r="D12" s="30" t="s">
        <v>19</v>
      </c>
      <c r="E12" s="31">
        <f>E15+E13</f>
        <v>299600</v>
      </c>
      <c r="F12" s="31">
        <f>F15+F13</f>
        <v>293498</v>
      </c>
      <c r="G12" s="32">
        <f>G15+G13</f>
        <v>314550</v>
      </c>
      <c r="H12" s="32">
        <f>H15+H13</f>
        <v>308030</v>
      </c>
      <c r="I12" s="32"/>
      <c r="J12" s="32">
        <f aca="true" t="shared" si="3" ref="J12:P12">J15+J13</f>
        <v>308030</v>
      </c>
      <c r="K12" s="32">
        <f t="shared" si="3"/>
        <v>308030</v>
      </c>
      <c r="L12" s="32">
        <f t="shared" si="3"/>
        <v>308030</v>
      </c>
      <c r="M12" s="32">
        <f t="shared" si="3"/>
        <v>322368</v>
      </c>
      <c r="N12" s="32">
        <v>322000</v>
      </c>
      <c r="O12" s="32">
        <v>322000</v>
      </c>
      <c r="P12" s="32">
        <f t="shared" si="3"/>
        <v>160075</v>
      </c>
      <c r="Q12" s="186">
        <f t="shared" si="1"/>
        <v>0.4971273291925466</v>
      </c>
      <c r="R12" s="32">
        <f>R15+R13</f>
        <v>322000</v>
      </c>
      <c r="S12" s="32">
        <f>S15+S13</f>
        <v>334680</v>
      </c>
      <c r="T12" s="32">
        <v>334680</v>
      </c>
      <c r="U12" s="32">
        <f>U15+U13</f>
        <v>0</v>
      </c>
      <c r="V12" s="32">
        <f>V15+V13</f>
        <v>0</v>
      </c>
      <c r="W12" s="32">
        <f t="shared" si="2"/>
        <v>334680</v>
      </c>
    </row>
    <row r="13" spans="1:23" ht="12">
      <c r="A13" s="33"/>
      <c r="B13" s="33" t="s">
        <v>20</v>
      </c>
      <c r="C13" s="36"/>
      <c r="D13" s="34" t="s">
        <v>21</v>
      </c>
      <c r="E13" s="35">
        <f>SUM(E14:E14)</f>
        <v>260000</v>
      </c>
      <c r="F13" s="35">
        <f>SUM(F14:F14)</f>
        <v>253898</v>
      </c>
      <c r="G13" s="37">
        <f>SUM(G14:G14)</f>
        <v>265000</v>
      </c>
      <c r="H13" s="37">
        <f>SUM(H14:H14)</f>
        <v>265000</v>
      </c>
      <c r="I13" s="37"/>
      <c r="J13" s="37">
        <f aca="true" t="shared" si="4" ref="J13:S13">SUM(J14:J14)</f>
        <v>265000</v>
      </c>
      <c r="K13" s="37">
        <f t="shared" si="4"/>
        <v>265000</v>
      </c>
      <c r="L13" s="37">
        <f t="shared" si="4"/>
        <v>265000</v>
      </c>
      <c r="M13" s="37">
        <f t="shared" si="4"/>
        <v>276000</v>
      </c>
      <c r="N13" s="37">
        <v>276000</v>
      </c>
      <c r="O13" s="37">
        <v>276000</v>
      </c>
      <c r="P13" s="37">
        <f t="shared" si="4"/>
        <v>136898</v>
      </c>
      <c r="Q13" s="186">
        <f t="shared" si="1"/>
        <v>0.4960072463768116</v>
      </c>
      <c r="R13" s="37">
        <f t="shared" si="4"/>
        <v>276000</v>
      </c>
      <c r="S13" s="37">
        <f t="shared" si="4"/>
        <v>285000</v>
      </c>
      <c r="T13" s="37">
        <v>285000</v>
      </c>
      <c r="U13" s="37">
        <f>SUM(U14:U14)</f>
        <v>0</v>
      </c>
      <c r="V13" s="37">
        <f>SUM(V14:V14)</f>
        <v>0</v>
      </c>
      <c r="W13" s="32">
        <f t="shared" si="2"/>
        <v>285000</v>
      </c>
    </row>
    <row r="14" spans="1:23" ht="24">
      <c r="A14" s="38"/>
      <c r="B14" s="38"/>
      <c r="C14" s="39">
        <v>3030</v>
      </c>
      <c r="D14" s="40" t="s">
        <v>22</v>
      </c>
      <c r="E14" s="41">
        <v>260000</v>
      </c>
      <c r="F14" s="41">
        <v>253898</v>
      </c>
      <c r="G14" s="41">
        <v>265000</v>
      </c>
      <c r="H14" s="11">
        <f>G14</f>
        <v>265000</v>
      </c>
      <c r="I14" s="11"/>
      <c r="J14" s="11">
        <v>265000</v>
      </c>
      <c r="K14" s="11">
        <v>265000</v>
      </c>
      <c r="L14" s="11">
        <v>265000</v>
      </c>
      <c r="M14" s="11">
        <v>276000</v>
      </c>
      <c r="N14" s="11">
        <v>276000</v>
      </c>
      <c r="O14" s="11">
        <v>276000</v>
      </c>
      <c r="P14" s="11">
        <v>136898</v>
      </c>
      <c r="Q14" s="186">
        <f t="shared" si="1"/>
        <v>0.4960072463768116</v>
      </c>
      <c r="R14" s="11">
        <v>276000</v>
      </c>
      <c r="S14" s="11">
        <v>285000</v>
      </c>
      <c r="T14" s="11">
        <v>285000</v>
      </c>
      <c r="U14" s="11"/>
      <c r="V14" s="11"/>
      <c r="W14" s="32">
        <f t="shared" si="2"/>
        <v>285000</v>
      </c>
    </row>
    <row r="15" spans="1:23" ht="12">
      <c r="A15" s="33"/>
      <c r="B15" s="33" t="s">
        <v>23</v>
      </c>
      <c r="C15" s="36"/>
      <c r="D15" s="42" t="s">
        <v>24</v>
      </c>
      <c r="E15" s="35">
        <f>SUM(E16:E16)</f>
        <v>39600</v>
      </c>
      <c r="F15" s="35">
        <f>SUM(F16:F16)</f>
        <v>39600</v>
      </c>
      <c r="G15" s="37">
        <f>SUM(G16:G16)</f>
        <v>49550</v>
      </c>
      <c r="H15" s="37">
        <f>SUM(H16:H16)</f>
        <v>43030</v>
      </c>
      <c r="I15" s="37"/>
      <c r="J15" s="37">
        <f aca="true" t="shared" si="5" ref="J15:S15">SUM(J16:J16)</f>
        <v>43030</v>
      </c>
      <c r="K15" s="37">
        <f t="shared" si="5"/>
        <v>43030</v>
      </c>
      <c r="L15" s="37">
        <f t="shared" si="5"/>
        <v>43030</v>
      </c>
      <c r="M15" s="37">
        <f t="shared" si="5"/>
        <v>46368</v>
      </c>
      <c r="N15" s="37">
        <v>46000</v>
      </c>
      <c r="O15" s="37">
        <v>46000</v>
      </c>
      <c r="P15" s="37">
        <f t="shared" si="5"/>
        <v>23177</v>
      </c>
      <c r="Q15" s="186">
        <f t="shared" si="1"/>
        <v>0.5038478260869566</v>
      </c>
      <c r="R15" s="37">
        <f t="shared" si="5"/>
        <v>46000</v>
      </c>
      <c r="S15" s="37">
        <f t="shared" si="5"/>
        <v>49680</v>
      </c>
      <c r="T15" s="37">
        <v>49680</v>
      </c>
      <c r="U15" s="37">
        <f>SUM(U16:U16)</f>
        <v>0</v>
      </c>
      <c r="V15" s="37">
        <f>SUM(V16:V16)</f>
        <v>0</v>
      </c>
      <c r="W15" s="32">
        <f t="shared" si="2"/>
        <v>49680</v>
      </c>
    </row>
    <row r="16" spans="1:23" ht="72">
      <c r="A16" s="25"/>
      <c r="B16" s="25"/>
      <c r="C16" s="26">
        <v>2830</v>
      </c>
      <c r="D16" s="27" t="s">
        <v>25</v>
      </c>
      <c r="E16" s="11">
        <v>39600</v>
      </c>
      <c r="F16" s="11">
        <v>39600</v>
      </c>
      <c r="G16" s="12">
        <v>49550</v>
      </c>
      <c r="H16" s="11">
        <v>43030</v>
      </c>
      <c r="I16" s="11"/>
      <c r="J16" s="11">
        <v>43030</v>
      </c>
      <c r="K16" s="11">
        <v>43030</v>
      </c>
      <c r="L16" s="11">
        <v>43030</v>
      </c>
      <c r="M16" s="11">
        <v>46368</v>
      </c>
      <c r="N16" s="11">
        <v>46000</v>
      </c>
      <c r="O16" s="11">
        <v>46000</v>
      </c>
      <c r="P16" s="11">
        <v>23177</v>
      </c>
      <c r="Q16" s="186">
        <f t="shared" si="1"/>
        <v>0.5038478260869566</v>
      </c>
      <c r="R16" s="11">
        <v>46000</v>
      </c>
      <c r="S16" s="11">
        <v>49680</v>
      </c>
      <c r="T16" s="11">
        <v>49680</v>
      </c>
      <c r="U16" s="11"/>
      <c r="V16" s="11"/>
      <c r="W16" s="32">
        <f t="shared" si="2"/>
        <v>49680</v>
      </c>
    </row>
    <row r="17" spans="1:23" ht="12">
      <c r="A17" s="8">
        <v>600</v>
      </c>
      <c r="B17" s="8"/>
      <c r="C17" s="29"/>
      <c r="D17" s="43" t="s">
        <v>26</v>
      </c>
      <c r="E17" s="31">
        <f>E18</f>
        <v>3542529.5</v>
      </c>
      <c r="F17" s="31">
        <f>F18</f>
        <v>7250599.5</v>
      </c>
      <c r="G17" s="32">
        <f>G18</f>
        <v>15186270</v>
      </c>
      <c r="H17" s="32">
        <f>H18</f>
        <v>15186270</v>
      </c>
      <c r="I17" s="32"/>
      <c r="J17" s="32">
        <f aca="true" t="shared" si="6" ref="J17:S17">J18</f>
        <v>3315270</v>
      </c>
      <c r="K17" s="32">
        <f t="shared" si="6"/>
        <v>4948400</v>
      </c>
      <c r="L17" s="32">
        <f t="shared" si="6"/>
        <v>4948400</v>
      </c>
      <c r="M17" s="32">
        <f t="shared" si="6"/>
        <v>5799000</v>
      </c>
      <c r="N17" s="32">
        <v>16866430</v>
      </c>
      <c r="O17" s="32">
        <v>16325430</v>
      </c>
      <c r="P17" s="32">
        <f t="shared" si="6"/>
        <v>1358635</v>
      </c>
      <c r="Q17" s="186">
        <f t="shared" si="1"/>
        <v>0.0832220039533415</v>
      </c>
      <c r="R17" s="32">
        <f t="shared" si="6"/>
        <v>14539942</v>
      </c>
      <c r="S17" s="32">
        <f t="shared" si="6"/>
        <v>24318367</v>
      </c>
      <c r="T17" s="32">
        <v>14739468</v>
      </c>
      <c r="U17" s="32">
        <f>U18</f>
        <v>24774</v>
      </c>
      <c r="V17" s="32">
        <f>V18</f>
        <v>1785330</v>
      </c>
      <c r="W17" s="32">
        <f t="shared" si="2"/>
        <v>12978912</v>
      </c>
    </row>
    <row r="18" spans="1:23" ht="12">
      <c r="A18" s="33"/>
      <c r="B18" s="33">
        <v>60014</v>
      </c>
      <c r="C18" s="36"/>
      <c r="D18" s="42" t="s">
        <v>27</v>
      </c>
      <c r="E18" s="11">
        <f>SUM(E19:E46)</f>
        <v>3542529.5</v>
      </c>
      <c r="F18" s="11">
        <f>SUM(F19:F46)</f>
        <v>7250599.5</v>
      </c>
      <c r="G18" s="11">
        <f>SUM(G19:G46)</f>
        <v>15186270</v>
      </c>
      <c r="H18" s="11">
        <f>SUM(H19:H46)</f>
        <v>15186270</v>
      </c>
      <c r="I18" s="11"/>
      <c r="J18" s="11">
        <f aca="true" t="shared" si="7" ref="J18:U18">SUM(J19:J46)</f>
        <v>3315270</v>
      </c>
      <c r="K18" s="11">
        <f t="shared" si="7"/>
        <v>4948400</v>
      </c>
      <c r="L18" s="11">
        <f t="shared" si="7"/>
        <v>4948400</v>
      </c>
      <c r="M18" s="11">
        <f t="shared" si="7"/>
        <v>5799000</v>
      </c>
      <c r="N18" s="11">
        <v>16866430</v>
      </c>
      <c r="O18" s="11">
        <v>16325430</v>
      </c>
      <c r="P18" s="11">
        <f t="shared" si="7"/>
        <v>1358635</v>
      </c>
      <c r="Q18" s="186">
        <f t="shared" si="1"/>
        <v>0.0832220039533415</v>
      </c>
      <c r="R18" s="11">
        <f t="shared" si="7"/>
        <v>14539942</v>
      </c>
      <c r="S18" s="11">
        <f t="shared" si="7"/>
        <v>24318367</v>
      </c>
      <c r="T18" s="11">
        <v>14739468</v>
      </c>
      <c r="U18" s="11">
        <f t="shared" si="7"/>
        <v>24774</v>
      </c>
      <c r="V18" s="11">
        <f>SUM(V19:V46)</f>
        <v>1785330</v>
      </c>
      <c r="W18" s="32">
        <f t="shared" si="2"/>
        <v>12978912</v>
      </c>
    </row>
    <row r="19" spans="1:23" ht="24">
      <c r="A19" s="8"/>
      <c r="B19" s="8"/>
      <c r="C19" s="26">
        <v>3020</v>
      </c>
      <c r="D19" s="27" t="s">
        <v>28</v>
      </c>
      <c r="E19" s="11">
        <v>14400</v>
      </c>
      <c r="F19" s="11">
        <v>14400</v>
      </c>
      <c r="G19" s="1">
        <v>14800</v>
      </c>
      <c r="H19" s="1">
        <v>14800</v>
      </c>
      <c r="I19" s="1"/>
      <c r="J19" s="1">
        <v>14800</v>
      </c>
      <c r="K19" s="1">
        <v>14800</v>
      </c>
      <c r="L19" s="1">
        <v>14800</v>
      </c>
      <c r="M19" s="1">
        <v>16000</v>
      </c>
      <c r="N19" s="1">
        <v>16000</v>
      </c>
      <c r="O19" s="1">
        <v>17000</v>
      </c>
      <c r="P19" s="1">
        <v>10994</v>
      </c>
      <c r="Q19" s="186">
        <f t="shared" si="1"/>
        <v>0.6467058823529411</v>
      </c>
      <c r="R19" s="239">
        <v>17000</v>
      </c>
      <c r="S19" s="239">
        <v>18000</v>
      </c>
      <c r="T19" s="239">
        <v>17000</v>
      </c>
      <c r="U19" s="239"/>
      <c r="V19" s="239"/>
      <c r="W19" s="32">
        <f t="shared" si="2"/>
        <v>17000</v>
      </c>
    </row>
    <row r="20" spans="1:23" ht="24">
      <c r="A20" s="8"/>
      <c r="B20" s="8"/>
      <c r="C20" s="9">
        <v>4010</v>
      </c>
      <c r="D20" s="27" t="s">
        <v>29</v>
      </c>
      <c r="E20" s="11">
        <v>492080</v>
      </c>
      <c r="F20" s="11">
        <v>515430</v>
      </c>
      <c r="G20" s="1">
        <v>565450</v>
      </c>
      <c r="H20" s="1">
        <v>565450</v>
      </c>
      <c r="I20" s="1">
        <v>565450</v>
      </c>
      <c r="J20" s="1">
        <v>565450</v>
      </c>
      <c r="K20" s="1">
        <v>611200</v>
      </c>
      <c r="L20" s="1">
        <v>611200</v>
      </c>
      <c r="M20" s="1">
        <v>635000</v>
      </c>
      <c r="N20" s="1">
        <v>635000</v>
      </c>
      <c r="O20" s="1">
        <v>635000</v>
      </c>
      <c r="P20" s="1">
        <v>323470</v>
      </c>
      <c r="Q20" s="186">
        <f t="shared" si="1"/>
        <v>0.5094015748031496</v>
      </c>
      <c r="R20" s="239">
        <v>648000</v>
      </c>
      <c r="S20" s="239">
        <v>688680</v>
      </c>
      <c r="T20" s="239">
        <v>715000</v>
      </c>
      <c r="U20" s="239"/>
      <c r="V20" s="239"/>
      <c r="W20" s="32">
        <f t="shared" si="2"/>
        <v>715000</v>
      </c>
    </row>
    <row r="21" spans="1:23" ht="12.75">
      <c r="A21" s="8"/>
      <c r="B21" s="8"/>
      <c r="C21" s="26">
        <v>4040</v>
      </c>
      <c r="D21" s="27" t="s">
        <v>30</v>
      </c>
      <c r="E21" s="11">
        <f>36800+1200</f>
        <v>38000</v>
      </c>
      <c r="F21" s="11">
        <f>36800+1200</f>
        <v>38000</v>
      </c>
      <c r="G21" s="1">
        <v>39600</v>
      </c>
      <c r="H21" s="1">
        <v>39600</v>
      </c>
      <c r="I21" s="1"/>
      <c r="J21" s="1">
        <v>39600</v>
      </c>
      <c r="K21" s="1">
        <v>38390</v>
      </c>
      <c r="L21" s="1">
        <v>38390</v>
      </c>
      <c r="M21" s="1">
        <v>39000</v>
      </c>
      <c r="N21" s="1">
        <v>39000</v>
      </c>
      <c r="O21" s="1">
        <v>43200</v>
      </c>
      <c r="P21" s="1">
        <v>43164</v>
      </c>
      <c r="Q21" s="186">
        <f t="shared" si="1"/>
        <v>0.9991666666666666</v>
      </c>
      <c r="R21" s="239">
        <v>43200</v>
      </c>
      <c r="S21" s="239">
        <v>54100</v>
      </c>
      <c r="T21" s="239">
        <v>54100</v>
      </c>
      <c r="U21" s="239"/>
      <c r="V21" s="239">
        <v>900</v>
      </c>
      <c r="W21" s="32">
        <f t="shared" si="2"/>
        <v>53200</v>
      </c>
    </row>
    <row r="22" spans="1:23" ht="24">
      <c r="A22" s="8"/>
      <c r="B22" s="8"/>
      <c r="C22" s="26">
        <v>4110</v>
      </c>
      <c r="D22" s="27" t="s">
        <v>31</v>
      </c>
      <c r="E22" s="11">
        <v>91170</v>
      </c>
      <c r="F22" s="11">
        <v>95320</v>
      </c>
      <c r="G22" s="1">
        <v>93800</v>
      </c>
      <c r="H22" s="1">
        <v>93800</v>
      </c>
      <c r="I22" s="1"/>
      <c r="J22" s="1">
        <v>93800</v>
      </c>
      <c r="K22" s="1">
        <v>100960</v>
      </c>
      <c r="L22" s="1">
        <v>100960</v>
      </c>
      <c r="M22" s="1">
        <v>106900</v>
      </c>
      <c r="N22" s="1">
        <v>106900</v>
      </c>
      <c r="O22" s="1">
        <v>106900</v>
      </c>
      <c r="P22" s="1">
        <v>50369</v>
      </c>
      <c r="Q22" s="186">
        <f t="shared" si="1"/>
        <v>0.47117867165575306</v>
      </c>
      <c r="R22" s="239">
        <v>108940</v>
      </c>
      <c r="S22" s="240">
        <v>117100</v>
      </c>
      <c r="T22" s="240">
        <v>122020</v>
      </c>
      <c r="U22" s="240"/>
      <c r="V22" s="240"/>
      <c r="W22" s="32">
        <f t="shared" si="2"/>
        <v>122020</v>
      </c>
    </row>
    <row r="23" spans="1:23" ht="12.75">
      <c r="A23" s="8"/>
      <c r="B23" s="8"/>
      <c r="C23" s="26">
        <v>4120</v>
      </c>
      <c r="D23" s="27" t="s">
        <v>32</v>
      </c>
      <c r="E23" s="11">
        <v>12850</v>
      </c>
      <c r="F23" s="11">
        <v>13420</v>
      </c>
      <c r="G23" s="1">
        <v>14500</v>
      </c>
      <c r="H23" s="1">
        <v>14500</v>
      </c>
      <c r="I23" s="1"/>
      <c r="J23" s="1">
        <v>14500</v>
      </c>
      <c r="K23" s="1">
        <v>15620</v>
      </c>
      <c r="L23" s="1">
        <v>15620</v>
      </c>
      <c r="M23" s="1">
        <v>16520</v>
      </c>
      <c r="N23" s="1">
        <v>16520</v>
      </c>
      <c r="O23" s="1">
        <v>16520</v>
      </c>
      <c r="P23" s="1">
        <v>8089</v>
      </c>
      <c r="Q23" s="186">
        <f t="shared" si="1"/>
        <v>0.4896489104116223</v>
      </c>
      <c r="R23" s="239">
        <v>16887</v>
      </c>
      <c r="S23" s="240">
        <v>18100</v>
      </c>
      <c r="T23" s="240">
        <v>18860</v>
      </c>
      <c r="U23" s="240"/>
      <c r="V23" s="240"/>
      <c r="W23" s="32">
        <f t="shared" si="2"/>
        <v>18860</v>
      </c>
    </row>
    <row r="24" spans="1:23" ht="12.75">
      <c r="A24" s="8"/>
      <c r="B24" s="8"/>
      <c r="C24" s="26">
        <v>4170</v>
      </c>
      <c r="D24" s="27" t="s">
        <v>33</v>
      </c>
      <c r="E24" s="11">
        <v>4000</v>
      </c>
      <c r="F24" s="11">
        <v>5500</v>
      </c>
      <c r="G24" s="1">
        <v>6000</v>
      </c>
      <c r="H24" s="1">
        <v>6000</v>
      </c>
      <c r="I24" s="1"/>
      <c r="J24" s="1">
        <v>4000</v>
      </c>
      <c r="K24" s="1">
        <v>7200</v>
      </c>
      <c r="L24" s="1">
        <v>7200</v>
      </c>
      <c r="M24" s="1">
        <v>5000</v>
      </c>
      <c r="N24" s="1">
        <v>5000</v>
      </c>
      <c r="O24" s="1">
        <v>3800</v>
      </c>
      <c r="P24" s="1">
        <v>1509</v>
      </c>
      <c r="Q24" s="186">
        <f t="shared" si="1"/>
        <v>0.39710526315789474</v>
      </c>
      <c r="R24" s="239">
        <v>3800</v>
      </c>
      <c r="S24" s="239">
        <v>5000</v>
      </c>
      <c r="T24" s="239">
        <v>5000</v>
      </c>
      <c r="U24" s="239"/>
      <c r="V24" s="239"/>
      <c r="W24" s="32">
        <f t="shared" si="2"/>
        <v>5000</v>
      </c>
    </row>
    <row r="25" spans="1:23" ht="12.75">
      <c r="A25" s="8"/>
      <c r="B25" s="8"/>
      <c r="C25" s="26">
        <v>4210</v>
      </c>
      <c r="D25" s="27" t="s">
        <v>34</v>
      </c>
      <c r="E25" s="11">
        <f>114000+45000</f>
        <v>159000</v>
      </c>
      <c r="F25" s="11">
        <f>114000+45000</f>
        <v>159000</v>
      </c>
      <c r="G25" s="1">
        <v>170000</v>
      </c>
      <c r="H25" s="1">
        <v>170000</v>
      </c>
      <c r="I25" s="1"/>
      <c r="J25" s="1">
        <v>170000</v>
      </c>
      <c r="K25" s="1">
        <v>170000</v>
      </c>
      <c r="L25" s="1">
        <v>170000</v>
      </c>
      <c r="M25" s="1">
        <v>175680</v>
      </c>
      <c r="N25" s="1">
        <v>175680</v>
      </c>
      <c r="O25" s="1">
        <v>175680</v>
      </c>
      <c r="P25" s="1">
        <v>64628</v>
      </c>
      <c r="Q25" s="186">
        <f t="shared" si="1"/>
        <v>0.36787340619307834</v>
      </c>
      <c r="R25" s="239">
        <v>175680</v>
      </c>
      <c r="S25" s="239">
        <v>186000</v>
      </c>
      <c r="T25" s="239">
        <v>186000</v>
      </c>
      <c r="U25" s="239"/>
      <c r="V25" s="239"/>
      <c r="W25" s="32">
        <f t="shared" si="2"/>
        <v>186000</v>
      </c>
    </row>
    <row r="26" spans="1:23" ht="12.75">
      <c r="A26" s="8"/>
      <c r="B26" s="8"/>
      <c r="C26" s="26">
        <v>4260</v>
      </c>
      <c r="D26" s="27" t="s">
        <v>35</v>
      </c>
      <c r="E26" s="11">
        <v>19300</v>
      </c>
      <c r="F26" s="11">
        <v>19300</v>
      </c>
      <c r="G26" s="1">
        <v>19750</v>
      </c>
      <c r="H26" s="1">
        <v>19750</v>
      </c>
      <c r="I26" s="1"/>
      <c r="J26" s="1">
        <v>19750</v>
      </c>
      <c r="K26" s="1">
        <v>19750</v>
      </c>
      <c r="L26" s="1">
        <v>19750</v>
      </c>
      <c r="M26" s="1">
        <v>20600</v>
      </c>
      <c r="N26" s="1">
        <v>20600</v>
      </c>
      <c r="O26" s="1">
        <v>20600</v>
      </c>
      <c r="P26" s="1">
        <v>17828</v>
      </c>
      <c r="Q26" s="186">
        <f t="shared" si="1"/>
        <v>0.8654368932038835</v>
      </c>
      <c r="R26" s="239">
        <v>20600</v>
      </c>
      <c r="S26" s="239">
        <v>25000</v>
      </c>
      <c r="T26" s="239">
        <v>21600</v>
      </c>
      <c r="U26" s="239">
        <v>4575</v>
      </c>
      <c r="V26" s="239"/>
      <c r="W26" s="32">
        <f t="shared" si="2"/>
        <v>26175</v>
      </c>
    </row>
    <row r="27" spans="1:23" ht="12.75">
      <c r="A27" s="8"/>
      <c r="B27" s="8"/>
      <c r="C27" s="26">
        <v>4270</v>
      </c>
      <c r="D27" s="27" t="s">
        <v>36</v>
      </c>
      <c r="E27" s="11">
        <v>300000</v>
      </c>
      <c r="F27" s="11">
        <v>300000</v>
      </c>
      <c r="G27" s="1">
        <v>1600000</v>
      </c>
      <c r="H27" s="1">
        <v>1600000</v>
      </c>
      <c r="I27" s="1"/>
      <c r="J27" s="1">
        <f>700000-100000+215000</f>
        <v>815000</v>
      </c>
      <c r="K27" s="1">
        <f>700000-100000+215000</f>
        <v>815000</v>
      </c>
      <c r="L27" s="1">
        <f>700000-100000+215000</f>
        <v>815000</v>
      </c>
      <c r="M27" s="1">
        <v>1617000</v>
      </c>
      <c r="N27" s="1">
        <v>557000</v>
      </c>
      <c r="O27" s="1">
        <v>549000</v>
      </c>
      <c r="P27" s="1">
        <v>48719</v>
      </c>
      <c r="Q27" s="186">
        <f t="shared" si="1"/>
        <v>0.08874134790528233</v>
      </c>
      <c r="R27" s="239">
        <v>674800</v>
      </c>
      <c r="S27" s="239">
        <v>1297000</v>
      </c>
      <c r="T27" s="239">
        <v>341038</v>
      </c>
      <c r="U27" s="239"/>
      <c r="V27" s="239">
        <v>19764</v>
      </c>
      <c r="W27" s="32">
        <f t="shared" si="2"/>
        <v>321274</v>
      </c>
    </row>
    <row r="28" spans="1:23" ht="12.75">
      <c r="A28" s="8"/>
      <c r="B28" s="8"/>
      <c r="C28" s="26">
        <v>4280</v>
      </c>
      <c r="D28" s="27" t="s">
        <v>37</v>
      </c>
      <c r="E28" s="11">
        <v>900</v>
      </c>
      <c r="F28" s="11">
        <v>900</v>
      </c>
      <c r="G28" s="1">
        <v>900</v>
      </c>
      <c r="H28" s="1">
        <v>900</v>
      </c>
      <c r="I28" s="1"/>
      <c r="J28" s="1">
        <v>900</v>
      </c>
      <c r="K28" s="1">
        <v>700</v>
      </c>
      <c r="L28" s="1">
        <v>700</v>
      </c>
      <c r="M28" s="1">
        <v>900</v>
      </c>
      <c r="N28" s="1">
        <v>900</v>
      </c>
      <c r="O28" s="1">
        <v>900</v>
      </c>
      <c r="P28" s="1">
        <v>386</v>
      </c>
      <c r="Q28" s="186">
        <f t="shared" si="1"/>
        <v>0.4288888888888889</v>
      </c>
      <c r="R28" s="239">
        <v>900</v>
      </c>
      <c r="S28" s="239">
        <v>900</v>
      </c>
      <c r="T28" s="239">
        <v>900</v>
      </c>
      <c r="U28" s="239"/>
      <c r="V28" s="239"/>
      <c r="W28" s="32">
        <f t="shared" si="2"/>
        <v>900</v>
      </c>
    </row>
    <row r="29" spans="1:23" ht="12.75">
      <c r="A29" s="8"/>
      <c r="B29" s="8"/>
      <c r="C29" s="26">
        <v>4300</v>
      </c>
      <c r="D29" s="27" t="s">
        <v>17</v>
      </c>
      <c r="E29" s="11">
        <f>(1155000-30000+5500)*101.9%</f>
        <v>1151979.5000000002</v>
      </c>
      <c r="F29" s="11">
        <f>(1155000-30000+5500)*101.9%</f>
        <v>1151979.5000000002</v>
      </c>
      <c r="G29" s="1">
        <v>1234000</v>
      </c>
      <c r="H29" s="1">
        <v>1234000</v>
      </c>
      <c r="I29" s="1"/>
      <c r="J29" s="1">
        <v>1100000</v>
      </c>
      <c r="K29" s="1">
        <v>1103500</v>
      </c>
      <c r="L29" s="1">
        <v>1103500</v>
      </c>
      <c r="M29" s="1">
        <v>1275000</v>
      </c>
      <c r="N29" s="1">
        <v>1125000</v>
      </c>
      <c r="O29" s="1">
        <v>1255000</v>
      </c>
      <c r="P29" s="1">
        <v>633338</v>
      </c>
      <c r="Q29" s="186">
        <f t="shared" si="1"/>
        <v>0.5046517928286852</v>
      </c>
      <c r="R29" s="239">
        <v>1125000</v>
      </c>
      <c r="S29" s="239">
        <v>1330000</v>
      </c>
      <c r="T29" s="239">
        <v>1890000</v>
      </c>
      <c r="U29" s="239"/>
      <c r="V29" s="239"/>
      <c r="W29" s="32">
        <f t="shared" si="2"/>
        <v>1890000</v>
      </c>
    </row>
    <row r="30" spans="1:23" ht="24">
      <c r="A30" s="8"/>
      <c r="B30" s="8"/>
      <c r="C30" s="26">
        <v>4350</v>
      </c>
      <c r="D30" s="27" t="s">
        <v>38</v>
      </c>
      <c r="E30" s="11">
        <v>1120</v>
      </c>
      <c r="F30" s="11">
        <v>1120</v>
      </c>
      <c r="G30" s="1">
        <v>1120</v>
      </c>
      <c r="H30" s="1">
        <v>1120</v>
      </c>
      <c r="I30" s="1"/>
      <c r="J30" s="1">
        <v>1120</v>
      </c>
      <c r="K30" s="1">
        <v>1500</v>
      </c>
      <c r="L30" s="1">
        <v>1500</v>
      </c>
      <c r="M30" s="1">
        <v>1500</v>
      </c>
      <c r="N30" s="1">
        <v>1500</v>
      </c>
      <c r="O30" s="1">
        <v>1500</v>
      </c>
      <c r="P30" s="1">
        <v>512</v>
      </c>
      <c r="Q30" s="186">
        <f t="shared" si="1"/>
        <v>0.3413333333333333</v>
      </c>
      <c r="R30" s="239">
        <v>1500</v>
      </c>
      <c r="S30" s="239">
        <v>1600</v>
      </c>
      <c r="T30" s="239">
        <v>1500</v>
      </c>
      <c r="U30" s="239"/>
      <c r="V30" s="239"/>
      <c r="W30" s="32">
        <f t="shared" si="2"/>
        <v>1500</v>
      </c>
    </row>
    <row r="31" spans="1:23" ht="36">
      <c r="A31" s="8"/>
      <c r="B31" s="8"/>
      <c r="C31" s="26">
        <v>4360</v>
      </c>
      <c r="D31" s="27" t="s">
        <v>39</v>
      </c>
      <c r="E31" s="11">
        <v>6300</v>
      </c>
      <c r="F31" s="11">
        <v>6300</v>
      </c>
      <c r="G31" s="1">
        <v>6300</v>
      </c>
      <c r="H31" s="1">
        <v>6300</v>
      </c>
      <c r="I31" s="1"/>
      <c r="J31" s="1">
        <v>6300</v>
      </c>
      <c r="K31" s="1">
        <v>4200</v>
      </c>
      <c r="L31" s="1">
        <v>4200</v>
      </c>
      <c r="M31" s="1">
        <v>6300</v>
      </c>
      <c r="N31" s="1">
        <v>6300</v>
      </c>
      <c r="O31" s="1">
        <v>6300</v>
      </c>
      <c r="P31" s="1">
        <v>2486</v>
      </c>
      <c r="Q31" s="186">
        <f t="shared" si="1"/>
        <v>0.3946031746031746</v>
      </c>
      <c r="R31" s="239">
        <v>6300</v>
      </c>
      <c r="S31" s="239">
        <v>6600</v>
      </c>
      <c r="T31" s="239">
        <v>6600</v>
      </c>
      <c r="U31" s="239"/>
      <c r="V31" s="239"/>
      <c r="W31" s="32">
        <f t="shared" si="2"/>
        <v>6600</v>
      </c>
    </row>
    <row r="32" spans="1:23" ht="36">
      <c r="A32" s="8"/>
      <c r="B32" s="8"/>
      <c r="C32" s="26">
        <v>4370</v>
      </c>
      <c r="D32" s="27" t="s">
        <v>299</v>
      </c>
      <c r="E32" s="11">
        <v>6000</v>
      </c>
      <c r="F32" s="11">
        <v>6000</v>
      </c>
      <c r="G32" s="1">
        <v>6000</v>
      </c>
      <c r="H32" s="1">
        <v>6000</v>
      </c>
      <c r="I32" s="1"/>
      <c r="J32" s="1">
        <v>6000</v>
      </c>
      <c r="K32" s="1">
        <v>4300</v>
      </c>
      <c r="L32" s="1">
        <v>4300</v>
      </c>
      <c r="M32" s="1">
        <v>6000</v>
      </c>
      <c r="N32" s="1">
        <v>6000</v>
      </c>
      <c r="O32" s="1">
        <v>6000</v>
      </c>
      <c r="P32" s="1">
        <v>1979</v>
      </c>
      <c r="Q32" s="186">
        <f t="shared" si="1"/>
        <v>0.3298333333333333</v>
      </c>
      <c r="R32" s="239">
        <v>6000</v>
      </c>
      <c r="S32" s="239">
        <v>6300</v>
      </c>
      <c r="T32" s="239">
        <v>6300</v>
      </c>
      <c r="U32" s="239"/>
      <c r="V32" s="239"/>
      <c r="W32" s="32">
        <f t="shared" si="2"/>
        <v>6300</v>
      </c>
    </row>
    <row r="33" spans="1:23" ht="24">
      <c r="A33" s="8"/>
      <c r="B33" s="8"/>
      <c r="C33" s="26">
        <v>4390</v>
      </c>
      <c r="D33" s="27" t="s">
        <v>41</v>
      </c>
      <c r="E33" s="11"/>
      <c r="F33" s="11"/>
      <c r="G33" s="1"/>
      <c r="H33" s="1"/>
      <c r="I33" s="1"/>
      <c r="J33" s="1">
        <v>5000</v>
      </c>
      <c r="K33" s="1">
        <v>5000</v>
      </c>
      <c r="L33" s="1">
        <v>5000</v>
      </c>
      <c r="M33" s="1">
        <v>5000</v>
      </c>
      <c r="N33" s="1">
        <v>5000</v>
      </c>
      <c r="O33" s="1">
        <v>5000</v>
      </c>
      <c r="P33" s="1"/>
      <c r="Q33" s="186">
        <f t="shared" si="1"/>
        <v>0</v>
      </c>
      <c r="R33" s="239">
        <v>5000</v>
      </c>
      <c r="S33" s="239">
        <v>5000</v>
      </c>
      <c r="T33" s="239">
        <v>0</v>
      </c>
      <c r="U33" s="239"/>
      <c r="V33" s="239"/>
      <c r="W33" s="32">
        <f t="shared" si="2"/>
        <v>0</v>
      </c>
    </row>
    <row r="34" spans="1:23" ht="12.75">
      <c r="A34" s="8"/>
      <c r="B34" s="8"/>
      <c r="C34" s="26">
        <v>4410</v>
      </c>
      <c r="D34" s="27" t="s">
        <v>42</v>
      </c>
      <c r="E34" s="11">
        <v>3500</v>
      </c>
      <c r="F34" s="11">
        <v>3500</v>
      </c>
      <c r="G34" s="1">
        <v>3600</v>
      </c>
      <c r="H34" s="1">
        <v>3600</v>
      </c>
      <c r="I34" s="1"/>
      <c r="J34" s="1">
        <v>3600</v>
      </c>
      <c r="K34" s="1">
        <v>3600</v>
      </c>
      <c r="L34" s="1">
        <v>3600</v>
      </c>
      <c r="M34" s="1">
        <v>3700</v>
      </c>
      <c r="N34" s="1">
        <v>3700</v>
      </c>
      <c r="O34" s="1">
        <v>3700</v>
      </c>
      <c r="P34" s="1">
        <v>1213</v>
      </c>
      <c r="Q34" s="186">
        <f t="shared" si="1"/>
        <v>0.3278378378378378</v>
      </c>
      <c r="R34" s="239">
        <v>3700</v>
      </c>
      <c r="S34" s="239">
        <v>3900</v>
      </c>
      <c r="T34" s="239">
        <v>3700</v>
      </c>
      <c r="U34" s="239"/>
      <c r="V34" s="239"/>
      <c r="W34" s="32">
        <f t="shared" si="2"/>
        <v>3700</v>
      </c>
    </row>
    <row r="35" spans="1:23" ht="12.75">
      <c r="A35" s="8"/>
      <c r="B35" s="8"/>
      <c r="C35" s="26">
        <v>4430</v>
      </c>
      <c r="D35" s="27" t="s">
        <v>43</v>
      </c>
      <c r="E35" s="11">
        <v>7800</v>
      </c>
      <c r="F35" s="11">
        <v>7800</v>
      </c>
      <c r="G35" s="1">
        <v>9000</v>
      </c>
      <c r="H35" s="1">
        <v>9000</v>
      </c>
      <c r="I35" s="1"/>
      <c r="J35" s="1">
        <v>9000</v>
      </c>
      <c r="K35" s="1">
        <v>9000</v>
      </c>
      <c r="L35" s="1">
        <v>9000</v>
      </c>
      <c r="M35" s="1">
        <v>10000</v>
      </c>
      <c r="N35" s="1">
        <v>10000</v>
      </c>
      <c r="O35" s="1">
        <v>15000</v>
      </c>
      <c r="P35" s="1">
        <v>14199</v>
      </c>
      <c r="Q35" s="186">
        <f t="shared" si="1"/>
        <v>0.9466</v>
      </c>
      <c r="R35" s="239">
        <v>15000</v>
      </c>
      <c r="S35" s="239">
        <v>16000</v>
      </c>
      <c r="T35" s="239">
        <v>18300</v>
      </c>
      <c r="U35" s="239"/>
      <c r="V35" s="239"/>
      <c r="W35" s="32">
        <f t="shared" si="2"/>
        <v>18300</v>
      </c>
    </row>
    <row r="36" spans="1:23" ht="24">
      <c r="A36" s="8"/>
      <c r="B36" s="8"/>
      <c r="C36" s="26">
        <v>4440</v>
      </c>
      <c r="D36" s="27" t="s">
        <v>44</v>
      </c>
      <c r="E36" s="11">
        <v>19730</v>
      </c>
      <c r="F36" s="11">
        <v>18230</v>
      </c>
      <c r="G36" s="1">
        <v>18950</v>
      </c>
      <c r="H36" s="1">
        <v>18950</v>
      </c>
      <c r="I36" s="1"/>
      <c r="J36" s="1">
        <v>18950</v>
      </c>
      <c r="K36" s="1">
        <v>20090</v>
      </c>
      <c r="L36" s="1">
        <v>20090</v>
      </c>
      <c r="M36" s="1">
        <v>20900</v>
      </c>
      <c r="N36" s="1">
        <v>18330</v>
      </c>
      <c r="O36" s="1">
        <v>18330</v>
      </c>
      <c r="P36" s="1">
        <v>18330</v>
      </c>
      <c r="Q36" s="186">
        <f t="shared" si="1"/>
        <v>1</v>
      </c>
      <c r="R36" s="239">
        <v>24330</v>
      </c>
      <c r="S36" s="239">
        <v>25000</v>
      </c>
      <c r="T36" s="239">
        <v>25000</v>
      </c>
      <c r="U36" s="239"/>
      <c r="V36" s="239">
        <v>2110</v>
      </c>
      <c r="W36" s="32">
        <f t="shared" si="2"/>
        <v>22890</v>
      </c>
    </row>
    <row r="37" spans="1:23" ht="12.75">
      <c r="A37" s="8"/>
      <c r="B37" s="8"/>
      <c r="C37" s="26">
        <v>4480</v>
      </c>
      <c r="D37" s="27" t="s">
        <v>45</v>
      </c>
      <c r="E37" s="11">
        <v>6400</v>
      </c>
      <c r="F37" s="11">
        <v>6400</v>
      </c>
      <c r="G37" s="1">
        <v>6500</v>
      </c>
      <c r="H37" s="1">
        <v>6500</v>
      </c>
      <c r="I37" s="1"/>
      <c r="J37" s="1">
        <v>6500</v>
      </c>
      <c r="K37" s="1">
        <v>6775</v>
      </c>
      <c r="L37" s="1">
        <v>6775</v>
      </c>
      <c r="M37" s="1">
        <v>7000</v>
      </c>
      <c r="N37" s="1">
        <v>7000</v>
      </c>
      <c r="O37" s="1">
        <v>7000</v>
      </c>
      <c r="P37" s="1">
        <v>3841</v>
      </c>
      <c r="Q37" s="186">
        <f t="shared" si="1"/>
        <v>0.5487142857142857</v>
      </c>
      <c r="R37" s="239">
        <v>7000</v>
      </c>
      <c r="S37" s="239">
        <v>7500</v>
      </c>
      <c r="T37" s="239">
        <v>7500</v>
      </c>
      <c r="U37" s="239">
        <v>435</v>
      </c>
      <c r="V37" s="239"/>
      <c r="W37" s="32">
        <f t="shared" si="2"/>
        <v>7935</v>
      </c>
    </row>
    <row r="38" spans="1:23" ht="36">
      <c r="A38" s="8"/>
      <c r="B38" s="8"/>
      <c r="C38" s="26">
        <v>4700</v>
      </c>
      <c r="D38" s="27" t="s">
        <v>46</v>
      </c>
      <c r="E38" s="11">
        <v>5000</v>
      </c>
      <c r="F38" s="11">
        <v>5000</v>
      </c>
      <c r="G38" s="1">
        <v>10000</v>
      </c>
      <c r="H38" s="1">
        <v>10000</v>
      </c>
      <c r="I38" s="1"/>
      <c r="J38" s="1">
        <v>5000</v>
      </c>
      <c r="K38" s="1">
        <v>5000</v>
      </c>
      <c r="L38" s="1">
        <v>5000</v>
      </c>
      <c r="M38" s="1">
        <v>5000</v>
      </c>
      <c r="N38" s="1">
        <v>5000</v>
      </c>
      <c r="O38" s="1">
        <v>5000</v>
      </c>
      <c r="P38" s="1">
        <v>2714</v>
      </c>
      <c r="Q38" s="186">
        <f t="shared" si="1"/>
        <v>0.5428</v>
      </c>
      <c r="R38" s="239">
        <v>5000</v>
      </c>
      <c r="S38" s="239">
        <v>5250</v>
      </c>
      <c r="T38" s="239">
        <v>5000</v>
      </c>
      <c r="U38" s="239"/>
      <c r="V38" s="239"/>
      <c r="W38" s="32">
        <f t="shared" si="2"/>
        <v>5000</v>
      </c>
    </row>
    <row r="39" spans="1:23" ht="24">
      <c r="A39" s="8"/>
      <c r="B39" s="8"/>
      <c r="C39" s="26">
        <v>4740</v>
      </c>
      <c r="D39" s="27" t="s">
        <v>47</v>
      </c>
      <c r="E39" s="11">
        <v>1000</v>
      </c>
      <c r="F39" s="11">
        <v>1000</v>
      </c>
      <c r="G39" s="1">
        <v>1000</v>
      </c>
      <c r="H39" s="1">
        <v>1000</v>
      </c>
      <c r="I39" s="1"/>
      <c r="J39" s="1">
        <v>1000</v>
      </c>
      <c r="K39" s="1">
        <v>1000</v>
      </c>
      <c r="L39" s="1">
        <v>1000</v>
      </c>
      <c r="M39" s="1">
        <v>1000</v>
      </c>
      <c r="N39" s="1">
        <v>1000</v>
      </c>
      <c r="O39" s="1">
        <v>1000</v>
      </c>
      <c r="P39" s="1">
        <v>134</v>
      </c>
      <c r="Q39" s="186">
        <f t="shared" si="1"/>
        <v>0.134</v>
      </c>
      <c r="R39" s="239">
        <v>1000</v>
      </c>
      <c r="S39" s="239">
        <v>1000</v>
      </c>
      <c r="T39" s="239">
        <v>1000</v>
      </c>
      <c r="U39" s="239"/>
      <c r="V39" s="239"/>
      <c r="W39" s="32">
        <f t="shared" si="2"/>
        <v>1000</v>
      </c>
    </row>
    <row r="40" spans="1:23" ht="12.75">
      <c r="A40" s="8"/>
      <c r="B40" s="8"/>
      <c r="C40" s="26">
        <v>4750</v>
      </c>
      <c r="D40" s="27" t="s">
        <v>48</v>
      </c>
      <c r="E40" s="11">
        <v>2000</v>
      </c>
      <c r="F40" s="11">
        <v>2000</v>
      </c>
      <c r="G40" s="1">
        <v>5000</v>
      </c>
      <c r="H40" s="1">
        <v>5000</v>
      </c>
      <c r="I40" s="1"/>
      <c r="J40" s="1">
        <v>5000</v>
      </c>
      <c r="K40" s="1">
        <v>5215</v>
      </c>
      <c r="L40" s="1">
        <v>5215</v>
      </c>
      <c r="M40" s="1">
        <v>5000</v>
      </c>
      <c r="N40" s="1">
        <v>5000</v>
      </c>
      <c r="O40" s="1">
        <v>5000</v>
      </c>
      <c r="P40" s="1">
        <v>551</v>
      </c>
      <c r="Q40" s="186">
        <f t="shared" si="1"/>
        <v>0.1102</v>
      </c>
      <c r="R40" s="239">
        <v>5000</v>
      </c>
      <c r="S40" s="239">
        <v>5000</v>
      </c>
      <c r="T40" s="239">
        <v>5000</v>
      </c>
      <c r="U40" s="239"/>
      <c r="V40" s="239">
        <v>2000</v>
      </c>
      <c r="W40" s="32">
        <f t="shared" si="2"/>
        <v>3000</v>
      </c>
    </row>
    <row r="41" spans="1:23" ht="72">
      <c r="A41" s="8"/>
      <c r="B41" s="8"/>
      <c r="C41" s="26">
        <v>6610</v>
      </c>
      <c r="D41" s="27" t="s">
        <v>360</v>
      </c>
      <c r="E41" s="11"/>
      <c r="F41" s="11"/>
      <c r="G41" s="1"/>
      <c r="H41" s="1"/>
      <c r="I41" s="1"/>
      <c r="J41" s="1"/>
      <c r="K41" s="1"/>
      <c r="L41" s="1"/>
      <c r="M41" s="1"/>
      <c r="N41" s="1"/>
      <c r="O41" s="1"/>
      <c r="P41" s="1"/>
      <c r="Q41" s="186"/>
      <c r="R41" s="239"/>
      <c r="S41" s="239"/>
      <c r="T41" s="239">
        <v>87500</v>
      </c>
      <c r="U41" s="239"/>
      <c r="V41" s="239"/>
      <c r="W41" s="32">
        <f t="shared" si="2"/>
        <v>87500</v>
      </c>
    </row>
    <row r="42" spans="1:23" ht="24">
      <c r="A42" s="8"/>
      <c r="B42" s="8"/>
      <c r="C42" s="9">
        <v>6050</v>
      </c>
      <c r="D42" s="10" t="s">
        <v>49</v>
      </c>
      <c r="E42" s="11">
        <v>300000</v>
      </c>
      <c r="F42" s="11">
        <v>1200000</v>
      </c>
      <c r="G42" s="12">
        <v>2836000</v>
      </c>
      <c r="H42" s="12">
        <v>2836000</v>
      </c>
      <c r="I42" s="12"/>
      <c r="J42" s="1">
        <v>400000</v>
      </c>
      <c r="K42" s="1">
        <v>1360600</v>
      </c>
      <c r="L42" s="1">
        <v>1360600</v>
      </c>
      <c r="M42" s="1">
        <v>350000</v>
      </c>
      <c r="N42" s="1">
        <v>13250000</v>
      </c>
      <c r="O42" s="1">
        <v>6890000</v>
      </c>
      <c r="P42" s="1">
        <v>40182</v>
      </c>
      <c r="Q42" s="186">
        <f t="shared" si="1"/>
        <v>0.005831930333817127</v>
      </c>
      <c r="R42" s="239">
        <v>7296028</v>
      </c>
      <c r="S42" s="239">
        <v>2750000</v>
      </c>
      <c r="T42" s="239">
        <v>7666954</v>
      </c>
      <c r="U42" s="239"/>
      <c r="V42" s="239">
        <v>1760556</v>
      </c>
      <c r="W42" s="32">
        <f t="shared" si="2"/>
        <v>5906398</v>
      </c>
    </row>
    <row r="43" spans="1:23" ht="24" hidden="1">
      <c r="A43" s="8"/>
      <c r="B43" s="8"/>
      <c r="C43" s="9">
        <v>6058</v>
      </c>
      <c r="D43" s="10" t="s">
        <v>49</v>
      </c>
      <c r="E43" s="11">
        <v>300000</v>
      </c>
      <c r="F43" s="11">
        <v>1200000</v>
      </c>
      <c r="G43" s="12">
        <v>2836000</v>
      </c>
      <c r="H43" s="12">
        <v>2836000</v>
      </c>
      <c r="I43" s="12"/>
      <c r="J43" s="1"/>
      <c r="K43" s="1">
        <v>360144</v>
      </c>
      <c r="L43" s="1">
        <v>360144</v>
      </c>
      <c r="M43" s="1">
        <v>882000</v>
      </c>
      <c r="N43" s="1">
        <v>493000</v>
      </c>
      <c r="O43" s="1">
        <v>3590340</v>
      </c>
      <c r="P43" s="1">
        <v>35000</v>
      </c>
      <c r="Q43" s="186">
        <f t="shared" si="1"/>
        <v>0.009748380376231778</v>
      </c>
      <c r="R43" s="239">
        <v>2222512</v>
      </c>
      <c r="S43" s="239">
        <v>9370202</v>
      </c>
      <c r="T43" s="239">
        <v>0</v>
      </c>
      <c r="U43" s="239"/>
      <c r="V43" s="239"/>
      <c r="W43" s="32">
        <f t="shared" si="2"/>
        <v>0</v>
      </c>
    </row>
    <row r="44" spans="1:23" ht="24">
      <c r="A44" s="8"/>
      <c r="B44" s="8"/>
      <c r="C44" s="9">
        <v>6059</v>
      </c>
      <c r="D44" s="10" t="s">
        <v>49</v>
      </c>
      <c r="E44" s="11">
        <v>300000</v>
      </c>
      <c r="F44" s="11">
        <v>1200000</v>
      </c>
      <c r="G44" s="12">
        <v>2836000</v>
      </c>
      <c r="H44" s="12">
        <v>2836000</v>
      </c>
      <c r="I44" s="12"/>
      <c r="J44" s="1"/>
      <c r="K44" s="1">
        <v>254856</v>
      </c>
      <c r="L44" s="1">
        <v>254856</v>
      </c>
      <c r="M44" s="1">
        <v>588000</v>
      </c>
      <c r="N44" s="1">
        <v>357000</v>
      </c>
      <c r="O44" s="1">
        <v>2947660</v>
      </c>
      <c r="P44" s="1">
        <v>35000</v>
      </c>
      <c r="Q44" s="186">
        <f t="shared" si="1"/>
        <v>0.011873825339421778</v>
      </c>
      <c r="R44" s="239">
        <v>2106765</v>
      </c>
      <c r="S44" s="239">
        <v>8305135</v>
      </c>
      <c r="T44" s="239">
        <v>3533596</v>
      </c>
      <c r="U44" s="239">
        <v>19764</v>
      </c>
      <c r="V44" s="239"/>
      <c r="W44" s="32">
        <f t="shared" si="2"/>
        <v>3553360</v>
      </c>
    </row>
    <row r="45" spans="1:23" ht="24" hidden="1">
      <c r="A45" s="8"/>
      <c r="B45" s="8"/>
      <c r="C45" s="9">
        <v>6060</v>
      </c>
      <c r="D45" s="10" t="s">
        <v>341</v>
      </c>
      <c r="E45" s="11">
        <v>300000</v>
      </c>
      <c r="F45" s="11">
        <v>1200000</v>
      </c>
      <c r="G45" s="12">
        <v>2836000</v>
      </c>
      <c r="H45" s="12">
        <v>2836000</v>
      </c>
      <c r="I45" s="12"/>
      <c r="J45" s="1"/>
      <c r="K45" s="1"/>
      <c r="L45" s="1"/>
      <c r="M45" s="1"/>
      <c r="N45" s="1">
        <v>0</v>
      </c>
      <c r="O45" s="1">
        <v>0</v>
      </c>
      <c r="P45" s="1"/>
      <c r="Q45" s="186"/>
      <c r="R45" s="1"/>
      <c r="S45" s="239">
        <v>70000</v>
      </c>
      <c r="T45" s="239">
        <v>0</v>
      </c>
      <c r="U45" s="239"/>
      <c r="V45" s="239"/>
      <c r="W45" s="32">
        <f t="shared" si="2"/>
        <v>0</v>
      </c>
    </row>
    <row r="46" spans="1:23" ht="28.5" customHeight="1" hidden="1">
      <c r="A46" s="8"/>
      <c r="B46" s="8"/>
      <c r="C46" s="9"/>
      <c r="D46" s="10"/>
      <c r="E46" s="11"/>
      <c r="F46" s="11">
        <v>80000</v>
      </c>
      <c r="G46" s="12">
        <v>16000</v>
      </c>
      <c r="H46" s="12">
        <v>16000</v>
      </c>
      <c r="I46" s="12"/>
      <c r="J46" s="1">
        <v>10000</v>
      </c>
      <c r="K46" s="1">
        <v>10000</v>
      </c>
      <c r="L46" s="1">
        <v>10000</v>
      </c>
      <c r="M46" s="1"/>
      <c r="N46" s="1">
        <v>0</v>
      </c>
      <c r="O46" s="1">
        <v>0</v>
      </c>
      <c r="P46" s="1"/>
      <c r="Q46" s="186"/>
      <c r="R46" s="1"/>
      <c r="S46" s="1"/>
      <c r="T46" s="1">
        <v>0</v>
      </c>
      <c r="U46" s="1"/>
      <c r="V46" s="1"/>
      <c r="W46" s="32">
        <f t="shared" si="2"/>
        <v>0</v>
      </c>
    </row>
    <row r="47" spans="1:23" ht="28.5" customHeight="1">
      <c r="A47" s="8"/>
      <c r="B47" s="8"/>
      <c r="C47" s="9"/>
      <c r="D47" s="10" t="s">
        <v>145</v>
      </c>
      <c r="E47" s="11"/>
      <c r="F47" s="11"/>
      <c r="G47" s="12"/>
      <c r="H47" s="12"/>
      <c r="I47" s="12"/>
      <c r="J47" s="1"/>
      <c r="K47" s="1"/>
      <c r="L47" s="1"/>
      <c r="M47" s="1"/>
      <c r="N47" s="1"/>
      <c r="O47" s="1"/>
      <c r="P47" s="1"/>
      <c r="Q47" s="186"/>
      <c r="R47" s="1"/>
      <c r="S47" s="1"/>
      <c r="T47" s="1"/>
      <c r="U47" s="1"/>
      <c r="V47" s="1"/>
      <c r="W47" s="32"/>
    </row>
    <row r="48" spans="1:23" ht="12">
      <c r="A48" s="33"/>
      <c r="B48" s="33"/>
      <c r="C48" s="36"/>
      <c r="D48" s="42" t="s">
        <v>361</v>
      </c>
      <c r="E48" s="11">
        <f>SUM(E49:E75)</f>
        <v>3242529.5</v>
      </c>
      <c r="F48" s="11">
        <f>SUM(F49:F75)</f>
        <v>5970599.5</v>
      </c>
      <c r="G48" s="11">
        <f>SUM(G49:G75)</f>
        <v>12334270</v>
      </c>
      <c r="H48" s="11">
        <f>SUM(H49:H75)</f>
        <v>12334270</v>
      </c>
      <c r="I48" s="11"/>
      <c r="J48" s="11">
        <f>SUM(J49:J75)</f>
        <v>3305270</v>
      </c>
      <c r="K48" s="11">
        <f>SUM(K49:K75)</f>
        <v>4938400</v>
      </c>
      <c r="L48" s="11">
        <f>SUM(L49:L75)</f>
        <v>4938400</v>
      </c>
      <c r="M48" s="11">
        <f>SUM(M49:M75)</f>
        <v>5799000</v>
      </c>
      <c r="N48" s="11">
        <v>16866430</v>
      </c>
      <c r="O48" s="11">
        <v>16325430</v>
      </c>
      <c r="P48" s="11">
        <f>SUM(P49:P75)</f>
        <v>1358635</v>
      </c>
      <c r="Q48" s="186">
        <f aca="true" t="shared" si="8" ref="Q48:Q70">P48/O48</f>
        <v>0.0832220039533415</v>
      </c>
      <c r="R48" s="11">
        <f>SUM(R49:R75)</f>
        <v>14539942</v>
      </c>
      <c r="S48" s="11">
        <f>SUM(S49:S75)</f>
        <v>24248367</v>
      </c>
      <c r="T48" s="11">
        <v>14651968</v>
      </c>
      <c r="U48" s="11">
        <f>SUM(U49:U73)</f>
        <v>24774</v>
      </c>
      <c r="V48" s="11">
        <f>SUM(V49:V73)</f>
        <v>1785330</v>
      </c>
      <c r="W48" s="32">
        <f aca="true" t="shared" si="9" ref="W48:W74">T48+U48-V48</f>
        <v>12891412</v>
      </c>
    </row>
    <row r="49" spans="1:23" ht="24">
      <c r="A49" s="8"/>
      <c r="B49" s="8"/>
      <c r="C49" s="26">
        <v>3020</v>
      </c>
      <c r="D49" s="27" t="s">
        <v>28</v>
      </c>
      <c r="E49" s="11">
        <v>14400</v>
      </c>
      <c r="F49" s="11">
        <v>14400</v>
      </c>
      <c r="G49" s="1">
        <v>14800</v>
      </c>
      <c r="H49" s="1">
        <v>14800</v>
      </c>
      <c r="I49" s="1"/>
      <c r="J49" s="1">
        <v>14800</v>
      </c>
      <c r="K49" s="1">
        <v>14800</v>
      </c>
      <c r="L49" s="1">
        <v>14800</v>
      </c>
      <c r="M49" s="1">
        <v>16000</v>
      </c>
      <c r="N49" s="1">
        <v>16000</v>
      </c>
      <c r="O49" s="1">
        <v>17000</v>
      </c>
      <c r="P49" s="1">
        <v>10994</v>
      </c>
      <c r="Q49" s="186">
        <f t="shared" si="8"/>
        <v>0.6467058823529411</v>
      </c>
      <c r="R49" s="239">
        <v>17000</v>
      </c>
      <c r="S49" s="239">
        <v>18000</v>
      </c>
      <c r="T49" s="239">
        <v>17000</v>
      </c>
      <c r="U49" s="239"/>
      <c r="V49" s="239"/>
      <c r="W49" s="32">
        <f t="shared" si="9"/>
        <v>17000</v>
      </c>
    </row>
    <row r="50" spans="1:23" ht="24">
      <c r="A50" s="8"/>
      <c r="B50" s="8"/>
      <c r="C50" s="9">
        <v>4010</v>
      </c>
      <c r="D50" s="27" t="s">
        <v>29</v>
      </c>
      <c r="E50" s="11">
        <v>492080</v>
      </c>
      <c r="F50" s="11">
        <v>515430</v>
      </c>
      <c r="G50" s="1">
        <v>565450</v>
      </c>
      <c r="H50" s="1">
        <v>565450</v>
      </c>
      <c r="I50" s="1">
        <v>565450</v>
      </c>
      <c r="J50" s="1">
        <v>565450</v>
      </c>
      <c r="K50" s="1">
        <v>611200</v>
      </c>
      <c r="L50" s="1">
        <v>611200</v>
      </c>
      <c r="M50" s="1">
        <v>635000</v>
      </c>
      <c r="N50" s="1">
        <v>635000</v>
      </c>
      <c r="O50" s="1">
        <v>635000</v>
      </c>
      <c r="P50" s="1">
        <v>323470</v>
      </c>
      <c r="Q50" s="186">
        <f t="shared" si="8"/>
        <v>0.5094015748031496</v>
      </c>
      <c r="R50" s="239">
        <v>648000</v>
      </c>
      <c r="S50" s="239">
        <v>688680</v>
      </c>
      <c r="T50" s="239">
        <v>715000</v>
      </c>
      <c r="U50" s="239"/>
      <c r="V50" s="239"/>
      <c r="W50" s="32">
        <f t="shared" si="9"/>
        <v>715000</v>
      </c>
    </row>
    <row r="51" spans="1:23" ht="12.75">
      <c r="A51" s="8"/>
      <c r="B51" s="8"/>
      <c r="C51" s="26">
        <v>4040</v>
      </c>
      <c r="D51" s="27" t="s">
        <v>30</v>
      </c>
      <c r="E51" s="11">
        <f>36800+1200</f>
        <v>38000</v>
      </c>
      <c r="F51" s="11">
        <f>36800+1200</f>
        <v>38000</v>
      </c>
      <c r="G51" s="1">
        <v>39600</v>
      </c>
      <c r="H51" s="1">
        <v>39600</v>
      </c>
      <c r="I51" s="1"/>
      <c r="J51" s="1">
        <v>39600</v>
      </c>
      <c r="K51" s="1">
        <v>38390</v>
      </c>
      <c r="L51" s="1">
        <v>38390</v>
      </c>
      <c r="M51" s="1">
        <v>39000</v>
      </c>
      <c r="N51" s="1">
        <v>39000</v>
      </c>
      <c r="O51" s="1">
        <v>43200</v>
      </c>
      <c r="P51" s="1">
        <v>43164</v>
      </c>
      <c r="Q51" s="186">
        <f t="shared" si="8"/>
        <v>0.9991666666666666</v>
      </c>
      <c r="R51" s="239">
        <v>43200</v>
      </c>
      <c r="S51" s="239">
        <v>54100</v>
      </c>
      <c r="T51" s="239">
        <v>54100</v>
      </c>
      <c r="U51" s="239"/>
      <c r="V51" s="239">
        <v>900</v>
      </c>
      <c r="W51" s="32">
        <f t="shared" si="9"/>
        <v>53200</v>
      </c>
    </row>
    <row r="52" spans="1:23" ht="24">
      <c r="A52" s="8"/>
      <c r="B52" s="8"/>
      <c r="C52" s="26">
        <v>4110</v>
      </c>
      <c r="D52" s="27" t="s">
        <v>31</v>
      </c>
      <c r="E52" s="11">
        <v>91170</v>
      </c>
      <c r="F52" s="11">
        <v>95320</v>
      </c>
      <c r="G52" s="1">
        <v>93800</v>
      </c>
      <c r="H52" s="1">
        <v>93800</v>
      </c>
      <c r="I52" s="1"/>
      <c r="J52" s="1">
        <v>93800</v>
      </c>
      <c r="K52" s="1">
        <v>100960</v>
      </c>
      <c r="L52" s="1">
        <v>100960</v>
      </c>
      <c r="M52" s="1">
        <v>106900</v>
      </c>
      <c r="N52" s="1">
        <v>106900</v>
      </c>
      <c r="O52" s="1">
        <v>106900</v>
      </c>
      <c r="P52" s="1">
        <v>50369</v>
      </c>
      <c r="Q52" s="186">
        <f t="shared" si="8"/>
        <v>0.47117867165575306</v>
      </c>
      <c r="R52" s="239">
        <v>108940</v>
      </c>
      <c r="S52" s="240">
        <v>117100</v>
      </c>
      <c r="T52" s="240">
        <v>122020</v>
      </c>
      <c r="U52" s="240"/>
      <c r="V52" s="240"/>
      <c r="W52" s="32">
        <f t="shared" si="9"/>
        <v>122020</v>
      </c>
    </row>
    <row r="53" spans="1:23" ht="12.75">
      <c r="A53" s="8"/>
      <c r="B53" s="8"/>
      <c r="C53" s="26">
        <v>4120</v>
      </c>
      <c r="D53" s="27" t="s">
        <v>32</v>
      </c>
      <c r="E53" s="11">
        <v>12850</v>
      </c>
      <c r="F53" s="11">
        <v>13420</v>
      </c>
      <c r="G53" s="1">
        <v>14500</v>
      </c>
      <c r="H53" s="1">
        <v>14500</v>
      </c>
      <c r="I53" s="1"/>
      <c r="J53" s="1">
        <v>14500</v>
      </c>
      <c r="K53" s="1">
        <v>15620</v>
      </c>
      <c r="L53" s="1">
        <v>15620</v>
      </c>
      <c r="M53" s="1">
        <v>16520</v>
      </c>
      <c r="N53" s="1">
        <v>16520</v>
      </c>
      <c r="O53" s="1">
        <v>16520</v>
      </c>
      <c r="P53" s="1">
        <v>8089</v>
      </c>
      <c r="Q53" s="186">
        <f t="shared" si="8"/>
        <v>0.4896489104116223</v>
      </c>
      <c r="R53" s="239">
        <v>16887</v>
      </c>
      <c r="S53" s="240">
        <v>18100</v>
      </c>
      <c r="T53" s="240">
        <v>18860</v>
      </c>
      <c r="U53" s="240"/>
      <c r="V53" s="240"/>
      <c r="W53" s="32">
        <f t="shared" si="9"/>
        <v>18860</v>
      </c>
    </row>
    <row r="54" spans="1:23" ht="12.75">
      <c r="A54" s="8"/>
      <c r="B54" s="8"/>
      <c r="C54" s="26">
        <v>4170</v>
      </c>
      <c r="D54" s="27" t="s">
        <v>33</v>
      </c>
      <c r="E54" s="11">
        <v>4000</v>
      </c>
      <c r="F54" s="11">
        <v>5500</v>
      </c>
      <c r="G54" s="1">
        <v>6000</v>
      </c>
      <c r="H54" s="1">
        <v>6000</v>
      </c>
      <c r="I54" s="1"/>
      <c r="J54" s="1">
        <v>4000</v>
      </c>
      <c r="K54" s="1">
        <v>7200</v>
      </c>
      <c r="L54" s="1">
        <v>7200</v>
      </c>
      <c r="M54" s="1">
        <v>5000</v>
      </c>
      <c r="N54" s="1">
        <v>5000</v>
      </c>
      <c r="O54" s="1">
        <v>3800</v>
      </c>
      <c r="P54" s="1">
        <v>1509</v>
      </c>
      <c r="Q54" s="186">
        <f t="shared" si="8"/>
        <v>0.39710526315789474</v>
      </c>
      <c r="R54" s="239">
        <v>3800</v>
      </c>
      <c r="S54" s="239">
        <v>5000</v>
      </c>
      <c r="T54" s="239">
        <v>5000</v>
      </c>
      <c r="U54" s="239"/>
      <c r="V54" s="239"/>
      <c r="W54" s="32">
        <f t="shared" si="9"/>
        <v>5000</v>
      </c>
    </row>
    <row r="55" spans="1:23" ht="12.75">
      <c r="A55" s="8"/>
      <c r="B55" s="8"/>
      <c r="C55" s="26">
        <v>4210</v>
      </c>
      <c r="D55" s="27" t="s">
        <v>34</v>
      </c>
      <c r="E55" s="11">
        <f>114000+45000</f>
        <v>159000</v>
      </c>
      <c r="F55" s="11">
        <f>114000+45000</f>
        <v>159000</v>
      </c>
      <c r="G55" s="1">
        <v>170000</v>
      </c>
      <c r="H55" s="1">
        <v>170000</v>
      </c>
      <c r="I55" s="1"/>
      <c r="J55" s="1">
        <v>170000</v>
      </c>
      <c r="K55" s="1">
        <v>170000</v>
      </c>
      <c r="L55" s="1">
        <v>170000</v>
      </c>
      <c r="M55" s="1">
        <v>175680</v>
      </c>
      <c r="N55" s="1">
        <v>175680</v>
      </c>
      <c r="O55" s="1">
        <v>175680</v>
      </c>
      <c r="P55" s="1">
        <v>64628</v>
      </c>
      <c r="Q55" s="186">
        <f t="shared" si="8"/>
        <v>0.36787340619307834</v>
      </c>
      <c r="R55" s="239">
        <v>175680</v>
      </c>
      <c r="S55" s="239">
        <v>186000</v>
      </c>
      <c r="T55" s="239">
        <v>186000</v>
      </c>
      <c r="U55" s="239"/>
      <c r="V55" s="239"/>
      <c r="W55" s="32">
        <f t="shared" si="9"/>
        <v>186000</v>
      </c>
    </row>
    <row r="56" spans="1:23" ht="12.75">
      <c r="A56" s="8"/>
      <c r="B56" s="8"/>
      <c r="C56" s="26">
        <v>4260</v>
      </c>
      <c r="D56" s="27" t="s">
        <v>35</v>
      </c>
      <c r="E56" s="11">
        <v>19300</v>
      </c>
      <c r="F56" s="11">
        <v>19300</v>
      </c>
      <c r="G56" s="1">
        <v>19750</v>
      </c>
      <c r="H56" s="1">
        <v>19750</v>
      </c>
      <c r="I56" s="1"/>
      <c r="J56" s="1">
        <v>19750</v>
      </c>
      <c r="K56" s="1">
        <v>19750</v>
      </c>
      <c r="L56" s="1">
        <v>19750</v>
      </c>
      <c r="M56" s="1">
        <v>20600</v>
      </c>
      <c r="N56" s="1">
        <v>20600</v>
      </c>
      <c r="O56" s="1">
        <v>20600</v>
      </c>
      <c r="P56" s="1">
        <v>17828</v>
      </c>
      <c r="Q56" s="186">
        <f t="shared" si="8"/>
        <v>0.8654368932038835</v>
      </c>
      <c r="R56" s="239">
        <v>20600</v>
      </c>
      <c r="S56" s="239">
        <v>25000</v>
      </c>
      <c r="T56" s="239">
        <v>21600</v>
      </c>
      <c r="U56" s="239">
        <v>4575</v>
      </c>
      <c r="V56" s="239"/>
      <c r="W56" s="32">
        <f t="shared" si="9"/>
        <v>26175</v>
      </c>
    </row>
    <row r="57" spans="1:23" ht="12.75">
      <c r="A57" s="8"/>
      <c r="B57" s="8"/>
      <c r="C57" s="26">
        <v>4270</v>
      </c>
      <c r="D57" s="27" t="s">
        <v>36</v>
      </c>
      <c r="E57" s="11">
        <v>300000</v>
      </c>
      <c r="F57" s="11">
        <v>300000</v>
      </c>
      <c r="G57" s="1">
        <v>1600000</v>
      </c>
      <c r="H57" s="1">
        <v>1600000</v>
      </c>
      <c r="I57" s="1"/>
      <c r="J57" s="1">
        <f>700000-100000+215000</f>
        <v>815000</v>
      </c>
      <c r="K57" s="1">
        <f>700000-100000+215000</f>
        <v>815000</v>
      </c>
      <c r="L57" s="1">
        <f>700000-100000+215000</f>
        <v>815000</v>
      </c>
      <c r="M57" s="1">
        <v>1617000</v>
      </c>
      <c r="N57" s="1">
        <v>557000</v>
      </c>
      <c r="O57" s="1">
        <v>549000</v>
      </c>
      <c r="P57" s="1">
        <v>48719</v>
      </c>
      <c r="Q57" s="186">
        <f t="shared" si="8"/>
        <v>0.08874134790528233</v>
      </c>
      <c r="R57" s="239">
        <v>674800</v>
      </c>
      <c r="S57" s="239">
        <v>1297000</v>
      </c>
      <c r="T57" s="239">
        <v>341038</v>
      </c>
      <c r="U57" s="239"/>
      <c r="V57" s="239">
        <v>19764</v>
      </c>
      <c r="W57" s="32">
        <f t="shared" si="9"/>
        <v>321274</v>
      </c>
    </row>
    <row r="58" spans="1:23" ht="12.75">
      <c r="A58" s="8"/>
      <c r="B58" s="8"/>
      <c r="C58" s="26">
        <v>4280</v>
      </c>
      <c r="D58" s="27" t="s">
        <v>37</v>
      </c>
      <c r="E58" s="11">
        <v>900</v>
      </c>
      <c r="F58" s="11">
        <v>900</v>
      </c>
      <c r="G58" s="1">
        <v>900</v>
      </c>
      <c r="H58" s="1">
        <v>900</v>
      </c>
      <c r="I58" s="1"/>
      <c r="J58" s="1">
        <v>900</v>
      </c>
      <c r="K58" s="1">
        <v>700</v>
      </c>
      <c r="L58" s="1">
        <v>700</v>
      </c>
      <c r="M58" s="1">
        <v>900</v>
      </c>
      <c r="N58" s="1">
        <v>900</v>
      </c>
      <c r="O58" s="1">
        <v>900</v>
      </c>
      <c r="P58" s="1">
        <v>386</v>
      </c>
      <c r="Q58" s="186">
        <f t="shared" si="8"/>
        <v>0.4288888888888889</v>
      </c>
      <c r="R58" s="239">
        <v>900</v>
      </c>
      <c r="S58" s="239">
        <v>900</v>
      </c>
      <c r="T58" s="239">
        <v>900</v>
      </c>
      <c r="U58" s="239"/>
      <c r="V58" s="239"/>
      <c r="W58" s="32">
        <f t="shared" si="9"/>
        <v>900</v>
      </c>
    </row>
    <row r="59" spans="1:23" ht="12.75">
      <c r="A59" s="8"/>
      <c r="B59" s="8"/>
      <c r="C59" s="26">
        <v>4300</v>
      </c>
      <c r="D59" s="27" t="s">
        <v>17</v>
      </c>
      <c r="E59" s="11">
        <f>(1155000-30000+5500)*101.9%</f>
        <v>1151979.5000000002</v>
      </c>
      <c r="F59" s="11">
        <f>(1155000-30000+5500)*101.9%</f>
        <v>1151979.5000000002</v>
      </c>
      <c r="G59" s="1">
        <v>1234000</v>
      </c>
      <c r="H59" s="1">
        <v>1234000</v>
      </c>
      <c r="I59" s="1"/>
      <c r="J59" s="1">
        <v>1100000</v>
      </c>
      <c r="K59" s="1">
        <v>1103500</v>
      </c>
      <c r="L59" s="1">
        <v>1103500</v>
      </c>
      <c r="M59" s="1">
        <v>1275000</v>
      </c>
      <c r="N59" s="1">
        <v>1125000</v>
      </c>
      <c r="O59" s="1">
        <v>1255000</v>
      </c>
      <c r="P59" s="1">
        <v>633338</v>
      </c>
      <c r="Q59" s="186">
        <f t="shared" si="8"/>
        <v>0.5046517928286852</v>
      </c>
      <c r="R59" s="239">
        <v>1125000</v>
      </c>
      <c r="S59" s="239">
        <v>1330000</v>
      </c>
      <c r="T59" s="239">
        <v>1890000</v>
      </c>
      <c r="U59" s="239"/>
      <c r="V59" s="239"/>
      <c r="W59" s="32">
        <f t="shared" si="9"/>
        <v>1890000</v>
      </c>
    </row>
    <row r="60" spans="1:23" ht="24">
      <c r="A60" s="8"/>
      <c r="B60" s="8"/>
      <c r="C60" s="26">
        <v>4350</v>
      </c>
      <c r="D60" s="27" t="s">
        <v>38</v>
      </c>
      <c r="E60" s="11">
        <v>1120</v>
      </c>
      <c r="F60" s="11">
        <v>1120</v>
      </c>
      <c r="G60" s="1">
        <v>1120</v>
      </c>
      <c r="H60" s="1">
        <v>1120</v>
      </c>
      <c r="I60" s="1"/>
      <c r="J60" s="1">
        <v>1120</v>
      </c>
      <c r="K60" s="1">
        <v>1500</v>
      </c>
      <c r="L60" s="1">
        <v>1500</v>
      </c>
      <c r="M60" s="1">
        <v>1500</v>
      </c>
      <c r="N60" s="1">
        <v>1500</v>
      </c>
      <c r="O60" s="1">
        <v>1500</v>
      </c>
      <c r="P60" s="1">
        <v>512</v>
      </c>
      <c r="Q60" s="186">
        <f t="shared" si="8"/>
        <v>0.3413333333333333</v>
      </c>
      <c r="R60" s="239">
        <v>1500</v>
      </c>
      <c r="S60" s="239">
        <v>1600</v>
      </c>
      <c r="T60" s="239">
        <v>1500</v>
      </c>
      <c r="U60" s="239"/>
      <c r="V60" s="239"/>
      <c r="W60" s="32">
        <f t="shared" si="9"/>
        <v>1500</v>
      </c>
    </row>
    <row r="61" spans="1:23" ht="36">
      <c r="A61" s="8"/>
      <c r="B61" s="8"/>
      <c r="C61" s="26">
        <v>4360</v>
      </c>
      <c r="D61" s="27" t="s">
        <v>39</v>
      </c>
      <c r="E61" s="11">
        <v>6300</v>
      </c>
      <c r="F61" s="11">
        <v>6300</v>
      </c>
      <c r="G61" s="1">
        <v>6300</v>
      </c>
      <c r="H61" s="1">
        <v>6300</v>
      </c>
      <c r="I61" s="1"/>
      <c r="J61" s="1">
        <v>6300</v>
      </c>
      <c r="K61" s="1">
        <v>4200</v>
      </c>
      <c r="L61" s="1">
        <v>4200</v>
      </c>
      <c r="M61" s="1">
        <v>6300</v>
      </c>
      <c r="N61" s="1">
        <v>6300</v>
      </c>
      <c r="O61" s="1">
        <v>6300</v>
      </c>
      <c r="P61" s="1">
        <v>2486</v>
      </c>
      <c r="Q61" s="186">
        <f t="shared" si="8"/>
        <v>0.3946031746031746</v>
      </c>
      <c r="R61" s="239">
        <v>6300</v>
      </c>
      <c r="S61" s="239">
        <v>6600</v>
      </c>
      <c r="T61" s="239">
        <v>6600</v>
      </c>
      <c r="U61" s="239"/>
      <c r="V61" s="239"/>
      <c r="W61" s="32">
        <f t="shared" si="9"/>
        <v>6600</v>
      </c>
    </row>
    <row r="62" spans="1:23" ht="36">
      <c r="A62" s="8"/>
      <c r="B62" s="8"/>
      <c r="C62" s="26">
        <v>4370</v>
      </c>
      <c r="D62" s="27" t="s">
        <v>299</v>
      </c>
      <c r="E62" s="11">
        <v>6000</v>
      </c>
      <c r="F62" s="11">
        <v>6000</v>
      </c>
      <c r="G62" s="1">
        <v>6000</v>
      </c>
      <c r="H62" s="1">
        <v>6000</v>
      </c>
      <c r="I62" s="1"/>
      <c r="J62" s="1">
        <v>6000</v>
      </c>
      <c r="K62" s="1">
        <v>4300</v>
      </c>
      <c r="L62" s="1">
        <v>4300</v>
      </c>
      <c r="M62" s="1">
        <v>6000</v>
      </c>
      <c r="N62" s="1">
        <v>6000</v>
      </c>
      <c r="O62" s="1">
        <v>6000</v>
      </c>
      <c r="P62" s="1">
        <v>1979</v>
      </c>
      <c r="Q62" s="186">
        <f t="shared" si="8"/>
        <v>0.3298333333333333</v>
      </c>
      <c r="R62" s="239">
        <v>6000</v>
      </c>
      <c r="S62" s="239">
        <v>6300</v>
      </c>
      <c r="T62" s="239">
        <v>6300</v>
      </c>
      <c r="U62" s="239"/>
      <c r="V62" s="239"/>
      <c r="W62" s="32">
        <f t="shared" si="9"/>
        <v>6300</v>
      </c>
    </row>
    <row r="63" spans="1:23" ht="24">
      <c r="A63" s="8"/>
      <c r="B63" s="8"/>
      <c r="C63" s="26">
        <v>4390</v>
      </c>
      <c r="D63" s="27" t="s">
        <v>41</v>
      </c>
      <c r="E63" s="11"/>
      <c r="F63" s="11"/>
      <c r="G63" s="1"/>
      <c r="H63" s="1"/>
      <c r="I63" s="1"/>
      <c r="J63" s="1">
        <v>5000</v>
      </c>
      <c r="K63" s="1">
        <v>5000</v>
      </c>
      <c r="L63" s="1">
        <v>5000</v>
      </c>
      <c r="M63" s="1">
        <v>5000</v>
      </c>
      <c r="N63" s="1">
        <v>5000</v>
      </c>
      <c r="O63" s="1">
        <v>5000</v>
      </c>
      <c r="P63" s="1"/>
      <c r="Q63" s="186">
        <f t="shared" si="8"/>
        <v>0</v>
      </c>
      <c r="R63" s="239">
        <v>5000</v>
      </c>
      <c r="S63" s="239">
        <v>5000</v>
      </c>
      <c r="T63" s="239">
        <v>0</v>
      </c>
      <c r="U63" s="239"/>
      <c r="V63" s="239"/>
      <c r="W63" s="32">
        <f t="shared" si="9"/>
        <v>0</v>
      </c>
    </row>
    <row r="64" spans="1:23" ht="12.75">
      <c r="A64" s="8"/>
      <c r="B64" s="8"/>
      <c r="C64" s="26">
        <v>4410</v>
      </c>
      <c r="D64" s="27" t="s">
        <v>42</v>
      </c>
      <c r="E64" s="11">
        <v>3500</v>
      </c>
      <c r="F64" s="11">
        <v>3500</v>
      </c>
      <c r="G64" s="1">
        <v>3600</v>
      </c>
      <c r="H64" s="1">
        <v>3600</v>
      </c>
      <c r="I64" s="1"/>
      <c r="J64" s="1">
        <v>3600</v>
      </c>
      <c r="K64" s="1">
        <v>3600</v>
      </c>
      <c r="L64" s="1">
        <v>3600</v>
      </c>
      <c r="M64" s="1">
        <v>3700</v>
      </c>
      <c r="N64" s="1">
        <v>3700</v>
      </c>
      <c r="O64" s="1">
        <v>3700</v>
      </c>
      <c r="P64" s="1">
        <v>1213</v>
      </c>
      <c r="Q64" s="186">
        <f t="shared" si="8"/>
        <v>0.3278378378378378</v>
      </c>
      <c r="R64" s="239">
        <v>3700</v>
      </c>
      <c r="S64" s="239">
        <v>3900</v>
      </c>
      <c r="T64" s="239">
        <v>3700</v>
      </c>
      <c r="U64" s="239"/>
      <c r="V64" s="239"/>
      <c r="W64" s="32">
        <f t="shared" si="9"/>
        <v>3700</v>
      </c>
    </row>
    <row r="65" spans="1:23" ht="12.75">
      <c r="A65" s="8"/>
      <c r="B65" s="8"/>
      <c r="C65" s="26">
        <v>4430</v>
      </c>
      <c r="D65" s="27" t="s">
        <v>43</v>
      </c>
      <c r="E65" s="11">
        <v>7800</v>
      </c>
      <c r="F65" s="11">
        <v>7800</v>
      </c>
      <c r="G65" s="1">
        <v>9000</v>
      </c>
      <c r="H65" s="1">
        <v>9000</v>
      </c>
      <c r="I65" s="1"/>
      <c r="J65" s="1">
        <v>9000</v>
      </c>
      <c r="K65" s="1">
        <v>9000</v>
      </c>
      <c r="L65" s="1">
        <v>9000</v>
      </c>
      <c r="M65" s="1">
        <v>10000</v>
      </c>
      <c r="N65" s="1">
        <v>10000</v>
      </c>
      <c r="O65" s="1">
        <v>15000</v>
      </c>
      <c r="P65" s="1">
        <v>14199</v>
      </c>
      <c r="Q65" s="186">
        <f t="shared" si="8"/>
        <v>0.9466</v>
      </c>
      <c r="R65" s="239">
        <v>15000</v>
      </c>
      <c r="S65" s="239">
        <v>16000</v>
      </c>
      <c r="T65" s="239">
        <v>18300</v>
      </c>
      <c r="U65" s="239"/>
      <c r="V65" s="239"/>
      <c r="W65" s="32">
        <f t="shared" si="9"/>
        <v>18300</v>
      </c>
    </row>
    <row r="66" spans="1:23" ht="24">
      <c r="A66" s="8"/>
      <c r="B66" s="8"/>
      <c r="C66" s="26">
        <v>4440</v>
      </c>
      <c r="D66" s="27" t="s">
        <v>44</v>
      </c>
      <c r="E66" s="11">
        <v>19730</v>
      </c>
      <c r="F66" s="11">
        <v>18230</v>
      </c>
      <c r="G66" s="1">
        <v>18950</v>
      </c>
      <c r="H66" s="1">
        <v>18950</v>
      </c>
      <c r="I66" s="1"/>
      <c r="J66" s="1">
        <v>18950</v>
      </c>
      <c r="K66" s="1">
        <v>20090</v>
      </c>
      <c r="L66" s="1">
        <v>20090</v>
      </c>
      <c r="M66" s="1">
        <v>20900</v>
      </c>
      <c r="N66" s="1">
        <v>18330</v>
      </c>
      <c r="O66" s="1">
        <v>18330</v>
      </c>
      <c r="P66" s="1">
        <v>18330</v>
      </c>
      <c r="Q66" s="186">
        <f t="shared" si="8"/>
        <v>1</v>
      </c>
      <c r="R66" s="239">
        <v>24330</v>
      </c>
      <c r="S66" s="239">
        <v>25000</v>
      </c>
      <c r="T66" s="239">
        <v>25000</v>
      </c>
      <c r="U66" s="239"/>
      <c r="V66" s="239">
        <v>2110</v>
      </c>
      <c r="W66" s="32">
        <f t="shared" si="9"/>
        <v>22890</v>
      </c>
    </row>
    <row r="67" spans="1:23" ht="12.75">
      <c r="A67" s="8"/>
      <c r="B67" s="8"/>
      <c r="C67" s="26">
        <v>4480</v>
      </c>
      <c r="D67" s="27" t="s">
        <v>45</v>
      </c>
      <c r="E67" s="11">
        <v>6400</v>
      </c>
      <c r="F67" s="11">
        <v>6400</v>
      </c>
      <c r="G67" s="1">
        <v>6500</v>
      </c>
      <c r="H67" s="1">
        <v>6500</v>
      </c>
      <c r="I67" s="1"/>
      <c r="J67" s="1">
        <v>6500</v>
      </c>
      <c r="K67" s="1">
        <v>6775</v>
      </c>
      <c r="L67" s="1">
        <v>6775</v>
      </c>
      <c r="M67" s="1">
        <v>7000</v>
      </c>
      <c r="N67" s="1">
        <v>7000</v>
      </c>
      <c r="O67" s="1">
        <v>7000</v>
      </c>
      <c r="P67" s="1">
        <v>3841</v>
      </c>
      <c r="Q67" s="186">
        <f t="shared" si="8"/>
        <v>0.5487142857142857</v>
      </c>
      <c r="R67" s="239">
        <v>7000</v>
      </c>
      <c r="S67" s="239">
        <v>7500</v>
      </c>
      <c r="T67" s="239">
        <v>7500</v>
      </c>
      <c r="U67" s="239">
        <v>435</v>
      </c>
      <c r="V67" s="239"/>
      <c r="W67" s="32">
        <f t="shared" si="9"/>
        <v>7935</v>
      </c>
    </row>
    <row r="68" spans="1:23" ht="36">
      <c r="A68" s="8"/>
      <c r="B68" s="8"/>
      <c r="C68" s="26">
        <v>4700</v>
      </c>
      <c r="D68" s="27" t="s">
        <v>46</v>
      </c>
      <c r="E68" s="11">
        <v>5000</v>
      </c>
      <c r="F68" s="11">
        <v>5000</v>
      </c>
      <c r="G68" s="1">
        <v>10000</v>
      </c>
      <c r="H68" s="1">
        <v>10000</v>
      </c>
      <c r="I68" s="1"/>
      <c r="J68" s="1">
        <v>5000</v>
      </c>
      <c r="K68" s="1">
        <v>5000</v>
      </c>
      <c r="L68" s="1">
        <v>5000</v>
      </c>
      <c r="M68" s="1">
        <v>5000</v>
      </c>
      <c r="N68" s="1">
        <v>5000</v>
      </c>
      <c r="O68" s="1">
        <v>5000</v>
      </c>
      <c r="P68" s="1">
        <v>2714</v>
      </c>
      <c r="Q68" s="186">
        <f t="shared" si="8"/>
        <v>0.5428</v>
      </c>
      <c r="R68" s="239">
        <v>5000</v>
      </c>
      <c r="S68" s="239">
        <v>5250</v>
      </c>
      <c r="T68" s="239">
        <v>5000</v>
      </c>
      <c r="U68" s="239"/>
      <c r="V68" s="239"/>
      <c r="W68" s="32">
        <f t="shared" si="9"/>
        <v>5000</v>
      </c>
    </row>
    <row r="69" spans="1:23" ht="24">
      <c r="A69" s="8"/>
      <c r="B69" s="8"/>
      <c r="C69" s="26">
        <v>4740</v>
      </c>
      <c r="D69" s="27" t="s">
        <v>47</v>
      </c>
      <c r="E69" s="11">
        <v>1000</v>
      </c>
      <c r="F69" s="11">
        <v>1000</v>
      </c>
      <c r="G69" s="1">
        <v>1000</v>
      </c>
      <c r="H69" s="1">
        <v>1000</v>
      </c>
      <c r="I69" s="1"/>
      <c r="J69" s="1">
        <v>1000</v>
      </c>
      <c r="K69" s="1">
        <v>1000</v>
      </c>
      <c r="L69" s="1">
        <v>1000</v>
      </c>
      <c r="M69" s="1">
        <v>1000</v>
      </c>
      <c r="N69" s="1">
        <v>1000</v>
      </c>
      <c r="O69" s="1">
        <v>1000</v>
      </c>
      <c r="P69" s="1">
        <v>134</v>
      </c>
      <c r="Q69" s="186">
        <f t="shared" si="8"/>
        <v>0.134</v>
      </c>
      <c r="R69" s="239">
        <v>1000</v>
      </c>
      <c r="S69" s="239">
        <v>1000</v>
      </c>
      <c r="T69" s="239">
        <v>1000</v>
      </c>
      <c r="U69" s="239"/>
      <c r="V69" s="239"/>
      <c r="W69" s="32">
        <f t="shared" si="9"/>
        <v>1000</v>
      </c>
    </row>
    <row r="70" spans="1:23" ht="12.75">
      <c r="A70" s="8"/>
      <c r="B70" s="8"/>
      <c r="C70" s="26">
        <v>4750</v>
      </c>
      <c r="D70" s="27" t="s">
        <v>48</v>
      </c>
      <c r="E70" s="11">
        <v>2000</v>
      </c>
      <c r="F70" s="11">
        <v>2000</v>
      </c>
      <c r="G70" s="1">
        <v>5000</v>
      </c>
      <c r="H70" s="1">
        <v>5000</v>
      </c>
      <c r="I70" s="1"/>
      <c r="J70" s="1">
        <v>5000</v>
      </c>
      <c r="K70" s="1">
        <v>5215</v>
      </c>
      <c r="L70" s="1">
        <v>5215</v>
      </c>
      <c r="M70" s="1">
        <v>5000</v>
      </c>
      <c r="N70" s="1">
        <v>5000</v>
      </c>
      <c r="O70" s="1">
        <v>5000</v>
      </c>
      <c r="P70" s="1">
        <v>551</v>
      </c>
      <c r="Q70" s="186">
        <f t="shared" si="8"/>
        <v>0.1102</v>
      </c>
      <c r="R70" s="239">
        <v>5000</v>
      </c>
      <c r="S70" s="239">
        <v>5000</v>
      </c>
      <c r="T70" s="239">
        <v>5000</v>
      </c>
      <c r="U70" s="239"/>
      <c r="V70" s="239">
        <v>2000</v>
      </c>
      <c r="W70" s="32">
        <f t="shared" si="9"/>
        <v>3000</v>
      </c>
    </row>
    <row r="71" spans="1:23" ht="24">
      <c r="A71" s="8"/>
      <c r="B71" s="8"/>
      <c r="C71" s="9">
        <v>6050</v>
      </c>
      <c r="D71" s="10" t="s">
        <v>49</v>
      </c>
      <c r="E71" s="11">
        <v>300000</v>
      </c>
      <c r="F71" s="11">
        <v>1200000</v>
      </c>
      <c r="G71" s="12">
        <v>2836000</v>
      </c>
      <c r="H71" s="12">
        <v>2836000</v>
      </c>
      <c r="I71" s="12"/>
      <c r="J71" s="1">
        <v>400000</v>
      </c>
      <c r="K71" s="1">
        <v>1360600</v>
      </c>
      <c r="L71" s="1">
        <v>1360600</v>
      </c>
      <c r="M71" s="1">
        <v>350000</v>
      </c>
      <c r="N71" s="1">
        <v>13250000</v>
      </c>
      <c r="O71" s="1">
        <v>6890000</v>
      </c>
      <c r="P71" s="1">
        <v>40182</v>
      </c>
      <c r="Q71" s="186">
        <f>P71/O71</f>
        <v>0.005831930333817127</v>
      </c>
      <c r="R71" s="239">
        <v>7296028</v>
      </c>
      <c r="S71" s="239">
        <v>2750000</v>
      </c>
      <c r="T71" s="239">
        <v>7666954</v>
      </c>
      <c r="U71" s="239"/>
      <c r="V71" s="239">
        <v>1760556</v>
      </c>
      <c r="W71" s="32">
        <f t="shared" si="9"/>
        <v>5906398</v>
      </c>
    </row>
    <row r="72" spans="1:23" ht="24" hidden="1">
      <c r="A72" s="8"/>
      <c r="B72" s="8"/>
      <c r="C72" s="9">
        <v>6058</v>
      </c>
      <c r="D72" s="10" t="s">
        <v>49</v>
      </c>
      <c r="E72" s="11">
        <v>300000</v>
      </c>
      <c r="F72" s="11">
        <v>1200000</v>
      </c>
      <c r="G72" s="12">
        <v>2836000</v>
      </c>
      <c r="H72" s="12">
        <v>2836000</v>
      </c>
      <c r="I72" s="12"/>
      <c r="J72" s="1"/>
      <c r="K72" s="1">
        <v>360144</v>
      </c>
      <c r="L72" s="1">
        <v>360144</v>
      </c>
      <c r="M72" s="1">
        <v>882000</v>
      </c>
      <c r="N72" s="1">
        <v>493000</v>
      </c>
      <c r="O72" s="1">
        <v>3590340</v>
      </c>
      <c r="P72" s="1">
        <v>35000</v>
      </c>
      <c r="Q72" s="186">
        <f>P72/O72</f>
        <v>0.009748380376231778</v>
      </c>
      <c r="R72" s="239">
        <v>2222512</v>
      </c>
      <c r="S72" s="239">
        <v>9370202</v>
      </c>
      <c r="T72" s="239">
        <v>0</v>
      </c>
      <c r="U72" s="239"/>
      <c r="V72" s="239"/>
      <c r="W72" s="32">
        <f t="shared" si="9"/>
        <v>0</v>
      </c>
    </row>
    <row r="73" spans="1:23" ht="24">
      <c r="A73" s="8"/>
      <c r="B73" s="8"/>
      <c r="C73" s="9">
        <v>6059</v>
      </c>
      <c r="D73" s="10" t="s">
        <v>49</v>
      </c>
      <c r="E73" s="11">
        <v>300000</v>
      </c>
      <c r="F73" s="11">
        <v>1200000</v>
      </c>
      <c r="G73" s="12">
        <v>2836000</v>
      </c>
      <c r="H73" s="12">
        <v>2836000</v>
      </c>
      <c r="I73" s="12"/>
      <c r="J73" s="1"/>
      <c r="K73" s="1">
        <v>254856</v>
      </c>
      <c r="L73" s="1">
        <v>254856</v>
      </c>
      <c r="M73" s="1">
        <v>588000</v>
      </c>
      <c r="N73" s="1">
        <v>357000</v>
      </c>
      <c r="O73" s="1">
        <v>2947660</v>
      </c>
      <c r="P73" s="1">
        <v>35000</v>
      </c>
      <c r="Q73" s="186">
        <f>P73/O73</f>
        <v>0.011873825339421778</v>
      </c>
      <c r="R73" s="239">
        <v>2106765</v>
      </c>
      <c r="S73" s="239">
        <v>8305135</v>
      </c>
      <c r="T73" s="239">
        <v>3533596</v>
      </c>
      <c r="U73" s="239">
        <v>19764</v>
      </c>
      <c r="V73" s="239"/>
      <c r="W73" s="32">
        <f t="shared" si="9"/>
        <v>3553360</v>
      </c>
    </row>
    <row r="74" spans="1:23" ht="28.5" customHeight="1">
      <c r="A74" s="8"/>
      <c r="B74" s="8"/>
      <c r="C74" s="9"/>
      <c r="D74" s="10" t="s">
        <v>362</v>
      </c>
      <c r="E74" s="11"/>
      <c r="F74" s="11"/>
      <c r="G74" s="12"/>
      <c r="H74" s="12"/>
      <c r="I74" s="12"/>
      <c r="J74" s="1"/>
      <c r="K74" s="1"/>
      <c r="L74" s="1"/>
      <c r="M74" s="1"/>
      <c r="N74" s="1"/>
      <c r="O74" s="1"/>
      <c r="P74" s="1"/>
      <c r="Q74" s="186"/>
      <c r="R74" s="1"/>
      <c r="S74" s="1"/>
      <c r="T74" s="1">
        <v>87500</v>
      </c>
      <c r="U74" s="1">
        <f>SUM(U75)</f>
        <v>0</v>
      </c>
      <c r="V74" s="1">
        <f>SUM(V75)</f>
        <v>0</v>
      </c>
      <c r="W74" s="32">
        <f t="shared" si="9"/>
        <v>87500</v>
      </c>
    </row>
    <row r="75" spans="1:23" ht="72">
      <c r="A75" s="8"/>
      <c r="B75" s="8"/>
      <c r="C75" s="26">
        <v>6610</v>
      </c>
      <c r="D75" s="27" t="s">
        <v>360</v>
      </c>
      <c r="E75" s="11"/>
      <c r="F75" s="11"/>
      <c r="G75" s="1"/>
      <c r="H75" s="1"/>
      <c r="I75" s="1"/>
      <c r="J75" s="1"/>
      <c r="K75" s="1"/>
      <c r="L75" s="1"/>
      <c r="M75" s="1"/>
      <c r="N75" s="1"/>
      <c r="O75" s="1"/>
      <c r="P75" s="1"/>
      <c r="Q75" s="186"/>
      <c r="R75" s="239"/>
      <c r="S75" s="239"/>
      <c r="T75" s="239">
        <v>87500</v>
      </c>
      <c r="U75" s="239"/>
      <c r="V75" s="239"/>
      <c r="W75" s="32">
        <f>T75+U75-V75</f>
        <v>87500</v>
      </c>
    </row>
    <row r="76" spans="1:23" ht="12">
      <c r="A76" s="8">
        <v>700</v>
      </c>
      <c r="B76" s="8"/>
      <c r="C76" s="29"/>
      <c r="D76" s="43" t="s">
        <v>51</v>
      </c>
      <c r="E76" s="31">
        <f>E77</f>
        <v>38300</v>
      </c>
      <c r="F76" s="31">
        <f>F77</f>
        <v>192309</v>
      </c>
      <c r="G76" s="32" t="e">
        <f>G77</f>
        <v>#REF!</v>
      </c>
      <c r="H76" s="32" t="e">
        <f>H77</f>
        <v>#REF!</v>
      </c>
      <c r="I76" s="32"/>
      <c r="J76" s="32">
        <f aca="true" t="shared" si="10" ref="J76:S76">J77</f>
        <v>41160</v>
      </c>
      <c r="K76" s="32">
        <f t="shared" si="10"/>
        <v>196384</v>
      </c>
      <c r="L76" s="32" t="e">
        <f t="shared" si="10"/>
        <v>#REF!</v>
      </c>
      <c r="M76" s="32" t="e">
        <f t="shared" si="10"/>
        <v>#REF!</v>
      </c>
      <c r="N76" s="32">
        <v>230900</v>
      </c>
      <c r="O76" s="32">
        <v>260825</v>
      </c>
      <c r="P76" s="32">
        <f t="shared" si="10"/>
        <v>38199</v>
      </c>
      <c r="Q76" s="186">
        <f t="shared" si="1"/>
        <v>0.14645451931371609</v>
      </c>
      <c r="R76" s="32">
        <f t="shared" si="10"/>
        <v>272825</v>
      </c>
      <c r="S76" s="32">
        <f t="shared" si="10"/>
        <v>940100</v>
      </c>
      <c r="T76" s="32">
        <v>1194600</v>
      </c>
      <c r="U76" s="32">
        <f>U77</f>
        <v>38500</v>
      </c>
      <c r="V76" s="32">
        <f>V77</f>
        <v>0</v>
      </c>
      <c r="W76" s="32">
        <f t="shared" si="2"/>
        <v>1233100</v>
      </c>
    </row>
    <row r="77" spans="1:23" ht="24">
      <c r="A77" s="33"/>
      <c r="B77" s="33">
        <v>70005</v>
      </c>
      <c r="C77" s="36"/>
      <c r="D77" s="42" t="s">
        <v>52</v>
      </c>
      <c r="E77" s="35">
        <f>SUM(E78:E92)</f>
        <v>38300</v>
      </c>
      <c r="F77" s="35">
        <f>SUM(F78:F92)</f>
        <v>192309</v>
      </c>
      <c r="G77" s="35" t="e">
        <f>SUM(G78:G92)</f>
        <v>#REF!</v>
      </c>
      <c r="H77" s="35" t="e">
        <f>SUM(H78:H92)</f>
        <v>#REF!</v>
      </c>
      <c r="I77" s="35"/>
      <c r="J77" s="35">
        <f>SUM(J78:J92)</f>
        <v>41160</v>
      </c>
      <c r="K77" s="35">
        <f>SUM(K78:K92)</f>
        <v>196384</v>
      </c>
      <c r="L77" s="35" t="e">
        <f>SUM(L78:L92)</f>
        <v>#REF!</v>
      </c>
      <c r="M77" s="35" t="e">
        <f>SUM(M78:M92)</f>
        <v>#REF!</v>
      </c>
      <c r="N77" s="35">
        <v>230900</v>
      </c>
      <c r="O77" s="35">
        <v>260825</v>
      </c>
      <c r="P77" s="35">
        <f>SUM(P78:P93)</f>
        <v>38199</v>
      </c>
      <c r="Q77" s="186">
        <f t="shared" si="1"/>
        <v>0.14645451931371609</v>
      </c>
      <c r="R77" s="35">
        <f>SUM(R78:R93)</f>
        <v>272825</v>
      </c>
      <c r="S77" s="35">
        <f>SUM(S78:S93)</f>
        <v>940100</v>
      </c>
      <c r="T77" s="35">
        <v>1194600</v>
      </c>
      <c r="U77" s="35">
        <f>SUM(U78:U93)</f>
        <v>38500</v>
      </c>
      <c r="V77" s="35">
        <f>SUM(V78:V93)</f>
        <v>0</v>
      </c>
      <c r="W77" s="32">
        <f t="shared" si="2"/>
        <v>1233100</v>
      </c>
    </row>
    <row r="78" spans="1:23" ht="12">
      <c r="A78" s="44"/>
      <c r="B78" s="44"/>
      <c r="C78" s="45">
        <v>4260</v>
      </c>
      <c r="D78" s="46" t="s">
        <v>35</v>
      </c>
      <c r="E78" s="11">
        <v>6600</v>
      </c>
      <c r="F78" s="11">
        <v>6600</v>
      </c>
      <c r="G78" s="12">
        <f>G108</f>
        <v>6750</v>
      </c>
      <c r="H78" s="11">
        <f>G78</f>
        <v>6750</v>
      </c>
      <c r="I78" s="11"/>
      <c r="J78" s="47">
        <v>6750</v>
      </c>
      <c r="K78" s="47">
        <f>K108</f>
        <v>6750</v>
      </c>
      <c r="L78" s="47">
        <f>L108</f>
        <v>6750</v>
      </c>
      <c r="M78" s="47">
        <f>M108</f>
        <v>6945.750000000001</v>
      </c>
      <c r="N78" s="47">
        <v>7000</v>
      </c>
      <c r="O78" s="47">
        <v>7000</v>
      </c>
      <c r="P78" s="47">
        <v>3564</v>
      </c>
      <c r="Q78" s="186">
        <f t="shared" si="1"/>
        <v>0.5091428571428571</v>
      </c>
      <c r="R78" s="47">
        <v>7000</v>
      </c>
      <c r="S78" s="47">
        <v>200000</v>
      </c>
      <c r="T78" s="47">
        <v>200000</v>
      </c>
      <c r="U78" s="47"/>
      <c r="V78" s="47"/>
      <c r="W78" s="32">
        <f t="shared" si="2"/>
        <v>200000</v>
      </c>
    </row>
    <row r="79" spans="1:23" ht="12">
      <c r="A79" s="48"/>
      <c r="B79" s="48"/>
      <c r="C79" s="45">
        <v>4270</v>
      </c>
      <c r="D79" s="46" t="s">
        <v>53</v>
      </c>
      <c r="E79" s="11">
        <v>300</v>
      </c>
      <c r="F79" s="11">
        <v>1600</v>
      </c>
      <c r="G79" s="12" t="e">
        <f>#REF!+G109</f>
        <v>#REF!</v>
      </c>
      <c r="H79" s="11" t="e">
        <f>G79</f>
        <v>#REF!</v>
      </c>
      <c r="I79" s="11"/>
      <c r="J79" s="47">
        <v>310</v>
      </c>
      <c r="K79" s="47">
        <v>585</v>
      </c>
      <c r="L79" s="47">
        <f>L96+L109</f>
        <v>585</v>
      </c>
      <c r="M79" s="47">
        <f>M96+M109</f>
        <v>3601.965</v>
      </c>
      <c r="N79" s="47">
        <v>3600</v>
      </c>
      <c r="O79" s="47">
        <v>3600</v>
      </c>
      <c r="P79" s="47">
        <v>263</v>
      </c>
      <c r="Q79" s="186">
        <f t="shared" si="1"/>
        <v>0.07305555555555555</v>
      </c>
      <c r="R79" s="47">
        <v>3600</v>
      </c>
      <c r="S79" s="47">
        <v>12200</v>
      </c>
      <c r="T79" s="47">
        <v>12200</v>
      </c>
      <c r="U79" s="47">
        <v>29200</v>
      </c>
      <c r="V79" s="47"/>
      <c r="W79" s="32">
        <f t="shared" si="2"/>
        <v>41400</v>
      </c>
    </row>
    <row r="80" spans="1:25" ht="12">
      <c r="A80" s="48"/>
      <c r="B80" s="48"/>
      <c r="C80" s="45">
        <v>4300</v>
      </c>
      <c r="D80" s="46" t="s">
        <v>17</v>
      </c>
      <c r="E80" s="11">
        <v>6900</v>
      </c>
      <c r="F80" s="11">
        <v>7300</v>
      </c>
      <c r="G80" s="12">
        <f>G96+G110</f>
        <v>8900</v>
      </c>
      <c r="H80" s="11">
        <f>G80</f>
        <v>8900</v>
      </c>
      <c r="I80" s="11"/>
      <c r="J80" s="47">
        <v>8900</v>
      </c>
      <c r="K80" s="47">
        <v>10793</v>
      </c>
      <c r="L80" s="47" t="e">
        <f>#REF!+L110</f>
        <v>#REF!</v>
      </c>
      <c r="M80" s="47" t="e">
        <f>#REF!+M110</f>
        <v>#REF!</v>
      </c>
      <c r="N80" s="47">
        <v>8300</v>
      </c>
      <c r="O80" s="47">
        <v>8300</v>
      </c>
      <c r="P80" s="47">
        <v>1589</v>
      </c>
      <c r="Q80" s="186">
        <f t="shared" si="1"/>
        <v>0.19144578313253013</v>
      </c>
      <c r="R80" s="47">
        <v>9800</v>
      </c>
      <c r="S80" s="47">
        <v>31400</v>
      </c>
      <c r="T80" s="47">
        <v>38400</v>
      </c>
      <c r="U80" s="47"/>
      <c r="V80" s="47"/>
      <c r="W80" s="32">
        <f t="shared" si="2"/>
        <v>38400</v>
      </c>
      <c r="Y80" s="225">
        <f>84112-2210-14662</f>
        <v>67240</v>
      </c>
    </row>
    <row r="81" spans="1:23" ht="24">
      <c r="A81" s="48"/>
      <c r="B81" s="48"/>
      <c r="C81" s="45">
        <v>4350</v>
      </c>
      <c r="D81" s="46" t="s">
        <v>331</v>
      </c>
      <c r="E81" s="11"/>
      <c r="F81" s="11"/>
      <c r="G81" s="12"/>
      <c r="H81" s="11"/>
      <c r="I81" s="11"/>
      <c r="J81" s="47"/>
      <c r="K81" s="47"/>
      <c r="L81" s="47"/>
      <c r="M81" s="47"/>
      <c r="N81" s="47"/>
      <c r="O81" s="47"/>
      <c r="P81" s="47"/>
      <c r="Q81" s="186"/>
      <c r="R81" s="47"/>
      <c r="S81" s="47">
        <v>4000</v>
      </c>
      <c r="T81" s="47">
        <v>4000</v>
      </c>
      <c r="U81" s="47"/>
      <c r="V81" s="47"/>
      <c r="W81" s="32">
        <f t="shared" si="2"/>
        <v>4000</v>
      </c>
    </row>
    <row r="82" spans="1:23" ht="24">
      <c r="A82" s="48"/>
      <c r="B82" s="48"/>
      <c r="C82" s="45">
        <v>4380</v>
      </c>
      <c r="D82" s="46" t="s">
        <v>378</v>
      </c>
      <c r="E82" s="11"/>
      <c r="F82" s="11"/>
      <c r="G82" s="12"/>
      <c r="H82" s="11"/>
      <c r="I82" s="11"/>
      <c r="J82" s="47"/>
      <c r="K82" s="47"/>
      <c r="L82" s="47"/>
      <c r="M82" s="47"/>
      <c r="N82" s="47"/>
      <c r="O82" s="47"/>
      <c r="P82" s="47"/>
      <c r="Q82" s="186"/>
      <c r="R82" s="47"/>
      <c r="S82" s="47"/>
      <c r="T82" s="47">
        <v>28700</v>
      </c>
      <c r="U82" s="47"/>
      <c r="V82" s="47"/>
      <c r="W82" s="32">
        <f t="shared" si="2"/>
        <v>28700</v>
      </c>
    </row>
    <row r="83" spans="1:23" ht="24">
      <c r="A83" s="48"/>
      <c r="B83" s="48"/>
      <c r="C83" s="45">
        <v>4390</v>
      </c>
      <c r="D83" s="46" t="s">
        <v>378</v>
      </c>
      <c r="E83" s="11">
        <v>22840</v>
      </c>
      <c r="F83" s="11">
        <v>31969</v>
      </c>
      <c r="G83" s="12" t="e">
        <f>#REF!+G112</f>
        <v>#REF!</v>
      </c>
      <c r="H83" s="11" t="e">
        <f>G83</f>
        <v>#REF!</v>
      </c>
      <c r="I83" s="11"/>
      <c r="J83" s="47">
        <v>23500</v>
      </c>
      <c r="K83" s="47">
        <v>85283</v>
      </c>
      <c r="L83" s="47">
        <f>L100+L112</f>
        <v>85283</v>
      </c>
      <c r="M83" s="47">
        <f>M100+M112</f>
        <v>90000</v>
      </c>
      <c r="N83" s="47">
        <v>90000</v>
      </c>
      <c r="O83" s="47">
        <v>81000</v>
      </c>
      <c r="P83" s="47">
        <v>5806</v>
      </c>
      <c r="Q83" s="186">
        <f t="shared" si="1"/>
        <v>0.07167901234567901</v>
      </c>
      <c r="R83" s="47">
        <v>93000</v>
      </c>
      <c r="S83" s="47">
        <v>136000</v>
      </c>
      <c r="T83" s="47">
        <v>108500</v>
      </c>
      <c r="U83" s="47"/>
      <c r="V83" s="47"/>
      <c r="W83" s="32">
        <f t="shared" si="2"/>
        <v>108500</v>
      </c>
    </row>
    <row r="84" spans="1:23" ht="24">
      <c r="A84" s="48"/>
      <c r="B84" s="48"/>
      <c r="C84" s="45">
        <v>4370</v>
      </c>
      <c r="D84" s="27" t="s">
        <v>40</v>
      </c>
      <c r="E84" s="11"/>
      <c r="F84" s="11"/>
      <c r="G84" s="12"/>
      <c r="H84" s="11"/>
      <c r="I84" s="11"/>
      <c r="J84" s="47"/>
      <c r="K84" s="47"/>
      <c r="L84" s="47"/>
      <c r="M84" s="47"/>
      <c r="N84" s="47"/>
      <c r="O84" s="47"/>
      <c r="P84" s="47"/>
      <c r="Q84" s="186"/>
      <c r="R84" s="47"/>
      <c r="S84" s="47"/>
      <c r="T84" s="47"/>
      <c r="U84" s="47">
        <v>9300</v>
      </c>
      <c r="V84" s="47"/>
      <c r="W84" s="32">
        <f t="shared" si="2"/>
        <v>9300</v>
      </c>
    </row>
    <row r="85" spans="1:23" ht="36">
      <c r="A85" s="48"/>
      <c r="B85" s="48"/>
      <c r="C85" s="45">
        <v>4400</v>
      </c>
      <c r="D85" s="46" t="s">
        <v>72</v>
      </c>
      <c r="E85" s="11"/>
      <c r="F85" s="11"/>
      <c r="G85" s="12"/>
      <c r="H85" s="11"/>
      <c r="I85" s="11"/>
      <c r="J85" s="47"/>
      <c r="K85" s="47"/>
      <c r="L85" s="47"/>
      <c r="M85" s="47"/>
      <c r="N85" s="47"/>
      <c r="O85" s="47"/>
      <c r="P85" s="47"/>
      <c r="Q85" s="186"/>
      <c r="R85" s="47"/>
      <c r="S85" s="47">
        <v>200000</v>
      </c>
      <c r="T85" s="47">
        <v>200000</v>
      </c>
      <c r="U85" s="47"/>
      <c r="V85" s="47"/>
      <c r="W85" s="32">
        <f t="shared" si="2"/>
        <v>200000</v>
      </c>
    </row>
    <row r="86" spans="1:23" ht="12">
      <c r="A86" s="44"/>
      <c r="B86" s="44"/>
      <c r="C86" s="45">
        <v>4480</v>
      </c>
      <c r="D86" s="46" t="s">
        <v>45</v>
      </c>
      <c r="E86" s="11">
        <v>1660</v>
      </c>
      <c r="F86" s="11">
        <v>1660</v>
      </c>
      <c r="G86" s="12">
        <f>G100</f>
        <v>1700</v>
      </c>
      <c r="H86" s="11">
        <f>G86</f>
        <v>1700</v>
      </c>
      <c r="I86" s="11"/>
      <c r="J86" s="47">
        <v>1700</v>
      </c>
      <c r="K86" s="47">
        <v>1311</v>
      </c>
      <c r="L86" s="47">
        <f>L101</f>
        <v>1311</v>
      </c>
      <c r="M86" s="47">
        <f>M101</f>
        <v>1000</v>
      </c>
      <c r="N86" s="47">
        <v>1000</v>
      </c>
      <c r="O86" s="47">
        <v>1000</v>
      </c>
      <c r="P86" s="47">
        <v>652</v>
      </c>
      <c r="Q86" s="186">
        <f t="shared" si="1"/>
        <v>0.652</v>
      </c>
      <c r="R86" s="47">
        <v>1000</v>
      </c>
      <c r="S86" s="47">
        <v>1500</v>
      </c>
      <c r="T86" s="47">
        <v>1500</v>
      </c>
      <c r="U86" s="47"/>
      <c r="V86" s="47"/>
      <c r="W86" s="32">
        <f t="shared" si="2"/>
        <v>1500</v>
      </c>
    </row>
    <row r="87" spans="1:23" ht="18" customHeight="1">
      <c r="A87" s="44"/>
      <c r="B87" s="44"/>
      <c r="C87" s="45">
        <v>4580</v>
      </c>
      <c r="D87" s="46" t="s">
        <v>54</v>
      </c>
      <c r="E87" s="12"/>
      <c r="F87" s="11">
        <v>775</v>
      </c>
      <c r="G87" s="12"/>
      <c r="H87" s="12"/>
      <c r="I87" s="12">
        <f>F87+G87-H87</f>
        <v>775</v>
      </c>
      <c r="J87" s="49"/>
      <c r="K87" s="49">
        <v>343</v>
      </c>
      <c r="L87" s="49">
        <f>L102</f>
        <v>343</v>
      </c>
      <c r="M87" s="49">
        <f>M102</f>
        <v>0</v>
      </c>
      <c r="N87" s="49">
        <v>0</v>
      </c>
      <c r="O87" s="49">
        <v>45</v>
      </c>
      <c r="P87" s="49">
        <v>45</v>
      </c>
      <c r="Q87" s="186">
        <f t="shared" si="1"/>
        <v>1</v>
      </c>
      <c r="R87" s="49">
        <v>45</v>
      </c>
      <c r="S87" s="49">
        <v>0</v>
      </c>
      <c r="T87" s="49">
        <v>0</v>
      </c>
      <c r="U87" s="49"/>
      <c r="V87" s="49"/>
      <c r="W87" s="32">
        <f t="shared" si="2"/>
        <v>0</v>
      </c>
    </row>
    <row r="88" spans="1:23" ht="24">
      <c r="A88" s="44"/>
      <c r="B88" s="44"/>
      <c r="C88" s="45">
        <v>4590</v>
      </c>
      <c r="D88" s="46" t="s">
        <v>55</v>
      </c>
      <c r="E88" s="12"/>
      <c r="F88" s="11">
        <v>142405</v>
      </c>
      <c r="G88" s="12"/>
      <c r="H88" s="12"/>
      <c r="I88" s="12">
        <f>F88+G88-H88</f>
        <v>142405</v>
      </c>
      <c r="J88" s="49"/>
      <c r="K88" s="49">
        <v>65719</v>
      </c>
      <c r="L88" s="49">
        <f>L103+L115</f>
        <v>65719</v>
      </c>
      <c r="M88" s="49">
        <f>M103+M115</f>
        <v>65000</v>
      </c>
      <c r="N88" s="49">
        <v>39000</v>
      </c>
      <c r="O88" s="49">
        <v>68880</v>
      </c>
      <c r="P88" s="49">
        <v>26280</v>
      </c>
      <c r="Q88" s="186">
        <f t="shared" si="1"/>
        <v>0.38153310104529614</v>
      </c>
      <c r="R88" s="49">
        <v>68880</v>
      </c>
      <c r="S88" s="49">
        <v>30000</v>
      </c>
      <c r="T88" s="49">
        <v>30000</v>
      </c>
      <c r="U88" s="49"/>
      <c r="V88" s="49"/>
      <c r="W88" s="32">
        <f t="shared" si="2"/>
        <v>30000</v>
      </c>
    </row>
    <row r="89" spans="1:23" ht="36">
      <c r="A89" s="44"/>
      <c r="B89" s="44"/>
      <c r="C89" s="45">
        <v>4700</v>
      </c>
      <c r="D89" s="46" t="s">
        <v>46</v>
      </c>
      <c r="E89" s="12"/>
      <c r="F89" s="11"/>
      <c r="G89" s="12"/>
      <c r="H89" s="12"/>
      <c r="I89" s="12"/>
      <c r="J89" s="49"/>
      <c r="K89" s="49"/>
      <c r="L89" s="49"/>
      <c r="M89" s="49"/>
      <c r="N89" s="49"/>
      <c r="O89" s="49"/>
      <c r="P89" s="49"/>
      <c r="Q89" s="186"/>
      <c r="R89" s="49"/>
      <c r="S89" s="49"/>
      <c r="T89" s="49">
        <v>2000</v>
      </c>
      <c r="U89" s="49"/>
      <c r="V89" s="49"/>
      <c r="W89" s="32">
        <f t="shared" si="2"/>
        <v>2000</v>
      </c>
    </row>
    <row r="90" spans="1:23" ht="12" hidden="1">
      <c r="A90" s="44"/>
      <c r="B90" s="44"/>
      <c r="C90" s="45"/>
      <c r="D90" s="46"/>
      <c r="E90" s="12"/>
      <c r="F90" s="11"/>
      <c r="G90" s="12"/>
      <c r="H90" s="12"/>
      <c r="I90" s="12"/>
      <c r="J90" s="49"/>
      <c r="K90" s="49"/>
      <c r="L90" s="49"/>
      <c r="M90" s="49"/>
      <c r="N90" s="49"/>
      <c r="O90" s="49"/>
      <c r="P90" s="49"/>
      <c r="Q90" s="186"/>
      <c r="R90" s="49"/>
      <c r="S90" s="49"/>
      <c r="T90" s="49"/>
      <c r="U90" s="49"/>
      <c r="V90" s="49"/>
      <c r="W90" s="32"/>
    </row>
    <row r="91" spans="1:23" ht="24">
      <c r="A91" s="44"/>
      <c r="B91" s="44"/>
      <c r="C91" s="45">
        <v>4610</v>
      </c>
      <c r="D91" s="46" t="s">
        <v>56</v>
      </c>
      <c r="E91" s="12"/>
      <c r="F91" s="11"/>
      <c r="G91" s="12"/>
      <c r="H91" s="12"/>
      <c r="I91" s="12"/>
      <c r="J91" s="49"/>
      <c r="K91" s="49">
        <v>600</v>
      </c>
      <c r="L91" s="49">
        <f>L104</f>
        <v>600</v>
      </c>
      <c r="M91" s="49">
        <f>M104</f>
        <v>2000</v>
      </c>
      <c r="N91" s="49">
        <v>2000</v>
      </c>
      <c r="O91" s="49">
        <v>2000</v>
      </c>
      <c r="P91" s="49"/>
      <c r="Q91" s="186">
        <f t="shared" si="1"/>
        <v>0</v>
      </c>
      <c r="R91" s="49">
        <v>500</v>
      </c>
      <c r="S91" s="49">
        <v>500</v>
      </c>
      <c r="T91" s="49">
        <v>444700</v>
      </c>
      <c r="U91" s="49"/>
      <c r="V91" s="49"/>
      <c r="W91" s="32">
        <f t="shared" si="2"/>
        <v>444700</v>
      </c>
    </row>
    <row r="92" spans="1:23" ht="24">
      <c r="A92" s="44"/>
      <c r="B92" s="44"/>
      <c r="C92" s="45">
        <v>6050</v>
      </c>
      <c r="D92" s="50" t="s">
        <v>297</v>
      </c>
      <c r="E92" s="11"/>
      <c r="F92" s="11"/>
      <c r="G92" s="12"/>
      <c r="H92" s="11"/>
      <c r="I92" s="11"/>
      <c r="J92" s="47"/>
      <c r="K92" s="47">
        <v>25000</v>
      </c>
      <c r="L92" s="47">
        <f>L118</f>
        <v>25000</v>
      </c>
      <c r="M92" s="47">
        <f>M118</f>
        <v>25000</v>
      </c>
      <c r="N92" s="47">
        <v>80000</v>
      </c>
      <c r="O92" s="47">
        <v>80000</v>
      </c>
      <c r="P92" s="47"/>
      <c r="Q92" s="186">
        <f t="shared" si="1"/>
        <v>0</v>
      </c>
      <c r="R92" s="47">
        <v>80000</v>
      </c>
      <c r="S92" s="47">
        <v>324500</v>
      </c>
      <c r="T92" s="47">
        <v>124600</v>
      </c>
      <c r="U92" s="47"/>
      <c r="V92" s="47"/>
      <c r="W92" s="32">
        <f t="shared" si="2"/>
        <v>124600</v>
      </c>
    </row>
    <row r="93" spans="1:23" ht="24" hidden="1">
      <c r="A93" s="44"/>
      <c r="B93" s="44"/>
      <c r="C93" s="45">
        <v>6060</v>
      </c>
      <c r="D93" s="50" t="s">
        <v>50</v>
      </c>
      <c r="E93" s="74">
        <v>40000</v>
      </c>
      <c r="F93" s="74">
        <v>66283</v>
      </c>
      <c r="G93" s="49">
        <v>40000</v>
      </c>
      <c r="H93" s="49">
        <v>40000</v>
      </c>
      <c r="I93" s="49"/>
      <c r="J93" s="47">
        <v>41000</v>
      </c>
      <c r="K93" s="47">
        <v>41000</v>
      </c>
      <c r="L93" s="47">
        <v>41000</v>
      </c>
      <c r="M93" s="47">
        <f>10000+15000+30000</f>
        <v>55000</v>
      </c>
      <c r="N93" s="47">
        <v>0</v>
      </c>
      <c r="O93" s="47">
        <v>9000</v>
      </c>
      <c r="P93" s="47"/>
      <c r="Q93" s="186">
        <f t="shared" si="1"/>
        <v>0</v>
      </c>
      <c r="R93" s="47">
        <v>9000</v>
      </c>
      <c r="S93" s="47">
        <v>0</v>
      </c>
      <c r="T93" s="47">
        <v>0</v>
      </c>
      <c r="U93" s="47">
        <v>0</v>
      </c>
      <c r="V93" s="47">
        <v>0</v>
      </c>
      <c r="W93" s="32">
        <f t="shared" si="2"/>
        <v>0</v>
      </c>
    </row>
    <row r="94" spans="1:23" ht="12">
      <c r="A94" s="25"/>
      <c r="B94" s="25"/>
      <c r="C94" s="26"/>
      <c r="D94" s="27" t="s">
        <v>58</v>
      </c>
      <c r="E94" s="11"/>
      <c r="F94" s="11"/>
      <c r="G94" s="12"/>
      <c r="H94" s="12"/>
      <c r="I94" s="12"/>
      <c r="J94" s="12"/>
      <c r="K94" s="12"/>
      <c r="L94" s="12"/>
      <c r="M94" s="12"/>
      <c r="N94" s="12">
        <v>0</v>
      </c>
      <c r="O94" s="12">
        <v>0</v>
      </c>
      <c r="P94" s="12"/>
      <c r="Q94" s="186"/>
      <c r="R94" s="12"/>
      <c r="S94" s="12"/>
      <c r="T94" s="12">
        <v>0</v>
      </c>
      <c r="U94" s="12"/>
      <c r="V94" s="12"/>
      <c r="W94" s="32">
        <f t="shared" si="2"/>
        <v>0</v>
      </c>
    </row>
    <row r="95" spans="1:23" ht="36">
      <c r="A95" s="52"/>
      <c r="B95" s="52"/>
      <c r="C95" s="53" t="s">
        <v>59</v>
      </c>
      <c r="D95" s="54" t="s">
        <v>60</v>
      </c>
      <c r="E95" s="11">
        <f>SUM(E96:E100)</f>
        <v>1660</v>
      </c>
      <c r="F95" s="11">
        <f>SUM(F96:F100)</f>
        <v>2060</v>
      </c>
      <c r="G95" s="11">
        <f>SUM(G96:G100)</f>
        <v>2500</v>
      </c>
      <c r="H95" s="11">
        <f>SUM(H96:H100)</f>
        <v>2500</v>
      </c>
      <c r="I95" s="11"/>
      <c r="J95" s="47">
        <f>SUM(J100:J104)</f>
        <v>17000</v>
      </c>
      <c r="K95" s="47">
        <f>SUM(K100:K104)</f>
        <v>99236</v>
      </c>
      <c r="L95" s="47">
        <f>SUM(L100:L104)</f>
        <v>99236</v>
      </c>
      <c r="M95" s="47">
        <f>SUM(M96:M104)</f>
        <v>116000</v>
      </c>
      <c r="N95" s="47">
        <v>90000</v>
      </c>
      <c r="O95" s="47">
        <v>93905</v>
      </c>
      <c r="P95" s="47">
        <f>SUM(P96:P106)</f>
        <v>9875</v>
      </c>
      <c r="Q95" s="186">
        <f t="shared" si="1"/>
        <v>0.10515946967680102</v>
      </c>
      <c r="R95" s="47">
        <f>SUM(R96:R106)</f>
        <v>93905</v>
      </c>
      <c r="S95" s="47">
        <f>SUM(S96:S106)</f>
        <v>130500</v>
      </c>
      <c r="T95" s="47">
        <v>166200</v>
      </c>
      <c r="U95" s="47">
        <f>SUM(U96:U106)</f>
        <v>0</v>
      </c>
      <c r="V95" s="47">
        <f>SUM(V96:V106)</f>
        <v>0</v>
      </c>
      <c r="W95" s="32">
        <f t="shared" si="2"/>
        <v>166200</v>
      </c>
    </row>
    <row r="96" spans="1:23" ht="12">
      <c r="A96" s="52"/>
      <c r="B96" s="52"/>
      <c r="C96" s="45">
        <v>4270</v>
      </c>
      <c r="D96" s="46" t="s">
        <v>53</v>
      </c>
      <c r="E96" s="11">
        <v>0</v>
      </c>
      <c r="F96" s="11">
        <v>400</v>
      </c>
      <c r="G96" s="12">
        <v>800</v>
      </c>
      <c r="H96" s="11">
        <f>G96</f>
        <v>800</v>
      </c>
      <c r="I96" s="11"/>
      <c r="J96" s="47"/>
      <c r="K96" s="47"/>
      <c r="L96" s="47"/>
      <c r="M96" s="47">
        <v>3000</v>
      </c>
      <c r="N96" s="47">
        <v>3000</v>
      </c>
      <c r="O96" s="47">
        <v>3000</v>
      </c>
      <c r="P96" s="47"/>
      <c r="Q96" s="186">
        <f t="shared" si="1"/>
        <v>0</v>
      </c>
      <c r="R96" s="47">
        <v>3000</v>
      </c>
      <c r="S96" s="47">
        <v>1000</v>
      </c>
      <c r="T96" s="47">
        <v>1000</v>
      </c>
      <c r="U96" s="47"/>
      <c r="V96" s="47"/>
      <c r="W96" s="32">
        <f t="shared" si="2"/>
        <v>1000</v>
      </c>
    </row>
    <row r="97" spans="1:23" ht="12">
      <c r="A97" s="52"/>
      <c r="B97" s="52"/>
      <c r="C97" s="45">
        <v>4300</v>
      </c>
      <c r="D97" s="46" t="s">
        <v>81</v>
      </c>
      <c r="E97" s="11"/>
      <c r="F97" s="11"/>
      <c r="G97" s="12"/>
      <c r="H97" s="11"/>
      <c r="I97" s="11"/>
      <c r="J97" s="47"/>
      <c r="K97" s="47"/>
      <c r="L97" s="47"/>
      <c r="M97" s="47"/>
      <c r="N97" s="47"/>
      <c r="O97" s="47"/>
      <c r="P97" s="47"/>
      <c r="Q97" s="186"/>
      <c r="R97" s="47">
        <v>1500</v>
      </c>
      <c r="S97" s="47">
        <v>1500</v>
      </c>
      <c r="T97" s="47">
        <v>2500</v>
      </c>
      <c r="U97" s="47"/>
      <c r="V97" s="47"/>
      <c r="W97" s="32">
        <f t="shared" si="2"/>
        <v>2500</v>
      </c>
    </row>
    <row r="98" spans="1:23" ht="24">
      <c r="A98" s="52"/>
      <c r="B98" s="52"/>
      <c r="C98" s="45">
        <v>4370</v>
      </c>
      <c r="D98" s="27" t="s">
        <v>40</v>
      </c>
      <c r="E98" s="11"/>
      <c r="F98" s="11"/>
      <c r="G98" s="12"/>
      <c r="H98" s="11"/>
      <c r="I98" s="11"/>
      <c r="J98" s="47"/>
      <c r="K98" s="47"/>
      <c r="L98" s="47"/>
      <c r="M98" s="47"/>
      <c r="N98" s="47"/>
      <c r="O98" s="47"/>
      <c r="P98" s="47"/>
      <c r="Q98" s="186"/>
      <c r="R98" s="47"/>
      <c r="S98" s="47"/>
      <c r="T98" s="47"/>
      <c r="U98" s="47"/>
      <c r="V98" s="47"/>
      <c r="W98" s="32">
        <f t="shared" si="2"/>
        <v>0</v>
      </c>
    </row>
    <row r="99" spans="1:23" ht="24">
      <c r="A99" s="48"/>
      <c r="B99" s="48"/>
      <c r="C99" s="45">
        <v>4380</v>
      </c>
      <c r="D99" s="46" t="s">
        <v>378</v>
      </c>
      <c r="E99" s="11"/>
      <c r="F99" s="11"/>
      <c r="G99" s="12"/>
      <c r="H99" s="11"/>
      <c r="I99" s="11"/>
      <c r="J99" s="47"/>
      <c r="K99" s="47"/>
      <c r="L99" s="47"/>
      <c r="M99" s="47"/>
      <c r="N99" s="47"/>
      <c r="O99" s="47"/>
      <c r="P99" s="47"/>
      <c r="Q99" s="186"/>
      <c r="R99" s="47"/>
      <c r="S99" s="47"/>
      <c r="T99" s="47">
        <v>28700</v>
      </c>
      <c r="U99" s="47"/>
      <c r="V99" s="47"/>
      <c r="W99" s="32">
        <f>T99+U99-V99</f>
        <v>28700</v>
      </c>
    </row>
    <row r="100" spans="1:23" ht="24">
      <c r="A100" s="48"/>
      <c r="B100" s="48"/>
      <c r="C100" s="45">
        <v>4390</v>
      </c>
      <c r="D100" s="46" t="s">
        <v>41</v>
      </c>
      <c r="E100" s="11">
        <v>1660</v>
      </c>
      <c r="F100" s="11">
        <v>1660</v>
      </c>
      <c r="G100" s="12">
        <v>1700</v>
      </c>
      <c r="H100" s="11">
        <f>G100</f>
        <v>1700</v>
      </c>
      <c r="I100" s="11"/>
      <c r="J100" s="47">
        <v>15300</v>
      </c>
      <c r="K100" s="47">
        <v>50283</v>
      </c>
      <c r="L100" s="47">
        <v>50283</v>
      </c>
      <c r="M100" s="47">
        <f>10000+10000+35000+5000</f>
        <v>60000</v>
      </c>
      <c r="N100" s="47">
        <v>60000</v>
      </c>
      <c r="O100" s="47">
        <v>51000</v>
      </c>
      <c r="P100" s="47">
        <v>5318</v>
      </c>
      <c r="Q100" s="186">
        <f t="shared" si="1"/>
        <v>0.10427450980392157</v>
      </c>
      <c r="R100" s="47">
        <v>51000</v>
      </c>
      <c r="S100" s="47">
        <v>106000</v>
      </c>
      <c r="T100" s="47">
        <v>84500</v>
      </c>
      <c r="U100" s="47"/>
      <c r="V100" s="47"/>
      <c r="W100" s="32">
        <f t="shared" si="2"/>
        <v>84500</v>
      </c>
    </row>
    <row r="101" spans="1:23" ht="12">
      <c r="A101" s="48"/>
      <c r="B101" s="48"/>
      <c r="C101" s="45">
        <v>4480</v>
      </c>
      <c r="D101" s="46" t="s">
        <v>61</v>
      </c>
      <c r="E101" s="12"/>
      <c r="F101" s="11">
        <v>775</v>
      </c>
      <c r="G101" s="12"/>
      <c r="H101" s="12"/>
      <c r="I101" s="12">
        <f>F101+G101-H101</f>
        <v>775</v>
      </c>
      <c r="J101" s="47">
        <v>1700</v>
      </c>
      <c r="K101" s="47">
        <v>1311</v>
      </c>
      <c r="L101" s="47">
        <v>1311</v>
      </c>
      <c r="M101" s="47">
        <v>1000</v>
      </c>
      <c r="N101" s="47">
        <v>1000</v>
      </c>
      <c r="O101" s="47">
        <v>1000</v>
      </c>
      <c r="P101" s="47">
        <v>652</v>
      </c>
      <c r="Q101" s="186">
        <f t="shared" si="1"/>
        <v>0.652</v>
      </c>
      <c r="R101" s="47">
        <v>1000</v>
      </c>
      <c r="S101" s="47">
        <v>1500</v>
      </c>
      <c r="T101" s="47">
        <v>1500</v>
      </c>
      <c r="U101" s="47"/>
      <c r="V101" s="47"/>
      <c r="W101" s="32">
        <f t="shared" si="2"/>
        <v>1500</v>
      </c>
    </row>
    <row r="102" spans="1:23" ht="18" customHeight="1">
      <c r="A102" s="44"/>
      <c r="B102" s="44"/>
      <c r="C102" s="45">
        <v>4580</v>
      </c>
      <c r="D102" s="46" t="s">
        <v>54</v>
      </c>
      <c r="E102" s="12"/>
      <c r="F102" s="11">
        <v>142405</v>
      </c>
      <c r="G102" s="12"/>
      <c r="H102" s="12"/>
      <c r="I102" s="12">
        <f>F102+G102-H102</f>
        <v>142405</v>
      </c>
      <c r="J102" s="49"/>
      <c r="K102" s="49">
        <v>343</v>
      </c>
      <c r="L102" s="49">
        <v>343</v>
      </c>
      <c r="M102" s="49"/>
      <c r="N102" s="49">
        <v>0</v>
      </c>
      <c r="O102" s="49">
        <v>45</v>
      </c>
      <c r="P102" s="49">
        <v>45</v>
      </c>
      <c r="Q102" s="186">
        <f t="shared" si="1"/>
        <v>1</v>
      </c>
      <c r="R102" s="49">
        <v>45</v>
      </c>
      <c r="S102" s="49"/>
      <c r="T102" s="49">
        <v>0</v>
      </c>
      <c r="U102" s="49"/>
      <c r="V102" s="49"/>
      <c r="W102" s="32">
        <f t="shared" si="2"/>
        <v>0</v>
      </c>
    </row>
    <row r="103" spans="1:23" ht="24">
      <c r="A103" s="44"/>
      <c r="B103" s="44"/>
      <c r="C103" s="45">
        <v>4590</v>
      </c>
      <c r="D103" s="46" t="s">
        <v>55</v>
      </c>
      <c r="E103" s="12"/>
      <c r="F103" s="11"/>
      <c r="G103" s="12"/>
      <c r="H103" s="12"/>
      <c r="I103" s="12"/>
      <c r="J103" s="49"/>
      <c r="K103" s="49">
        <v>46699</v>
      </c>
      <c r="L103" s="49">
        <v>46699</v>
      </c>
      <c r="M103" s="49">
        <v>50000</v>
      </c>
      <c r="N103" s="49">
        <v>24000</v>
      </c>
      <c r="O103" s="49">
        <v>27860</v>
      </c>
      <c r="P103" s="49">
        <v>3860</v>
      </c>
      <c r="Q103" s="186">
        <f t="shared" si="1"/>
        <v>0.13854989231873654</v>
      </c>
      <c r="R103" s="49">
        <v>27860</v>
      </c>
      <c r="S103" s="49">
        <v>20000</v>
      </c>
      <c r="T103" s="49">
        <v>20000</v>
      </c>
      <c r="U103" s="49"/>
      <c r="V103" s="49"/>
      <c r="W103" s="32">
        <f t="shared" si="2"/>
        <v>20000</v>
      </c>
    </row>
    <row r="104" spans="1:23" ht="24">
      <c r="A104" s="44"/>
      <c r="B104" s="44"/>
      <c r="C104" s="45">
        <v>4610</v>
      </c>
      <c r="D104" s="46" t="s">
        <v>56</v>
      </c>
      <c r="E104" s="12"/>
      <c r="F104" s="11"/>
      <c r="G104" s="12"/>
      <c r="H104" s="12"/>
      <c r="I104" s="12"/>
      <c r="J104" s="49"/>
      <c r="K104" s="49">
        <v>600</v>
      </c>
      <c r="L104" s="49">
        <v>600</v>
      </c>
      <c r="M104" s="49">
        <v>2000</v>
      </c>
      <c r="N104" s="49">
        <v>2000</v>
      </c>
      <c r="O104" s="49">
        <v>2000</v>
      </c>
      <c r="P104" s="49"/>
      <c r="Q104" s="186">
        <f t="shared" si="1"/>
        <v>0</v>
      </c>
      <c r="R104" s="49">
        <v>500</v>
      </c>
      <c r="S104" s="49">
        <v>500</v>
      </c>
      <c r="T104" s="49">
        <v>26000</v>
      </c>
      <c r="U104" s="49"/>
      <c r="V104" s="49"/>
      <c r="W104" s="32">
        <f t="shared" si="2"/>
        <v>26000</v>
      </c>
    </row>
    <row r="105" spans="1:23" ht="36">
      <c r="A105" s="44"/>
      <c r="B105" s="44"/>
      <c r="C105" s="45">
        <v>4700</v>
      </c>
      <c r="D105" s="27" t="s">
        <v>46</v>
      </c>
      <c r="E105" s="12"/>
      <c r="F105" s="11"/>
      <c r="G105" s="12"/>
      <c r="H105" s="12"/>
      <c r="I105" s="12"/>
      <c r="J105" s="49"/>
      <c r="K105" s="49"/>
      <c r="L105" s="49"/>
      <c r="M105" s="49"/>
      <c r="N105" s="49"/>
      <c r="O105" s="49"/>
      <c r="P105" s="49"/>
      <c r="Q105" s="186"/>
      <c r="R105" s="49"/>
      <c r="S105" s="49"/>
      <c r="T105" s="49">
        <v>2000</v>
      </c>
      <c r="U105" s="49"/>
      <c r="V105" s="49"/>
      <c r="W105" s="32">
        <f t="shared" si="2"/>
        <v>2000</v>
      </c>
    </row>
    <row r="106" spans="1:23" ht="24">
      <c r="A106" s="44"/>
      <c r="B106" s="44"/>
      <c r="C106" s="45">
        <v>6060</v>
      </c>
      <c r="D106" s="50" t="s">
        <v>50</v>
      </c>
      <c r="E106" s="74">
        <v>40000</v>
      </c>
      <c r="F106" s="74">
        <v>66283</v>
      </c>
      <c r="G106" s="49">
        <v>40000</v>
      </c>
      <c r="H106" s="49">
        <v>40000</v>
      </c>
      <c r="I106" s="49"/>
      <c r="J106" s="47">
        <v>41000</v>
      </c>
      <c r="K106" s="47">
        <v>41000</v>
      </c>
      <c r="L106" s="47">
        <v>41000</v>
      </c>
      <c r="M106" s="47">
        <f>10000+15000+30000</f>
        <v>55000</v>
      </c>
      <c r="N106" s="47">
        <v>0</v>
      </c>
      <c r="O106" s="47">
        <v>9000</v>
      </c>
      <c r="P106" s="47"/>
      <c r="Q106" s="186">
        <f t="shared" si="1"/>
        <v>0</v>
      </c>
      <c r="R106" s="47">
        <v>9000</v>
      </c>
      <c r="S106" s="47"/>
      <c r="T106" s="47">
        <v>0</v>
      </c>
      <c r="U106" s="47"/>
      <c r="V106" s="47"/>
      <c r="W106" s="32">
        <f t="shared" si="2"/>
        <v>0</v>
      </c>
    </row>
    <row r="107" spans="1:23" ht="36">
      <c r="A107" s="52"/>
      <c r="B107" s="52"/>
      <c r="C107" s="53" t="s">
        <v>59</v>
      </c>
      <c r="D107" s="54" t="s">
        <v>62</v>
      </c>
      <c r="E107" s="11">
        <f>SUM(E108:E119)</f>
        <v>23800</v>
      </c>
      <c r="F107" s="11">
        <f>SUM(F108:F119)</f>
        <v>170109</v>
      </c>
      <c r="G107" s="11">
        <f>SUM(G108:G119)</f>
        <v>25160</v>
      </c>
      <c r="H107" s="11">
        <f>SUM(H108:H119)</f>
        <v>25160</v>
      </c>
      <c r="I107" s="11"/>
      <c r="J107" s="47">
        <f aca="true" t="shared" si="11" ref="J107:P107">SUM(J108:J119)</f>
        <v>75160</v>
      </c>
      <c r="K107" s="47">
        <f t="shared" si="11"/>
        <v>105780</v>
      </c>
      <c r="L107" s="47">
        <f t="shared" si="11"/>
        <v>105780</v>
      </c>
      <c r="M107" s="47">
        <f t="shared" si="11"/>
        <v>87599.64</v>
      </c>
      <c r="N107" s="47">
        <v>140900</v>
      </c>
      <c r="O107" s="47">
        <v>166920</v>
      </c>
      <c r="P107" s="47">
        <f t="shared" si="11"/>
        <v>28324</v>
      </c>
      <c r="Q107" s="186">
        <f t="shared" si="1"/>
        <v>0.16968607716271267</v>
      </c>
      <c r="R107" s="47">
        <f>SUM(R108:R119)</f>
        <v>179420</v>
      </c>
      <c r="S107" s="47">
        <f>SUM(S108:S119)</f>
        <v>810100</v>
      </c>
      <c r="T107" s="47">
        <v>1028400</v>
      </c>
      <c r="U107" s="47">
        <f>SUM(U108:U119)</f>
        <v>38500</v>
      </c>
      <c r="V107" s="47">
        <f>SUM(V108:V119)</f>
        <v>0</v>
      </c>
      <c r="W107" s="32">
        <f t="shared" si="2"/>
        <v>1066900</v>
      </c>
    </row>
    <row r="108" spans="1:23" ht="12">
      <c r="A108" s="44"/>
      <c r="B108" s="44"/>
      <c r="C108" s="45">
        <v>4260</v>
      </c>
      <c r="D108" s="46" t="s">
        <v>35</v>
      </c>
      <c r="E108" s="11">
        <v>6600</v>
      </c>
      <c r="F108" s="11">
        <v>6600</v>
      </c>
      <c r="G108" s="12">
        <v>6750</v>
      </c>
      <c r="H108" s="11">
        <f>G108</f>
        <v>6750</v>
      </c>
      <c r="I108" s="11"/>
      <c r="J108" s="47">
        <v>6750</v>
      </c>
      <c r="K108" s="47">
        <v>6750</v>
      </c>
      <c r="L108" s="47">
        <v>6750</v>
      </c>
      <c r="M108" s="47">
        <f>L108*102.9%</f>
        <v>6945.750000000001</v>
      </c>
      <c r="N108" s="47">
        <v>7000</v>
      </c>
      <c r="O108" s="47">
        <v>7000</v>
      </c>
      <c r="P108" s="47">
        <v>3564</v>
      </c>
      <c r="Q108" s="186">
        <f t="shared" si="1"/>
        <v>0.5091428571428571</v>
      </c>
      <c r="R108" s="47">
        <v>7000</v>
      </c>
      <c r="S108" s="47">
        <v>200000</v>
      </c>
      <c r="T108" s="47">
        <v>200000</v>
      </c>
      <c r="U108" s="47"/>
      <c r="V108" s="47"/>
      <c r="W108" s="32">
        <f>T108+U108-V108</f>
        <v>200000</v>
      </c>
    </row>
    <row r="109" spans="1:23" ht="12">
      <c r="A109" s="48"/>
      <c r="B109" s="48"/>
      <c r="C109" s="45">
        <v>4270</v>
      </c>
      <c r="D109" s="46" t="s">
        <v>53</v>
      </c>
      <c r="E109" s="11">
        <v>300</v>
      </c>
      <c r="F109" s="11">
        <v>300</v>
      </c>
      <c r="G109" s="12">
        <v>310</v>
      </c>
      <c r="H109" s="11">
        <f>G109</f>
        <v>310</v>
      </c>
      <c r="I109" s="11"/>
      <c r="J109" s="47">
        <v>310</v>
      </c>
      <c r="K109" s="47">
        <v>585</v>
      </c>
      <c r="L109" s="47">
        <v>585</v>
      </c>
      <c r="M109" s="47">
        <f>L109*102.9%</f>
        <v>601.965</v>
      </c>
      <c r="N109" s="47">
        <v>600</v>
      </c>
      <c r="O109" s="47">
        <v>600</v>
      </c>
      <c r="P109" s="47">
        <v>263</v>
      </c>
      <c r="Q109" s="186">
        <f t="shared" si="1"/>
        <v>0.43833333333333335</v>
      </c>
      <c r="R109" s="47">
        <v>600</v>
      </c>
      <c r="S109" s="47">
        <v>11200</v>
      </c>
      <c r="T109" s="47">
        <v>11200</v>
      </c>
      <c r="U109" s="47">
        <v>29200</v>
      </c>
      <c r="V109" s="47"/>
      <c r="W109" s="32">
        <f t="shared" si="2"/>
        <v>40400</v>
      </c>
    </row>
    <row r="110" spans="1:23" ht="12">
      <c r="A110" s="52"/>
      <c r="B110" s="52"/>
      <c r="C110" s="45">
        <v>4300</v>
      </c>
      <c r="D110" s="46" t="s">
        <v>17</v>
      </c>
      <c r="E110" s="11">
        <v>6900</v>
      </c>
      <c r="F110" s="11">
        <v>6900</v>
      </c>
      <c r="G110" s="12">
        <v>8100</v>
      </c>
      <c r="H110" s="11">
        <f>G110</f>
        <v>8100</v>
      </c>
      <c r="I110" s="11"/>
      <c r="J110" s="47">
        <v>8100</v>
      </c>
      <c r="K110" s="47">
        <v>7825</v>
      </c>
      <c r="L110" s="47">
        <v>7825</v>
      </c>
      <c r="M110" s="47">
        <f>L110*102.9%</f>
        <v>8051.925000000001</v>
      </c>
      <c r="N110" s="47">
        <v>8300</v>
      </c>
      <c r="O110" s="47">
        <v>8300</v>
      </c>
      <c r="P110" s="47">
        <v>1589</v>
      </c>
      <c r="Q110" s="186">
        <f t="shared" si="1"/>
        <v>0.19144578313253013</v>
      </c>
      <c r="R110" s="47">
        <v>8300</v>
      </c>
      <c r="S110" s="47">
        <v>29900</v>
      </c>
      <c r="T110" s="47">
        <v>35900</v>
      </c>
      <c r="U110" s="47"/>
      <c r="V110" s="47"/>
      <c r="W110" s="32">
        <f aca="true" t="shared" si="12" ref="W110:W179">T110+U110-V110</f>
        <v>35900</v>
      </c>
    </row>
    <row r="111" spans="1:23" ht="24">
      <c r="A111" s="52"/>
      <c r="B111" s="52"/>
      <c r="C111" s="45">
        <v>4350</v>
      </c>
      <c r="D111" s="46" t="s">
        <v>331</v>
      </c>
      <c r="E111" s="11"/>
      <c r="F111" s="11"/>
      <c r="G111" s="12"/>
      <c r="H111" s="11"/>
      <c r="I111" s="11"/>
      <c r="J111" s="47"/>
      <c r="K111" s="47"/>
      <c r="L111" s="47"/>
      <c r="M111" s="47"/>
      <c r="N111" s="47"/>
      <c r="O111" s="47"/>
      <c r="P111" s="47"/>
      <c r="Q111" s="186"/>
      <c r="R111" s="47"/>
      <c r="S111" s="47">
        <v>4000</v>
      </c>
      <c r="T111" s="47">
        <v>4000</v>
      </c>
      <c r="U111" s="47"/>
      <c r="V111" s="47"/>
      <c r="W111" s="32">
        <f t="shared" si="12"/>
        <v>4000</v>
      </c>
    </row>
    <row r="112" spans="1:23" ht="24">
      <c r="A112" s="52"/>
      <c r="B112" s="52"/>
      <c r="C112" s="45">
        <v>4390</v>
      </c>
      <c r="D112" s="46" t="s">
        <v>41</v>
      </c>
      <c r="E112" s="11">
        <v>10000</v>
      </c>
      <c r="F112" s="11">
        <v>13904</v>
      </c>
      <c r="G112" s="12">
        <v>10000</v>
      </c>
      <c r="H112" s="11">
        <f>G112</f>
        <v>10000</v>
      </c>
      <c r="I112" s="11"/>
      <c r="J112" s="47">
        <v>10000</v>
      </c>
      <c r="K112" s="47">
        <v>35000</v>
      </c>
      <c r="L112" s="47">
        <v>35000</v>
      </c>
      <c r="M112" s="47">
        <v>30000</v>
      </c>
      <c r="N112" s="47">
        <v>30000</v>
      </c>
      <c r="O112" s="47">
        <v>30000</v>
      </c>
      <c r="P112" s="47">
        <v>488</v>
      </c>
      <c r="Q112" s="186">
        <f aca="true" t="shared" si="13" ref="Q112:Q210">P112/O112</f>
        <v>0.016266666666666665</v>
      </c>
      <c r="R112" s="47">
        <v>42000</v>
      </c>
      <c r="S112" s="47">
        <v>30000</v>
      </c>
      <c r="T112" s="47">
        <v>24000</v>
      </c>
      <c r="U112" s="47"/>
      <c r="V112" s="47"/>
      <c r="W112" s="32">
        <f t="shared" si="12"/>
        <v>24000</v>
      </c>
    </row>
    <row r="113" spans="1:23" ht="24">
      <c r="A113" s="52"/>
      <c r="B113" s="52"/>
      <c r="C113" s="45">
        <v>4370</v>
      </c>
      <c r="D113" s="27" t="s">
        <v>40</v>
      </c>
      <c r="E113" s="11"/>
      <c r="F113" s="11"/>
      <c r="G113" s="12"/>
      <c r="H113" s="11"/>
      <c r="I113" s="11"/>
      <c r="J113" s="47"/>
      <c r="K113" s="47"/>
      <c r="L113" s="47"/>
      <c r="M113" s="47"/>
      <c r="N113" s="47"/>
      <c r="O113" s="47"/>
      <c r="P113" s="47"/>
      <c r="Q113" s="186"/>
      <c r="R113" s="47"/>
      <c r="S113" s="47"/>
      <c r="T113" s="47"/>
      <c r="U113" s="47">
        <v>9300</v>
      </c>
      <c r="V113" s="47"/>
      <c r="W113" s="32">
        <f t="shared" si="12"/>
        <v>9300</v>
      </c>
    </row>
    <row r="114" spans="1:23" ht="36">
      <c r="A114" s="52"/>
      <c r="B114" s="52"/>
      <c r="C114" s="45">
        <v>4400</v>
      </c>
      <c r="D114" s="46" t="s">
        <v>72</v>
      </c>
      <c r="E114" s="11"/>
      <c r="F114" s="11"/>
      <c r="G114" s="12"/>
      <c r="H114" s="11"/>
      <c r="I114" s="11"/>
      <c r="J114" s="47"/>
      <c r="K114" s="47"/>
      <c r="L114" s="47"/>
      <c r="M114" s="47"/>
      <c r="N114" s="47"/>
      <c r="O114" s="47"/>
      <c r="P114" s="47"/>
      <c r="Q114" s="186"/>
      <c r="R114" s="47"/>
      <c r="S114" s="47">
        <v>200000</v>
      </c>
      <c r="T114" s="47">
        <v>200000</v>
      </c>
      <c r="U114" s="47"/>
      <c r="V114" s="47"/>
      <c r="W114" s="32">
        <f t="shared" si="12"/>
        <v>200000</v>
      </c>
    </row>
    <row r="115" spans="1:23" ht="24">
      <c r="A115" s="44"/>
      <c r="B115" s="44"/>
      <c r="C115" s="45">
        <v>4590</v>
      </c>
      <c r="D115" s="46" t="s">
        <v>55</v>
      </c>
      <c r="E115" s="12"/>
      <c r="F115" s="11">
        <v>142405</v>
      </c>
      <c r="G115" s="12"/>
      <c r="H115" s="12"/>
      <c r="I115" s="12">
        <f>F115+G115-H115</f>
        <v>142405</v>
      </c>
      <c r="J115" s="49"/>
      <c r="K115" s="49">
        <v>19020</v>
      </c>
      <c r="L115" s="49">
        <v>19020</v>
      </c>
      <c r="M115" s="49">
        <v>15000</v>
      </c>
      <c r="N115" s="49">
        <v>15000</v>
      </c>
      <c r="O115" s="49">
        <v>41020</v>
      </c>
      <c r="P115" s="49">
        <v>22420</v>
      </c>
      <c r="Q115" s="186">
        <f t="shared" si="13"/>
        <v>0.5465626523647001</v>
      </c>
      <c r="R115" s="49">
        <v>41020</v>
      </c>
      <c r="S115" s="49">
        <v>10000</v>
      </c>
      <c r="T115" s="49">
        <v>10000</v>
      </c>
      <c r="U115" s="49"/>
      <c r="V115" s="49"/>
      <c r="W115" s="32">
        <f t="shared" si="12"/>
        <v>10000</v>
      </c>
    </row>
    <row r="116" spans="1:23" ht="24">
      <c r="A116" s="44"/>
      <c r="B116" s="44"/>
      <c r="C116" s="45">
        <v>4610</v>
      </c>
      <c r="D116" s="46" t="s">
        <v>56</v>
      </c>
      <c r="E116" s="12"/>
      <c r="F116" s="11"/>
      <c r="G116" s="12"/>
      <c r="H116" s="12"/>
      <c r="I116" s="12"/>
      <c r="J116" s="49"/>
      <c r="K116" s="49">
        <v>600</v>
      </c>
      <c r="L116" s="49">
        <v>600</v>
      </c>
      <c r="M116" s="49">
        <v>2000</v>
      </c>
      <c r="N116" s="49">
        <v>2000</v>
      </c>
      <c r="O116" s="49">
        <v>2000</v>
      </c>
      <c r="P116" s="49"/>
      <c r="Q116" s="186">
        <f t="shared" si="13"/>
        <v>0</v>
      </c>
      <c r="R116" s="49">
        <v>500</v>
      </c>
      <c r="S116" s="49">
        <v>500</v>
      </c>
      <c r="T116" s="49">
        <v>418700</v>
      </c>
      <c r="U116" s="49"/>
      <c r="V116" s="49"/>
      <c r="W116" s="32">
        <f t="shared" si="12"/>
        <v>418700</v>
      </c>
    </row>
    <row r="117" spans="1:23" ht="36">
      <c r="A117" s="44"/>
      <c r="B117" s="44"/>
      <c r="C117" s="45">
        <v>4700</v>
      </c>
      <c r="D117" s="27" t="s">
        <v>46</v>
      </c>
      <c r="E117" s="12"/>
      <c r="F117" s="11"/>
      <c r="G117" s="12"/>
      <c r="H117" s="12"/>
      <c r="I117" s="12"/>
      <c r="J117" s="49"/>
      <c r="K117" s="49"/>
      <c r="L117" s="49"/>
      <c r="M117" s="49"/>
      <c r="N117" s="49"/>
      <c r="O117" s="49"/>
      <c r="P117" s="49"/>
      <c r="Q117" s="186"/>
      <c r="R117" s="49"/>
      <c r="S117" s="49"/>
      <c r="T117" s="49"/>
      <c r="U117" s="49"/>
      <c r="V117" s="49"/>
      <c r="W117" s="32"/>
    </row>
    <row r="118" spans="1:23" ht="24">
      <c r="A118" s="52"/>
      <c r="B118" s="52"/>
      <c r="C118" s="45">
        <v>6050</v>
      </c>
      <c r="D118" s="50" t="s">
        <v>297</v>
      </c>
      <c r="E118" s="11"/>
      <c r="F118" s="11"/>
      <c r="G118" s="12"/>
      <c r="H118" s="11"/>
      <c r="I118" s="11"/>
      <c r="J118" s="47"/>
      <c r="K118" s="47">
        <v>25000</v>
      </c>
      <c r="L118" s="47">
        <v>25000</v>
      </c>
      <c r="M118" s="47">
        <v>25000</v>
      </c>
      <c r="N118" s="47">
        <v>80000</v>
      </c>
      <c r="O118" s="47">
        <v>80000</v>
      </c>
      <c r="P118" s="47"/>
      <c r="Q118" s="186">
        <f t="shared" si="13"/>
        <v>0</v>
      </c>
      <c r="R118" s="47">
        <v>80000</v>
      </c>
      <c r="S118" s="47">
        <v>324500</v>
      </c>
      <c r="T118" s="47">
        <v>124600</v>
      </c>
      <c r="U118" s="47"/>
      <c r="V118" s="47"/>
      <c r="W118" s="32">
        <f t="shared" si="12"/>
        <v>124600</v>
      </c>
    </row>
    <row r="119" spans="1:23" ht="24" hidden="1">
      <c r="A119" s="52"/>
      <c r="B119" s="52"/>
      <c r="C119" s="51">
        <v>6060</v>
      </c>
      <c r="D119" s="50" t="s">
        <v>57</v>
      </c>
      <c r="E119" s="11"/>
      <c r="F119" s="11"/>
      <c r="G119" s="12"/>
      <c r="H119" s="11">
        <f>G119</f>
        <v>0</v>
      </c>
      <c r="I119" s="11"/>
      <c r="J119" s="47">
        <v>50000</v>
      </c>
      <c r="K119" s="47">
        <v>11000</v>
      </c>
      <c r="L119" s="47">
        <v>11000</v>
      </c>
      <c r="M119" s="47"/>
      <c r="N119" s="47">
        <v>0</v>
      </c>
      <c r="O119" s="47">
        <v>0</v>
      </c>
      <c r="P119" s="47"/>
      <c r="Q119" s="186"/>
      <c r="R119" s="47"/>
      <c r="S119" s="47"/>
      <c r="T119" s="47">
        <v>0</v>
      </c>
      <c r="U119" s="47"/>
      <c r="V119" s="47"/>
      <c r="W119" s="32">
        <f t="shared" si="12"/>
        <v>0</v>
      </c>
    </row>
    <row r="120" spans="1:23" ht="12">
      <c r="A120" s="8">
        <v>710</v>
      </c>
      <c r="B120" s="8"/>
      <c r="C120" s="29"/>
      <c r="D120" s="43" t="s">
        <v>63</v>
      </c>
      <c r="E120" s="31">
        <f>E121+E128+E156+E126</f>
        <v>356630</v>
      </c>
      <c r="F120" s="31">
        <f>F121+F128+F156+F126</f>
        <v>400332</v>
      </c>
      <c r="G120" s="31">
        <f>G121+G128+G156+G126</f>
        <v>926081</v>
      </c>
      <c r="H120" s="31">
        <f>H121+H128+H156+H126</f>
        <v>925003</v>
      </c>
      <c r="I120" s="31"/>
      <c r="J120" s="31">
        <f>J121+J128+J156+J126</f>
        <v>485100</v>
      </c>
      <c r="K120" s="31">
        <f>K121+K128+K156+K126</f>
        <v>573410</v>
      </c>
      <c r="L120" s="31">
        <f>L121+L128+L156+L126</f>
        <v>573410</v>
      </c>
      <c r="M120" s="31">
        <f>M121+M128+M156+M126</f>
        <v>794781</v>
      </c>
      <c r="N120" s="31">
        <v>617800</v>
      </c>
      <c r="O120" s="31">
        <v>617800</v>
      </c>
      <c r="P120" s="31">
        <f>P121+P128+P156+P126</f>
        <v>248961</v>
      </c>
      <c r="Q120" s="186">
        <f t="shared" si="13"/>
        <v>0.4029799287795403</v>
      </c>
      <c r="R120" s="31">
        <f>R121+R128+R156+R126</f>
        <v>594380</v>
      </c>
      <c r="S120" s="31">
        <f>S121+S128+S156+S126</f>
        <v>750200</v>
      </c>
      <c r="T120" s="31">
        <v>658663</v>
      </c>
      <c r="U120" s="31">
        <f>U121+U128+U156+U126</f>
        <v>3739</v>
      </c>
      <c r="V120" s="31">
        <f>V121+V128+V156+V126</f>
        <v>3289</v>
      </c>
      <c r="W120" s="32">
        <f t="shared" si="12"/>
        <v>659113</v>
      </c>
    </row>
    <row r="121" spans="1:23" ht="24">
      <c r="A121" s="33"/>
      <c r="B121" s="33">
        <v>71013</v>
      </c>
      <c r="C121" s="36"/>
      <c r="D121" s="42" t="s">
        <v>64</v>
      </c>
      <c r="E121" s="35">
        <f>SUM(E122:E122)</f>
        <v>25000</v>
      </c>
      <c r="F121" s="35">
        <f>SUM(F122:F122)</f>
        <v>35000</v>
      </c>
      <c r="G121" s="37">
        <f>SUM(G122:G122)</f>
        <v>540000</v>
      </c>
      <c r="H121" s="37">
        <f>SUM(H122:H122)</f>
        <v>540000</v>
      </c>
      <c r="I121" s="37"/>
      <c r="J121" s="37">
        <f aca="true" t="shared" si="14" ref="J121:S121">SUM(J122:J122)</f>
        <v>20000</v>
      </c>
      <c r="K121" s="37">
        <f t="shared" si="14"/>
        <v>50000</v>
      </c>
      <c r="L121" s="37">
        <f t="shared" si="14"/>
        <v>50000</v>
      </c>
      <c r="M121" s="37">
        <f t="shared" si="14"/>
        <v>150000</v>
      </c>
      <c r="N121" s="37">
        <v>70000</v>
      </c>
      <c r="O121" s="37">
        <v>70000</v>
      </c>
      <c r="P121" s="37">
        <f t="shared" si="14"/>
        <v>0</v>
      </c>
      <c r="Q121" s="186">
        <f t="shared" si="13"/>
        <v>0</v>
      </c>
      <c r="R121" s="37">
        <f t="shared" si="14"/>
        <v>68800</v>
      </c>
      <c r="S121" s="37">
        <f t="shared" si="14"/>
        <v>200000</v>
      </c>
      <c r="T121" s="37">
        <v>70000</v>
      </c>
      <c r="U121" s="37">
        <f>SUM(U122:U122)</f>
        <v>0</v>
      </c>
      <c r="V121" s="37">
        <f>SUM(V122:V122)</f>
        <v>0</v>
      </c>
      <c r="W121" s="32">
        <f t="shared" si="12"/>
        <v>70000</v>
      </c>
    </row>
    <row r="122" spans="1:23" ht="12">
      <c r="A122" s="25"/>
      <c r="B122" s="25"/>
      <c r="C122" s="26">
        <v>4300</v>
      </c>
      <c r="D122" s="27" t="s">
        <v>17</v>
      </c>
      <c r="E122" s="11">
        <v>25000</v>
      </c>
      <c r="F122" s="11">
        <v>35000</v>
      </c>
      <c r="G122" s="12">
        <v>540000</v>
      </c>
      <c r="H122" s="11">
        <f>G122</f>
        <v>540000</v>
      </c>
      <c r="I122" s="11"/>
      <c r="J122" s="47">
        <v>20000</v>
      </c>
      <c r="K122" s="47">
        <v>50000</v>
      </c>
      <c r="L122" s="47">
        <v>50000</v>
      </c>
      <c r="M122" s="47">
        <v>150000</v>
      </c>
      <c r="N122" s="47">
        <v>70000</v>
      </c>
      <c r="O122" s="47">
        <v>70000</v>
      </c>
      <c r="P122" s="47"/>
      <c r="Q122" s="186">
        <f t="shared" si="13"/>
        <v>0</v>
      </c>
      <c r="R122" s="47">
        <v>68800</v>
      </c>
      <c r="S122" s="47">
        <v>200000</v>
      </c>
      <c r="T122" s="47">
        <v>70000</v>
      </c>
      <c r="U122" s="47"/>
      <c r="V122" s="47"/>
      <c r="W122" s="32">
        <f t="shared" si="12"/>
        <v>70000</v>
      </c>
    </row>
    <row r="123" spans="1:23" ht="12" hidden="1">
      <c r="A123" s="25"/>
      <c r="B123" s="25"/>
      <c r="C123" s="26" t="s">
        <v>58</v>
      </c>
      <c r="D123" s="27"/>
      <c r="E123" s="55"/>
      <c r="F123" s="55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186"/>
      <c r="R123" s="56"/>
      <c r="S123" s="56">
        <v>582350</v>
      </c>
      <c r="T123" s="56">
        <v>0</v>
      </c>
      <c r="U123" s="56"/>
      <c r="V123" s="56"/>
      <c r="W123" s="32">
        <f t="shared" si="12"/>
        <v>0</v>
      </c>
    </row>
    <row r="124" spans="1:23" ht="24" hidden="1">
      <c r="A124" s="33"/>
      <c r="B124" s="33"/>
      <c r="C124" s="36" t="s">
        <v>59</v>
      </c>
      <c r="D124" s="42" t="s">
        <v>64</v>
      </c>
      <c r="E124" s="11">
        <f>SUM(E125)</f>
        <v>25000</v>
      </c>
      <c r="F124" s="11">
        <f>SUM(F125)</f>
        <v>35000</v>
      </c>
      <c r="G124" s="12">
        <f>SUM(G125)</f>
        <v>540000</v>
      </c>
      <c r="H124" s="12">
        <f>SUM(H125)</f>
        <v>540000</v>
      </c>
      <c r="I124" s="12"/>
      <c r="J124" s="12">
        <f aca="true" t="shared" si="15" ref="J124:S124">SUM(J125)</f>
        <v>20000</v>
      </c>
      <c r="K124" s="12">
        <f t="shared" si="15"/>
        <v>50000</v>
      </c>
      <c r="L124" s="12">
        <f t="shared" si="15"/>
        <v>50000</v>
      </c>
      <c r="M124" s="12">
        <f t="shared" si="15"/>
        <v>150000</v>
      </c>
      <c r="N124" s="12">
        <v>70000</v>
      </c>
      <c r="O124" s="12">
        <v>70000</v>
      </c>
      <c r="P124" s="12">
        <f t="shared" si="15"/>
        <v>0</v>
      </c>
      <c r="Q124" s="186">
        <f t="shared" si="13"/>
        <v>0</v>
      </c>
      <c r="R124" s="12">
        <f t="shared" si="15"/>
        <v>68800</v>
      </c>
      <c r="S124" s="12">
        <f t="shared" si="15"/>
        <v>200000</v>
      </c>
      <c r="T124" s="12">
        <v>70000</v>
      </c>
      <c r="U124" s="12">
        <f>SUM(U125)</f>
        <v>70000</v>
      </c>
      <c r="V124" s="12">
        <f>SUM(V125)</f>
        <v>70000</v>
      </c>
      <c r="W124" s="32">
        <f t="shared" si="12"/>
        <v>70000</v>
      </c>
    </row>
    <row r="125" spans="1:23" ht="12" hidden="1">
      <c r="A125" s="25"/>
      <c r="B125" s="25"/>
      <c r="C125" s="26">
        <v>4300</v>
      </c>
      <c r="D125" s="27" t="s">
        <v>17</v>
      </c>
      <c r="E125" s="11">
        <v>25000</v>
      </c>
      <c r="F125" s="11">
        <v>35000</v>
      </c>
      <c r="G125" s="12">
        <v>540000</v>
      </c>
      <c r="H125" s="11">
        <f>G125</f>
        <v>540000</v>
      </c>
      <c r="I125" s="11"/>
      <c r="J125" s="47">
        <v>20000</v>
      </c>
      <c r="K125" s="47">
        <v>50000</v>
      </c>
      <c r="L125" s="47">
        <v>50000</v>
      </c>
      <c r="M125" s="47">
        <v>150000</v>
      </c>
      <c r="N125" s="47">
        <v>70000</v>
      </c>
      <c r="O125" s="47">
        <v>70000</v>
      </c>
      <c r="P125" s="47"/>
      <c r="Q125" s="186">
        <f t="shared" si="13"/>
        <v>0</v>
      </c>
      <c r="R125" s="47">
        <v>68800</v>
      </c>
      <c r="S125" s="47">
        <v>200000</v>
      </c>
      <c r="T125" s="47">
        <v>70000</v>
      </c>
      <c r="U125" s="47">
        <v>70000</v>
      </c>
      <c r="V125" s="47">
        <v>70000</v>
      </c>
      <c r="W125" s="32">
        <f t="shared" si="12"/>
        <v>70000</v>
      </c>
    </row>
    <row r="126" spans="1:23" ht="24">
      <c r="A126" s="33"/>
      <c r="B126" s="52">
        <v>71014</v>
      </c>
      <c r="C126" s="53"/>
      <c r="D126" s="54" t="s">
        <v>65</v>
      </c>
      <c r="E126" s="35">
        <f>SUM(E127:E127)</f>
        <v>0</v>
      </c>
      <c r="F126" s="35">
        <f>SUM(F127:F127)</f>
        <v>15128</v>
      </c>
      <c r="G126" s="35">
        <f>SUM(G127:G127)</f>
        <v>0</v>
      </c>
      <c r="H126" s="35">
        <f>SUM(H127:H127)</f>
        <v>0</v>
      </c>
      <c r="I126" s="35"/>
      <c r="J126" s="57">
        <f>SUM(J127:J127)</f>
        <v>2500</v>
      </c>
      <c r="K126" s="57">
        <f>SUM(K127:K127)</f>
        <v>15738</v>
      </c>
      <c r="L126" s="57">
        <f>SUM(L127:L127)</f>
        <v>15738</v>
      </c>
      <c r="M126" s="57">
        <f>SUM(M127:M127)</f>
        <v>20000</v>
      </c>
      <c r="N126" s="57">
        <v>10400</v>
      </c>
      <c r="O126" s="57">
        <v>10400</v>
      </c>
      <c r="P126" s="57">
        <f>SUM(P127:P127)</f>
        <v>0</v>
      </c>
      <c r="Q126" s="186">
        <f t="shared" si="13"/>
        <v>0</v>
      </c>
      <c r="R126" s="57">
        <f>SUM(R127:R127)</f>
        <v>0</v>
      </c>
      <c r="S126" s="57">
        <f>SUM(S127:S127)</f>
        <v>10000</v>
      </c>
      <c r="T126" s="57">
        <v>4900</v>
      </c>
      <c r="U126" s="57">
        <f>SUM(U127:U127)</f>
        <v>0</v>
      </c>
      <c r="V126" s="57">
        <f>SUM(V127:V127)</f>
        <v>0</v>
      </c>
      <c r="W126" s="32">
        <f t="shared" si="12"/>
        <v>4900</v>
      </c>
    </row>
    <row r="127" spans="1:23" ht="24">
      <c r="A127" s="25"/>
      <c r="B127" s="48"/>
      <c r="C127" s="45">
        <v>4390</v>
      </c>
      <c r="D127" s="46" t="s">
        <v>41</v>
      </c>
      <c r="E127" s="11"/>
      <c r="F127" s="11">
        <v>15128</v>
      </c>
      <c r="G127" s="12"/>
      <c r="H127" s="11">
        <f>G127</f>
        <v>0</v>
      </c>
      <c r="I127" s="11"/>
      <c r="J127" s="47">
        <v>2500</v>
      </c>
      <c r="K127" s="47">
        <v>15738</v>
      </c>
      <c r="L127" s="47">
        <v>15738</v>
      </c>
      <c r="M127" s="47">
        <v>20000</v>
      </c>
      <c r="N127" s="47">
        <v>10400</v>
      </c>
      <c r="O127" s="47">
        <v>10400</v>
      </c>
      <c r="P127" s="47"/>
      <c r="Q127" s="186">
        <f t="shared" si="13"/>
        <v>0</v>
      </c>
      <c r="R127" s="47">
        <v>0</v>
      </c>
      <c r="S127" s="47">
        <v>10000</v>
      </c>
      <c r="T127" s="47">
        <v>4900</v>
      </c>
      <c r="U127" s="47"/>
      <c r="V127" s="47"/>
      <c r="W127" s="32">
        <f t="shared" si="12"/>
        <v>4900</v>
      </c>
    </row>
    <row r="128" spans="1:23" ht="12">
      <c r="A128" s="33"/>
      <c r="B128" s="33">
        <v>71015</v>
      </c>
      <c r="C128" s="36"/>
      <c r="D128" s="42" t="s">
        <v>66</v>
      </c>
      <c r="E128" s="35">
        <f>SUM(E130:E154)</f>
        <v>325630</v>
      </c>
      <c r="F128" s="35">
        <f>SUM(F130:F154)</f>
        <v>344204</v>
      </c>
      <c r="G128" s="35">
        <f>SUM(G130:G154)</f>
        <v>380081</v>
      </c>
      <c r="H128" s="35">
        <f>SUM(H130:H154)</f>
        <v>379003</v>
      </c>
      <c r="I128" s="35"/>
      <c r="J128" s="35">
        <f>SUM(J130:J154)</f>
        <v>456600</v>
      </c>
      <c r="K128" s="35">
        <f>SUM(K130:K154)</f>
        <v>501672</v>
      </c>
      <c r="L128" s="35">
        <f>SUM(L130:L154)</f>
        <v>501672</v>
      </c>
      <c r="M128" s="35">
        <f>SUM(M130:M154)</f>
        <v>618781</v>
      </c>
      <c r="N128" s="35">
        <v>531400</v>
      </c>
      <c r="O128" s="35">
        <v>531400</v>
      </c>
      <c r="P128" s="35">
        <f>SUM(P129:P154)</f>
        <v>247485</v>
      </c>
      <c r="Q128" s="186">
        <f t="shared" si="13"/>
        <v>0.4657226194956718</v>
      </c>
      <c r="R128" s="35">
        <f>SUM(R129:R154)</f>
        <v>519580</v>
      </c>
      <c r="S128" s="35">
        <f>SUM(S129:S154)</f>
        <v>536200</v>
      </c>
      <c r="T128" s="35">
        <v>579763</v>
      </c>
      <c r="U128" s="35">
        <f>SUM(U129:U154)</f>
        <v>3739</v>
      </c>
      <c r="V128" s="35">
        <f>SUM(V129:V154)</f>
        <v>3289</v>
      </c>
      <c r="W128" s="32">
        <f t="shared" si="12"/>
        <v>580213</v>
      </c>
    </row>
    <row r="129" spans="1:23" ht="12">
      <c r="A129" s="33"/>
      <c r="B129" s="33"/>
      <c r="C129" s="36"/>
      <c r="D129" s="27" t="s">
        <v>67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186"/>
      <c r="R129" s="56"/>
      <c r="S129" s="56"/>
      <c r="T129" s="56">
        <v>0</v>
      </c>
      <c r="U129" s="56"/>
      <c r="V129" s="56"/>
      <c r="W129" s="32">
        <f t="shared" si="12"/>
        <v>0</v>
      </c>
    </row>
    <row r="130" spans="1:23" ht="24">
      <c r="A130" s="8"/>
      <c r="B130" s="8"/>
      <c r="C130" s="26">
        <v>3020</v>
      </c>
      <c r="D130" s="27" t="s">
        <v>68</v>
      </c>
      <c r="E130" s="11">
        <v>13500</v>
      </c>
      <c r="F130" s="11">
        <v>500</v>
      </c>
      <c r="G130" s="12">
        <v>500</v>
      </c>
      <c r="H130" s="12">
        <v>500</v>
      </c>
      <c r="I130" s="12"/>
      <c r="J130" s="12">
        <v>500</v>
      </c>
      <c r="K130" s="12">
        <v>800</v>
      </c>
      <c r="L130" s="12">
        <v>800</v>
      </c>
      <c r="M130" s="12">
        <v>831</v>
      </c>
      <c r="N130" s="12">
        <v>800</v>
      </c>
      <c r="O130" s="12">
        <v>800</v>
      </c>
      <c r="P130" s="12"/>
      <c r="Q130" s="186">
        <f t="shared" si="13"/>
        <v>0</v>
      </c>
      <c r="R130" s="182">
        <v>330</v>
      </c>
      <c r="S130" s="12">
        <v>400</v>
      </c>
      <c r="T130" s="12">
        <v>530</v>
      </c>
      <c r="U130" s="12"/>
      <c r="V130" s="12"/>
      <c r="W130" s="32">
        <f t="shared" si="12"/>
        <v>530</v>
      </c>
    </row>
    <row r="131" spans="1:23" ht="24">
      <c r="A131" s="8"/>
      <c r="B131" s="8"/>
      <c r="C131" s="9">
        <v>4010</v>
      </c>
      <c r="D131" s="27" t="s">
        <v>29</v>
      </c>
      <c r="E131" s="11">
        <v>186030</v>
      </c>
      <c r="F131" s="11">
        <v>217630</v>
      </c>
      <c r="G131" s="12">
        <v>237957</v>
      </c>
      <c r="H131" s="12">
        <v>237957</v>
      </c>
      <c r="I131" s="12">
        <f>238000+15600</f>
        <v>253600</v>
      </c>
      <c r="J131" s="12">
        <v>253600</v>
      </c>
      <c r="K131" s="12">
        <v>318670</v>
      </c>
      <c r="L131" s="12">
        <v>318670</v>
      </c>
      <c r="M131" s="12">
        <v>93577</v>
      </c>
      <c r="N131" s="12">
        <v>80500</v>
      </c>
      <c r="O131" s="12">
        <v>80500</v>
      </c>
      <c r="P131" s="12">
        <v>40417</v>
      </c>
      <c r="Q131" s="186">
        <f t="shared" si="13"/>
        <v>0.5020745341614907</v>
      </c>
      <c r="R131" s="182">
        <v>83021</v>
      </c>
      <c r="S131" s="12">
        <v>91600</v>
      </c>
      <c r="T131" s="12">
        <v>93300</v>
      </c>
      <c r="U131" s="12"/>
      <c r="V131" s="12"/>
      <c r="W131" s="32">
        <f t="shared" si="12"/>
        <v>93300</v>
      </c>
    </row>
    <row r="132" spans="1:23" ht="24">
      <c r="A132" s="8"/>
      <c r="B132" s="8"/>
      <c r="C132" s="9">
        <v>4020</v>
      </c>
      <c r="D132" s="27" t="s">
        <v>266</v>
      </c>
      <c r="E132" s="11"/>
      <c r="F132" s="11"/>
      <c r="G132" s="12"/>
      <c r="H132" s="12"/>
      <c r="I132" s="12"/>
      <c r="J132" s="12"/>
      <c r="K132" s="12"/>
      <c r="L132" s="12"/>
      <c r="M132" s="12">
        <v>310989</v>
      </c>
      <c r="N132" s="12">
        <v>250700</v>
      </c>
      <c r="O132" s="12">
        <v>253014</v>
      </c>
      <c r="P132" s="12">
        <v>119024</v>
      </c>
      <c r="Q132" s="186">
        <f t="shared" si="13"/>
        <v>0.47042456148671613</v>
      </c>
      <c r="R132" s="12">
        <v>243359</v>
      </c>
      <c r="S132" s="12">
        <v>243000</v>
      </c>
      <c r="T132" s="12">
        <v>268150</v>
      </c>
      <c r="U132" s="12">
        <v>2339</v>
      </c>
      <c r="V132" s="12"/>
      <c r="W132" s="32">
        <f t="shared" si="12"/>
        <v>270489</v>
      </c>
    </row>
    <row r="133" spans="1:23" ht="12">
      <c r="A133" s="8"/>
      <c r="B133" s="8"/>
      <c r="C133" s="26">
        <v>4040</v>
      </c>
      <c r="D133" s="27" t="s">
        <v>30</v>
      </c>
      <c r="E133" s="11">
        <v>12500</v>
      </c>
      <c r="F133" s="11">
        <v>13100</v>
      </c>
      <c r="G133" s="12">
        <v>17000</v>
      </c>
      <c r="H133" s="12">
        <v>17000</v>
      </c>
      <c r="I133" s="12"/>
      <c r="J133" s="12">
        <v>17000</v>
      </c>
      <c r="K133" s="12">
        <v>16835</v>
      </c>
      <c r="L133" s="12">
        <v>16835</v>
      </c>
      <c r="M133" s="12">
        <v>25381</v>
      </c>
      <c r="N133" s="12">
        <v>25000</v>
      </c>
      <c r="O133" s="12">
        <v>22686</v>
      </c>
      <c r="P133" s="12">
        <v>22686</v>
      </c>
      <c r="Q133" s="186">
        <f t="shared" si="13"/>
        <v>1</v>
      </c>
      <c r="R133" s="12">
        <f>P133</f>
        <v>22686</v>
      </c>
      <c r="S133" s="183">
        <v>28000</v>
      </c>
      <c r="T133" s="183">
        <v>28000</v>
      </c>
      <c r="U133" s="183">
        <v>450</v>
      </c>
      <c r="V133" s="183">
        <f>2339+450</f>
        <v>2789</v>
      </c>
      <c r="W133" s="32">
        <f t="shared" si="12"/>
        <v>25661</v>
      </c>
    </row>
    <row r="134" spans="1:23" ht="24">
      <c r="A134" s="8"/>
      <c r="B134" s="8"/>
      <c r="C134" s="26">
        <v>4110</v>
      </c>
      <c r="D134" s="27" t="s">
        <v>31</v>
      </c>
      <c r="E134" s="11">
        <v>34030</v>
      </c>
      <c r="F134" s="11">
        <v>37210</v>
      </c>
      <c r="G134" s="12">
        <v>41149</v>
      </c>
      <c r="H134" s="12">
        <v>40193</v>
      </c>
      <c r="I134" s="12"/>
      <c r="J134" s="12">
        <v>42800</v>
      </c>
      <c r="K134" s="12">
        <v>53212</v>
      </c>
      <c r="L134" s="12">
        <v>53212</v>
      </c>
      <c r="M134" s="12">
        <v>69049</v>
      </c>
      <c r="N134" s="12">
        <v>57600</v>
      </c>
      <c r="O134" s="12">
        <v>57600</v>
      </c>
      <c r="P134" s="12">
        <v>24628</v>
      </c>
      <c r="Q134" s="186">
        <f t="shared" si="13"/>
        <v>0.42756944444444445</v>
      </c>
      <c r="R134" s="12">
        <v>56238</v>
      </c>
      <c r="S134" s="183">
        <v>57700</v>
      </c>
      <c r="T134" s="183">
        <v>61730</v>
      </c>
      <c r="U134" s="183"/>
      <c r="V134" s="183"/>
      <c r="W134" s="32">
        <f t="shared" si="12"/>
        <v>61730</v>
      </c>
    </row>
    <row r="135" spans="1:23" ht="12">
      <c r="A135" s="8"/>
      <c r="B135" s="8"/>
      <c r="C135" s="26">
        <v>4120</v>
      </c>
      <c r="D135" s="27" t="s">
        <v>32</v>
      </c>
      <c r="E135" s="11">
        <v>4750</v>
      </c>
      <c r="F135" s="11">
        <v>4980</v>
      </c>
      <c r="G135" s="12">
        <v>6104</v>
      </c>
      <c r="H135" s="12">
        <v>6132</v>
      </c>
      <c r="I135" s="12"/>
      <c r="J135" s="12">
        <v>6600</v>
      </c>
      <c r="K135" s="12">
        <v>8245</v>
      </c>
      <c r="L135" s="12">
        <v>8245</v>
      </c>
      <c r="M135" s="12">
        <v>10534</v>
      </c>
      <c r="N135" s="12">
        <v>8800</v>
      </c>
      <c r="O135" s="12">
        <v>8800</v>
      </c>
      <c r="P135" s="12">
        <v>3768</v>
      </c>
      <c r="Q135" s="186">
        <f t="shared" si="13"/>
        <v>0.42818181818181816</v>
      </c>
      <c r="R135" s="12">
        <v>8776</v>
      </c>
      <c r="S135" s="12">
        <v>8900</v>
      </c>
      <c r="T135" s="12">
        <v>9520</v>
      </c>
      <c r="U135" s="12"/>
      <c r="V135" s="12"/>
      <c r="W135" s="32">
        <f t="shared" si="12"/>
        <v>9520</v>
      </c>
    </row>
    <row r="136" spans="1:23" ht="12">
      <c r="A136" s="8"/>
      <c r="B136" s="8"/>
      <c r="C136" s="26">
        <v>4170</v>
      </c>
      <c r="D136" s="27" t="s">
        <v>69</v>
      </c>
      <c r="E136" s="11">
        <v>1600</v>
      </c>
      <c r="F136" s="11">
        <v>1600</v>
      </c>
      <c r="G136" s="12">
        <v>1700</v>
      </c>
      <c r="H136" s="12">
        <v>1700</v>
      </c>
      <c r="I136" s="12"/>
      <c r="J136" s="12">
        <v>1700</v>
      </c>
      <c r="K136" s="12">
        <v>1100</v>
      </c>
      <c r="L136" s="12">
        <v>1100</v>
      </c>
      <c r="M136" s="58">
        <v>16500</v>
      </c>
      <c r="N136" s="12">
        <v>16500</v>
      </c>
      <c r="O136" s="12">
        <v>16500</v>
      </c>
      <c r="P136" s="12"/>
      <c r="Q136" s="186">
        <f t="shared" si="13"/>
        <v>0</v>
      </c>
      <c r="R136" s="12">
        <v>0</v>
      </c>
      <c r="S136" s="12"/>
      <c r="T136" s="12">
        <v>2700</v>
      </c>
      <c r="U136" s="12"/>
      <c r="V136" s="12"/>
      <c r="W136" s="32">
        <f t="shared" si="12"/>
        <v>2700</v>
      </c>
    </row>
    <row r="137" spans="1:23" ht="12">
      <c r="A137" s="8"/>
      <c r="B137" s="8"/>
      <c r="C137" s="26">
        <v>4210</v>
      </c>
      <c r="D137" s="27" t="s">
        <v>34</v>
      </c>
      <c r="E137" s="11">
        <v>16080</v>
      </c>
      <c r="F137" s="11">
        <v>10444</v>
      </c>
      <c r="G137" s="12">
        <v>12100</v>
      </c>
      <c r="H137" s="12">
        <v>12100</v>
      </c>
      <c r="I137" s="12"/>
      <c r="J137" s="12">
        <v>51000</v>
      </c>
      <c r="K137" s="12">
        <v>33490</v>
      </c>
      <c r="L137" s="12">
        <v>33490</v>
      </c>
      <c r="M137" s="12">
        <v>24953</v>
      </c>
      <c r="N137" s="12">
        <v>25000</v>
      </c>
      <c r="O137" s="12">
        <v>25000</v>
      </c>
      <c r="P137" s="12">
        <v>7103</v>
      </c>
      <c r="Q137" s="186">
        <f t="shared" si="13"/>
        <v>0.28412</v>
      </c>
      <c r="R137" s="182">
        <v>25000</v>
      </c>
      <c r="S137" s="12">
        <v>20000</v>
      </c>
      <c r="T137" s="12">
        <v>23233</v>
      </c>
      <c r="U137" s="12">
        <v>450</v>
      </c>
      <c r="V137" s="12">
        <v>500</v>
      </c>
      <c r="W137" s="32">
        <f t="shared" si="12"/>
        <v>23183</v>
      </c>
    </row>
    <row r="138" spans="1:23" ht="12">
      <c r="A138" s="8"/>
      <c r="B138" s="8"/>
      <c r="C138" s="26">
        <v>4260</v>
      </c>
      <c r="D138" s="27" t="s">
        <v>35</v>
      </c>
      <c r="E138" s="11">
        <v>3970</v>
      </c>
      <c r="F138" s="11">
        <v>3970</v>
      </c>
      <c r="G138" s="12">
        <v>4061</v>
      </c>
      <c r="H138" s="12">
        <v>4061</v>
      </c>
      <c r="I138" s="12"/>
      <c r="J138" s="12">
        <v>4000</v>
      </c>
      <c r="K138" s="12">
        <v>3000</v>
      </c>
      <c r="L138" s="12">
        <v>3000</v>
      </c>
      <c r="M138" s="12">
        <v>3087</v>
      </c>
      <c r="N138" s="12">
        <v>3000</v>
      </c>
      <c r="O138" s="12">
        <v>16000</v>
      </c>
      <c r="P138" s="12">
        <v>4643</v>
      </c>
      <c r="Q138" s="186">
        <f t="shared" si="13"/>
        <v>0.2901875</v>
      </c>
      <c r="R138" s="182">
        <v>12500</v>
      </c>
      <c r="S138" s="12">
        <v>11000</v>
      </c>
      <c r="T138" s="12">
        <v>12500</v>
      </c>
      <c r="U138" s="12"/>
      <c r="V138" s="12"/>
      <c r="W138" s="32">
        <f t="shared" si="12"/>
        <v>12500</v>
      </c>
    </row>
    <row r="139" spans="1:23" ht="12">
      <c r="A139" s="8"/>
      <c r="B139" s="8"/>
      <c r="C139" s="26">
        <v>4270</v>
      </c>
      <c r="D139" s="27" t="s">
        <v>53</v>
      </c>
      <c r="E139" s="11">
        <v>550</v>
      </c>
      <c r="F139" s="11">
        <v>1550</v>
      </c>
      <c r="G139" s="12">
        <v>1500</v>
      </c>
      <c r="H139" s="12">
        <v>1500</v>
      </c>
      <c r="I139" s="12"/>
      <c r="J139" s="12">
        <v>1500</v>
      </c>
      <c r="K139" s="12">
        <v>500</v>
      </c>
      <c r="L139" s="12">
        <v>500</v>
      </c>
      <c r="M139" s="12">
        <v>8747</v>
      </c>
      <c r="N139" s="12">
        <v>8700</v>
      </c>
      <c r="O139" s="12">
        <v>1800</v>
      </c>
      <c r="P139" s="12"/>
      <c r="Q139" s="186">
        <f t="shared" si="13"/>
        <v>0</v>
      </c>
      <c r="R139" s="182">
        <v>450</v>
      </c>
      <c r="S139" s="12">
        <v>2200</v>
      </c>
      <c r="T139" s="12">
        <v>1150</v>
      </c>
      <c r="U139" s="12"/>
      <c r="V139" s="12"/>
      <c r="W139" s="32">
        <f t="shared" si="12"/>
        <v>1150</v>
      </c>
    </row>
    <row r="140" spans="1:23" ht="12">
      <c r="A140" s="8"/>
      <c r="B140" s="8"/>
      <c r="C140" s="26">
        <v>4280</v>
      </c>
      <c r="D140" s="27" t="s">
        <v>70</v>
      </c>
      <c r="E140" s="11">
        <v>200</v>
      </c>
      <c r="F140" s="11">
        <v>200</v>
      </c>
      <c r="G140" s="12">
        <v>200</v>
      </c>
      <c r="H140" s="12">
        <v>200</v>
      </c>
      <c r="I140" s="12"/>
      <c r="J140" s="12">
        <v>200</v>
      </c>
      <c r="K140" s="12">
        <v>300</v>
      </c>
      <c r="L140" s="12">
        <v>300</v>
      </c>
      <c r="M140" s="12">
        <v>206</v>
      </c>
      <c r="N140" s="12">
        <v>200</v>
      </c>
      <c r="O140" s="12">
        <v>200</v>
      </c>
      <c r="P140" s="12"/>
      <c r="Q140" s="186">
        <f t="shared" si="13"/>
        <v>0</v>
      </c>
      <c r="R140" s="182">
        <v>0</v>
      </c>
      <c r="S140" s="12"/>
      <c r="T140" s="12">
        <v>200</v>
      </c>
      <c r="U140" s="12"/>
      <c r="V140" s="12"/>
      <c r="W140" s="32">
        <f t="shared" si="12"/>
        <v>200</v>
      </c>
    </row>
    <row r="141" spans="1:23" ht="12">
      <c r="A141" s="8"/>
      <c r="B141" s="8"/>
      <c r="C141" s="26">
        <v>4300</v>
      </c>
      <c r="D141" s="27" t="s">
        <v>71</v>
      </c>
      <c r="E141" s="11">
        <v>13560</v>
      </c>
      <c r="F141" s="11">
        <v>13560</v>
      </c>
      <c r="G141" s="12">
        <v>16800</v>
      </c>
      <c r="H141" s="12">
        <v>16600</v>
      </c>
      <c r="I141" s="12"/>
      <c r="J141" s="12">
        <v>36600</v>
      </c>
      <c r="K141" s="12">
        <v>22300</v>
      </c>
      <c r="L141" s="12">
        <v>22300</v>
      </c>
      <c r="M141" s="12">
        <v>17802</v>
      </c>
      <c r="N141" s="12">
        <v>17800</v>
      </c>
      <c r="O141" s="12">
        <v>19768</v>
      </c>
      <c r="P141" s="12">
        <v>9253</v>
      </c>
      <c r="Q141" s="186">
        <f t="shared" si="13"/>
        <v>0.46807972480777016</v>
      </c>
      <c r="R141" s="182">
        <v>38968</v>
      </c>
      <c r="S141" s="12">
        <v>34000</v>
      </c>
      <c r="T141" s="12">
        <v>46843</v>
      </c>
      <c r="U141" s="12"/>
      <c r="V141" s="12"/>
      <c r="W141" s="32">
        <f t="shared" si="12"/>
        <v>46843</v>
      </c>
    </row>
    <row r="142" spans="1:23" ht="24">
      <c r="A142" s="8"/>
      <c r="B142" s="8"/>
      <c r="C142" s="26">
        <v>4350</v>
      </c>
      <c r="D142" s="27" t="s">
        <v>38</v>
      </c>
      <c r="E142" s="11"/>
      <c r="F142" s="11"/>
      <c r="G142" s="12"/>
      <c r="H142" s="12"/>
      <c r="I142" s="12"/>
      <c r="J142" s="12"/>
      <c r="K142" s="12">
        <v>300</v>
      </c>
      <c r="L142" s="12">
        <v>300</v>
      </c>
      <c r="M142" s="12">
        <v>720</v>
      </c>
      <c r="N142" s="12">
        <v>700</v>
      </c>
      <c r="O142" s="12">
        <v>700</v>
      </c>
      <c r="P142" s="12">
        <v>322</v>
      </c>
      <c r="Q142" s="186">
        <f t="shared" si="13"/>
        <v>0.46</v>
      </c>
      <c r="R142" s="182">
        <v>700</v>
      </c>
      <c r="S142" s="12">
        <v>700</v>
      </c>
      <c r="T142" s="12">
        <v>700</v>
      </c>
      <c r="U142" s="12"/>
      <c r="V142" s="12"/>
      <c r="W142" s="32">
        <f t="shared" si="12"/>
        <v>700</v>
      </c>
    </row>
    <row r="143" spans="1:23" ht="36">
      <c r="A143" s="8"/>
      <c r="B143" s="8"/>
      <c r="C143" s="26">
        <v>4360</v>
      </c>
      <c r="D143" s="27" t="s">
        <v>39</v>
      </c>
      <c r="E143" s="11">
        <v>490</v>
      </c>
      <c r="F143" s="11">
        <v>490</v>
      </c>
      <c r="G143" s="12">
        <v>1900</v>
      </c>
      <c r="H143" s="12">
        <v>1900</v>
      </c>
      <c r="I143" s="12"/>
      <c r="J143" s="12">
        <v>2000</v>
      </c>
      <c r="K143" s="12">
        <v>1300</v>
      </c>
      <c r="L143" s="12">
        <v>1300</v>
      </c>
      <c r="M143" s="12">
        <v>1338</v>
      </c>
      <c r="N143" s="12">
        <v>1300</v>
      </c>
      <c r="O143" s="12">
        <v>1300</v>
      </c>
      <c r="P143" s="12">
        <v>585</v>
      </c>
      <c r="Q143" s="186">
        <f t="shared" si="13"/>
        <v>0.45</v>
      </c>
      <c r="R143" s="182">
        <v>1300</v>
      </c>
      <c r="S143" s="12">
        <v>1200</v>
      </c>
      <c r="T143" s="12">
        <v>1200</v>
      </c>
      <c r="U143" s="12"/>
      <c r="V143" s="12"/>
      <c r="W143" s="32">
        <f t="shared" si="12"/>
        <v>1200</v>
      </c>
    </row>
    <row r="144" spans="1:23" ht="24">
      <c r="A144" s="8"/>
      <c r="B144" s="8"/>
      <c r="C144" s="26">
        <v>4370</v>
      </c>
      <c r="D144" s="27" t="s">
        <v>40</v>
      </c>
      <c r="E144" s="11">
        <v>5690</v>
      </c>
      <c r="F144" s="11">
        <v>5690</v>
      </c>
      <c r="G144" s="12">
        <v>5200</v>
      </c>
      <c r="H144" s="12">
        <v>5200</v>
      </c>
      <c r="I144" s="12"/>
      <c r="J144" s="12">
        <v>5200</v>
      </c>
      <c r="K144" s="12">
        <v>5200</v>
      </c>
      <c r="L144" s="12">
        <v>5200</v>
      </c>
      <c r="M144" s="12">
        <v>5351</v>
      </c>
      <c r="N144" s="12">
        <v>5300</v>
      </c>
      <c r="O144" s="12">
        <v>5300</v>
      </c>
      <c r="P144" s="12">
        <v>2029</v>
      </c>
      <c r="Q144" s="186">
        <f t="shared" si="13"/>
        <v>0.3828301886792453</v>
      </c>
      <c r="R144" s="182">
        <v>5300</v>
      </c>
      <c r="S144" s="12">
        <v>4800</v>
      </c>
      <c r="T144" s="12">
        <v>4800</v>
      </c>
      <c r="U144" s="12"/>
      <c r="V144" s="12"/>
      <c r="W144" s="32">
        <f t="shared" si="12"/>
        <v>4800</v>
      </c>
    </row>
    <row r="145" spans="1:23" ht="36">
      <c r="A145" s="8"/>
      <c r="B145" s="8"/>
      <c r="C145" s="26">
        <v>4400</v>
      </c>
      <c r="D145" s="27" t="s">
        <v>72</v>
      </c>
      <c r="E145" s="11">
        <v>18580</v>
      </c>
      <c r="F145" s="11">
        <v>18580</v>
      </c>
      <c r="G145" s="12">
        <v>19005</v>
      </c>
      <c r="H145" s="12">
        <v>19005</v>
      </c>
      <c r="I145" s="12"/>
      <c r="J145" s="12">
        <v>19000</v>
      </c>
      <c r="K145" s="12">
        <v>15450</v>
      </c>
      <c r="L145" s="12">
        <v>15450</v>
      </c>
      <c r="M145" s="12">
        <v>8232</v>
      </c>
      <c r="N145" s="12">
        <v>8200</v>
      </c>
      <c r="O145" s="12">
        <v>200</v>
      </c>
      <c r="P145" s="12"/>
      <c r="Q145" s="186">
        <f t="shared" si="13"/>
        <v>0</v>
      </c>
      <c r="R145" s="182">
        <v>0</v>
      </c>
      <c r="S145" s="12">
        <v>14400</v>
      </c>
      <c r="T145" s="12">
        <v>4700</v>
      </c>
      <c r="U145" s="12"/>
      <c r="V145" s="12"/>
      <c r="W145" s="32">
        <f t="shared" si="12"/>
        <v>4700</v>
      </c>
    </row>
    <row r="146" spans="1:23" ht="12">
      <c r="A146" s="8"/>
      <c r="B146" s="8"/>
      <c r="C146" s="26">
        <v>4410</v>
      </c>
      <c r="D146" s="27" t="s">
        <v>42</v>
      </c>
      <c r="E146" s="11">
        <v>500</v>
      </c>
      <c r="F146" s="11">
        <v>500</v>
      </c>
      <c r="G146" s="12">
        <v>500</v>
      </c>
      <c r="H146" s="12">
        <v>500</v>
      </c>
      <c r="I146" s="12"/>
      <c r="J146" s="12">
        <v>500</v>
      </c>
      <c r="K146" s="12">
        <v>500</v>
      </c>
      <c r="L146" s="12">
        <v>500</v>
      </c>
      <c r="M146" s="12">
        <v>515</v>
      </c>
      <c r="N146" s="12">
        <v>500</v>
      </c>
      <c r="O146" s="12">
        <v>2100</v>
      </c>
      <c r="P146" s="12">
        <v>363</v>
      </c>
      <c r="Q146" s="186">
        <f t="shared" si="13"/>
        <v>0.17285714285714285</v>
      </c>
      <c r="R146" s="182">
        <v>2100</v>
      </c>
      <c r="S146" s="12">
        <v>3000</v>
      </c>
      <c r="T146" s="12">
        <v>3000</v>
      </c>
      <c r="U146" s="12"/>
      <c r="V146" s="12"/>
      <c r="W146" s="32">
        <f t="shared" si="12"/>
        <v>3000</v>
      </c>
    </row>
    <row r="147" spans="1:23" ht="12">
      <c r="A147" s="8"/>
      <c r="B147" s="8"/>
      <c r="C147" s="26">
        <v>4430</v>
      </c>
      <c r="D147" s="27" t="s">
        <v>43</v>
      </c>
      <c r="E147" s="11">
        <v>2650</v>
      </c>
      <c r="F147" s="11">
        <v>2650</v>
      </c>
      <c r="G147" s="12">
        <v>2700</v>
      </c>
      <c r="H147" s="12">
        <v>2700</v>
      </c>
      <c r="I147" s="12"/>
      <c r="J147" s="12">
        <v>2700</v>
      </c>
      <c r="K147" s="12">
        <v>1600</v>
      </c>
      <c r="L147" s="12">
        <v>1600</v>
      </c>
      <c r="M147" s="12">
        <v>2984</v>
      </c>
      <c r="N147" s="12">
        <v>2900</v>
      </c>
      <c r="O147" s="12">
        <v>1690</v>
      </c>
      <c r="P147" s="12">
        <v>274</v>
      </c>
      <c r="Q147" s="186">
        <f t="shared" si="13"/>
        <v>0.1621301775147929</v>
      </c>
      <c r="R147" s="182">
        <v>1690</v>
      </c>
      <c r="S147" s="12">
        <v>1500</v>
      </c>
      <c r="T147" s="12">
        <v>3350</v>
      </c>
      <c r="U147" s="12"/>
      <c r="V147" s="12"/>
      <c r="W147" s="32">
        <f t="shared" si="12"/>
        <v>3350</v>
      </c>
    </row>
    <row r="148" spans="1:23" ht="24">
      <c r="A148" s="8"/>
      <c r="B148" s="8"/>
      <c r="C148" s="26">
        <v>4440</v>
      </c>
      <c r="D148" s="27" t="s">
        <v>44</v>
      </c>
      <c r="E148" s="11">
        <v>6240</v>
      </c>
      <c r="F148" s="11">
        <v>6840</v>
      </c>
      <c r="G148" s="12">
        <v>7005</v>
      </c>
      <c r="H148" s="12">
        <v>7055</v>
      </c>
      <c r="I148" s="12"/>
      <c r="J148" s="12">
        <v>7000</v>
      </c>
      <c r="K148" s="12">
        <v>7706</v>
      </c>
      <c r="L148" s="12">
        <v>7706</v>
      </c>
      <c r="M148" s="12">
        <v>8930</v>
      </c>
      <c r="N148" s="12">
        <v>8900</v>
      </c>
      <c r="O148" s="12">
        <v>8500</v>
      </c>
      <c r="P148" s="12">
        <v>6375</v>
      </c>
      <c r="Q148" s="186">
        <f t="shared" si="13"/>
        <v>0.75</v>
      </c>
      <c r="R148" s="182">
        <v>8500</v>
      </c>
      <c r="S148" s="12">
        <v>8500</v>
      </c>
      <c r="T148" s="12">
        <v>8907</v>
      </c>
      <c r="U148" s="12"/>
      <c r="V148" s="12"/>
      <c r="W148" s="32">
        <f t="shared" si="12"/>
        <v>8907</v>
      </c>
    </row>
    <row r="149" spans="1:23" ht="12">
      <c r="A149" s="8"/>
      <c r="B149" s="8"/>
      <c r="C149" s="26">
        <v>4480</v>
      </c>
      <c r="D149" s="27" t="s">
        <v>132</v>
      </c>
      <c r="E149" s="11"/>
      <c r="F149" s="11"/>
      <c r="G149" s="12"/>
      <c r="H149" s="12"/>
      <c r="I149" s="12"/>
      <c r="J149" s="12"/>
      <c r="K149" s="12"/>
      <c r="L149" s="12"/>
      <c r="M149" s="12"/>
      <c r="N149" s="12">
        <v>0</v>
      </c>
      <c r="O149" s="12">
        <v>1210</v>
      </c>
      <c r="P149" s="12">
        <v>301</v>
      </c>
      <c r="Q149" s="186">
        <f t="shared" si="13"/>
        <v>0.2487603305785124</v>
      </c>
      <c r="R149" s="182">
        <v>1202</v>
      </c>
      <c r="S149" s="12">
        <v>1300</v>
      </c>
      <c r="T149" s="12">
        <v>1300</v>
      </c>
      <c r="U149" s="12"/>
      <c r="V149" s="12"/>
      <c r="W149" s="32">
        <f t="shared" si="12"/>
        <v>1300</v>
      </c>
    </row>
    <row r="150" spans="1:23" ht="24">
      <c r="A150" s="8"/>
      <c r="B150" s="8"/>
      <c r="C150" s="26">
        <v>4550</v>
      </c>
      <c r="D150" s="27" t="s">
        <v>308</v>
      </c>
      <c r="E150" s="11"/>
      <c r="F150" s="11"/>
      <c r="G150" s="12"/>
      <c r="H150" s="12"/>
      <c r="I150" s="12"/>
      <c r="J150" s="12"/>
      <c r="K150" s="12"/>
      <c r="L150" s="12"/>
      <c r="M150" s="12"/>
      <c r="N150" s="12">
        <v>0</v>
      </c>
      <c r="O150" s="12">
        <v>1000</v>
      </c>
      <c r="P150" s="12">
        <v>386</v>
      </c>
      <c r="Q150" s="186">
        <f t="shared" si="13"/>
        <v>0.386</v>
      </c>
      <c r="R150" s="182">
        <v>386</v>
      </c>
      <c r="S150" s="12">
        <v>800</v>
      </c>
      <c r="T150" s="12">
        <v>800</v>
      </c>
      <c r="U150" s="12"/>
      <c r="V150" s="12"/>
      <c r="W150" s="32">
        <f t="shared" si="12"/>
        <v>800</v>
      </c>
    </row>
    <row r="151" spans="1:23" ht="24" hidden="1">
      <c r="A151" s="8"/>
      <c r="B151" s="8"/>
      <c r="C151" s="26">
        <v>4610</v>
      </c>
      <c r="D151" s="27" t="s">
        <v>56</v>
      </c>
      <c r="E151" s="11">
        <v>1000</v>
      </c>
      <c r="F151" s="11">
        <v>1000</v>
      </c>
      <c r="G151" s="12">
        <v>1000</v>
      </c>
      <c r="H151" s="12">
        <v>1000</v>
      </c>
      <c r="I151" s="12"/>
      <c r="J151" s="12">
        <v>1000</v>
      </c>
      <c r="K151" s="12">
        <v>1000</v>
      </c>
      <c r="L151" s="12">
        <v>1000</v>
      </c>
      <c r="M151" s="12">
        <v>1029</v>
      </c>
      <c r="N151" s="12">
        <v>0</v>
      </c>
      <c r="O151" s="12">
        <v>732</v>
      </c>
      <c r="P151" s="12">
        <v>732</v>
      </c>
      <c r="Q151" s="186">
        <f t="shared" si="13"/>
        <v>1</v>
      </c>
      <c r="R151" s="182">
        <v>732</v>
      </c>
      <c r="S151" s="12">
        <v>0</v>
      </c>
      <c r="T151" s="12">
        <v>0</v>
      </c>
      <c r="U151" s="12">
        <v>0</v>
      </c>
      <c r="V151" s="12">
        <v>0</v>
      </c>
      <c r="W151" s="32">
        <f t="shared" si="12"/>
        <v>0</v>
      </c>
    </row>
    <row r="152" spans="1:23" ht="36">
      <c r="A152" s="8"/>
      <c r="B152" s="8"/>
      <c r="C152" s="26">
        <v>4740</v>
      </c>
      <c r="D152" s="27" t="s">
        <v>73</v>
      </c>
      <c r="E152" s="11">
        <v>920</v>
      </c>
      <c r="F152" s="11">
        <v>920</v>
      </c>
      <c r="G152" s="12">
        <v>1200</v>
      </c>
      <c r="H152" s="12">
        <v>1200</v>
      </c>
      <c r="I152" s="12"/>
      <c r="J152" s="12">
        <v>1200</v>
      </c>
      <c r="K152" s="12">
        <v>1200</v>
      </c>
      <c r="L152" s="12">
        <v>1200</v>
      </c>
      <c r="M152" s="12">
        <v>1235</v>
      </c>
      <c r="N152" s="12">
        <v>1200</v>
      </c>
      <c r="O152" s="12">
        <v>1200</v>
      </c>
      <c r="P152" s="12">
        <v>351</v>
      </c>
      <c r="Q152" s="186">
        <f t="shared" si="13"/>
        <v>0.2925</v>
      </c>
      <c r="R152" s="182">
        <v>542</v>
      </c>
      <c r="S152" s="12">
        <v>600</v>
      </c>
      <c r="T152" s="12">
        <v>550</v>
      </c>
      <c r="U152" s="12">
        <v>500</v>
      </c>
      <c r="V152" s="12"/>
      <c r="W152" s="32">
        <f t="shared" si="12"/>
        <v>1050</v>
      </c>
    </row>
    <row r="153" spans="1:23" ht="36">
      <c r="A153" s="8"/>
      <c r="B153" s="8"/>
      <c r="C153" s="26">
        <v>4700</v>
      </c>
      <c r="D153" s="27" t="s">
        <v>82</v>
      </c>
      <c r="E153" s="11"/>
      <c r="F153" s="11"/>
      <c r="G153" s="12"/>
      <c r="H153" s="12"/>
      <c r="I153" s="12"/>
      <c r="J153" s="12"/>
      <c r="K153" s="12"/>
      <c r="L153" s="12"/>
      <c r="M153" s="12"/>
      <c r="N153" s="12">
        <v>1000</v>
      </c>
      <c r="O153" s="12"/>
      <c r="P153" s="12"/>
      <c r="Q153" s="186"/>
      <c r="R153" s="182">
        <v>0</v>
      </c>
      <c r="S153" s="12">
        <v>200</v>
      </c>
      <c r="T153" s="12">
        <v>200</v>
      </c>
      <c r="U153" s="12"/>
      <c r="V153" s="12"/>
      <c r="W153" s="32">
        <f t="shared" si="12"/>
        <v>200</v>
      </c>
    </row>
    <row r="154" spans="1:23" ht="24">
      <c r="A154" s="8"/>
      <c r="B154" s="8"/>
      <c r="C154" s="26">
        <v>4750</v>
      </c>
      <c r="D154" s="27" t="s">
        <v>74</v>
      </c>
      <c r="E154" s="11">
        <v>2790</v>
      </c>
      <c r="F154" s="11">
        <v>2790</v>
      </c>
      <c r="G154" s="12">
        <v>2500</v>
      </c>
      <c r="H154" s="12">
        <v>2500</v>
      </c>
      <c r="I154" s="12"/>
      <c r="J154" s="12">
        <v>2500</v>
      </c>
      <c r="K154" s="12">
        <v>8964</v>
      </c>
      <c r="L154" s="12">
        <v>8964</v>
      </c>
      <c r="M154" s="12">
        <v>6791</v>
      </c>
      <c r="N154" s="12">
        <v>6800</v>
      </c>
      <c r="O154" s="12">
        <v>4800</v>
      </c>
      <c r="P154" s="12">
        <v>4245</v>
      </c>
      <c r="Q154" s="186">
        <f t="shared" si="13"/>
        <v>0.884375</v>
      </c>
      <c r="R154" s="182">
        <v>5800</v>
      </c>
      <c r="S154" s="12">
        <v>2400</v>
      </c>
      <c r="T154" s="12">
        <v>2400</v>
      </c>
      <c r="U154" s="12"/>
      <c r="V154" s="12"/>
      <c r="W154" s="32">
        <f t="shared" si="12"/>
        <v>2400</v>
      </c>
    </row>
    <row r="155" spans="1:23" ht="24" hidden="1">
      <c r="A155" s="8"/>
      <c r="B155" s="8"/>
      <c r="C155" s="26">
        <v>6060</v>
      </c>
      <c r="D155" s="27" t="s">
        <v>50</v>
      </c>
      <c r="E155" s="11"/>
      <c r="F155" s="11"/>
      <c r="G155" s="12"/>
      <c r="H155" s="12"/>
      <c r="I155" s="12"/>
      <c r="J155" s="12"/>
      <c r="K155" s="12"/>
      <c r="L155" s="12"/>
      <c r="M155" s="12"/>
      <c r="N155" s="12">
        <v>0</v>
      </c>
      <c r="O155" s="12"/>
      <c r="P155" s="12"/>
      <c r="Q155" s="186"/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32">
        <f t="shared" si="12"/>
        <v>0</v>
      </c>
    </row>
    <row r="156" spans="1:23" ht="12">
      <c r="A156" s="33"/>
      <c r="B156" s="33">
        <v>71095</v>
      </c>
      <c r="C156" s="36"/>
      <c r="D156" s="42" t="s">
        <v>75</v>
      </c>
      <c r="E156" s="35">
        <f>SUM(E157:E157)</f>
        <v>6000</v>
      </c>
      <c r="F156" s="35">
        <f>SUM(F157:F157)</f>
        <v>6000</v>
      </c>
      <c r="G156" s="37">
        <f>SUM(G157:G157)</f>
        <v>6000</v>
      </c>
      <c r="H156" s="37">
        <f>SUM(H157:H157)</f>
        <v>6000</v>
      </c>
      <c r="I156" s="37"/>
      <c r="J156" s="37">
        <f aca="true" t="shared" si="16" ref="J156:S156">SUM(J157:J157)</f>
        <v>6000</v>
      </c>
      <c r="K156" s="37">
        <f t="shared" si="16"/>
        <v>6000</v>
      </c>
      <c r="L156" s="37">
        <f t="shared" si="16"/>
        <v>6000</v>
      </c>
      <c r="M156" s="37">
        <f t="shared" si="16"/>
        <v>6000</v>
      </c>
      <c r="N156" s="37">
        <v>6000</v>
      </c>
      <c r="O156" s="37">
        <v>6000</v>
      </c>
      <c r="P156" s="37">
        <f t="shared" si="16"/>
        <v>1476</v>
      </c>
      <c r="Q156" s="186">
        <f t="shared" si="13"/>
        <v>0.246</v>
      </c>
      <c r="R156" s="37">
        <f t="shared" si="16"/>
        <v>6000</v>
      </c>
      <c r="S156" s="37">
        <f t="shared" si="16"/>
        <v>4000</v>
      </c>
      <c r="T156" s="37">
        <v>4000</v>
      </c>
      <c r="U156" s="37">
        <f>SUM(U157:U157)</f>
        <v>0</v>
      </c>
      <c r="V156" s="37">
        <f>SUM(V157:V157)</f>
        <v>0</v>
      </c>
      <c r="W156" s="32">
        <f t="shared" si="12"/>
        <v>4000</v>
      </c>
    </row>
    <row r="157" spans="1:23" ht="12">
      <c r="A157" s="25"/>
      <c r="B157" s="25"/>
      <c r="C157" s="26">
        <v>4300</v>
      </c>
      <c r="D157" s="27" t="s">
        <v>17</v>
      </c>
      <c r="E157" s="55">
        <v>6000</v>
      </c>
      <c r="F157" s="55">
        <v>6000</v>
      </c>
      <c r="G157" s="59">
        <v>6000</v>
      </c>
      <c r="H157" s="11">
        <f>G157</f>
        <v>6000</v>
      </c>
      <c r="I157" s="11"/>
      <c r="J157" s="47">
        <v>6000</v>
      </c>
      <c r="K157" s="47">
        <v>6000</v>
      </c>
      <c r="L157" s="47">
        <v>6000</v>
      </c>
      <c r="M157" s="47">
        <v>6000</v>
      </c>
      <c r="N157" s="11">
        <v>6000</v>
      </c>
      <c r="O157" s="11">
        <v>6000</v>
      </c>
      <c r="P157" s="11">
        <v>1476</v>
      </c>
      <c r="Q157" s="186">
        <f t="shared" si="13"/>
        <v>0.246</v>
      </c>
      <c r="R157" s="11">
        <v>6000</v>
      </c>
      <c r="S157" s="11">
        <v>4000</v>
      </c>
      <c r="T157" s="11">
        <v>4000</v>
      </c>
      <c r="U157" s="11"/>
      <c r="V157" s="11"/>
      <c r="W157" s="32">
        <f t="shared" si="12"/>
        <v>4000</v>
      </c>
    </row>
    <row r="158" spans="1:23" ht="12">
      <c r="A158" s="60">
        <v>750</v>
      </c>
      <c r="B158" s="60"/>
      <c r="C158" s="60"/>
      <c r="D158" s="61" t="s">
        <v>76</v>
      </c>
      <c r="E158" s="31">
        <f>E163+E208+E217+E252+E267</f>
        <v>5772570</v>
      </c>
      <c r="F158" s="31">
        <f>F163+F208+F217+F252+F267</f>
        <v>6250106</v>
      </c>
      <c r="G158" s="32">
        <f>G163+G208+G217+G252+G267</f>
        <v>6913680</v>
      </c>
      <c r="H158" s="32">
        <f>H163+H208+H217+H252+H267</f>
        <v>6823880</v>
      </c>
      <c r="I158" s="32"/>
      <c r="J158" s="32">
        <f>J163+J208+J217+J252+J267</f>
        <v>6614595</v>
      </c>
      <c r="K158" s="32">
        <f>K163+K208+K217+K252+K267</f>
        <v>7245276</v>
      </c>
      <c r="L158" s="32">
        <f>L163+L208+L217+L252+L267</f>
        <v>6962937</v>
      </c>
      <c r="M158" s="32">
        <f>M163+M208+M217+M252+M267</f>
        <v>8110382</v>
      </c>
      <c r="N158" s="32">
        <v>8199730</v>
      </c>
      <c r="O158" s="32">
        <v>8202347</v>
      </c>
      <c r="P158" s="32">
        <f>P163+P208+P217+P252+P267+P159</f>
        <v>3732915</v>
      </c>
      <c r="Q158" s="186">
        <f t="shared" si="13"/>
        <v>0.4551032771473823</v>
      </c>
      <c r="R158" s="32">
        <f>R163+R208+R217+R252+R267+R159</f>
        <v>8358351</v>
      </c>
      <c r="S158" s="32">
        <f>S163+S208+S217+S252+S267+S159</f>
        <v>8787000</v>
      </c>
      <c r="T158" s="32">
        <v>8259111</v>
      </c>
      <c r="U158" s="32">
        <f>U163+U208+U217+U252+U267+U159</f>
        <v>4000</v>
      </c>
      <c r="V158" s="32">
        <f>V163+V208+V217+V252+V267+V159</f>
        <v>7000</v>
      </c>
      <c r="W158" s="32">
        <f t="shared" si="12"/>
        <v>8256111</v>
      </c>
    </row>
    <row r="159" spans="1:23" ht="24" hidden="1">
      <c r="A159" s="9"/>
      <c r="B159" s="62">
        <v>75001</v>
      </c>
      <c r="C159" s="62"/>
      <c r="D159" s="63" t="s">
        <v>318</v>
      </c>
      <c r="E159" s="35">
        <f>SUM(E160:E171)</f>
        <v>928730</v>
      </c>
      <c r="F159" s="35">
        <f>SUM(F160:F171)</f>
        <v>972697</v>
      </c>
      <c r="G159" s="37">
        <f>SUM(G160:G171)</f>
        <v>1162344</v>
      </c>
      <c r="H159" s="37">
        <f>SUM(H160:H171)</f>
        <v>1162344</v>
      </c>
      <c r="I159" s="37"/>
      <c r="J159" s="37">
        <f>SUM(J160:J174)</f>
        <v>1165340</v>
      </c>
      <c r="K159" s="37">
        <f>SUM(K160:K174)</f>
        <v>1477196</v>
      </c>
      <c r="L159" s="37">
        <f>SUM(L160:L174)</f>
        <v>1351783</v>
      </c>
      <c r="M159" s="37">
        <f>SUM(M160:M174)</f>
        <v>1361617</v>
      </c>
      <c r="N159" s="37">
        <v>0</v>
      </c>
      <c r="O159" s="37">
        <v>4117</v>
      </c>
      <c r="P159" s="37">
        <f>SUM(P160:P162)</f>
        <v>24115</v>
      </c>
      <c r="Q159" s="186">
        <f t="shared" si="13"/>
        <v>5.857420451785281</v>
      </c>
      <c r="R159" s="37">
        <f>SUM(R160:R162)</f>
        <v>4117</v>
      </c>
      <c r="S159" s="37">
        <f>SUM(S160:S162)</f>
        <v>0</v>
      </c>
      <c r="T159" s="37">
        <v>0</v>
      </c>
      <c r="U159" s="37">
        <f>SUM(U160:U162)</f>
        <v>0</v>
      </c>
      <c r="V159" s="37">
        <f>SUM(V160:V162)</f>
        <v>0</v>
      </c>
      <c r="W159" s="32">
        <f t="shared" si="12"/>
        <v>0</v>
      </c>
    </row>
    <row r="160" spans="1:23" ht="72" hidden="1">
      <c r="A160" s="64"/>
      <c r="B160" s="44"/>
      <c r="C160" s="26">
        <v>2320</v>
      </c>
      <c r="D160" s="46" t="s">
        <v>100</v>
      </c>
      <c r="E160" s="47">
        <v>258000</v>
      </c>
      <c r="F160" s="47">
        <v>270900</v>
      </c>
      <c r="G160" s="65">
        <v>329814</v>
      </c>
      <c r="H160" s="47">
        <f>G160</f>
        <v>329814</v>
      </c>
      <c r="I160" s="47">
        <v>329800</v>
      </c>
      <c r="J160" s="47">
        <v>329800</v>
      </c>
      <c r="K160" s="47">
        <v>376637</v>
      </c>
      <c r="L160" s="47">
        <v>341977</v>
      </c>
      <c r="M160" s="47">
        <v>387951</v>
      </c>
      <c r="N160" s="47">
        <v>0</v>
      </c>
      <c r="O160" s="47">
        <v>1117</v>
      </c>
      <c r="P160" s="47">
        <v>1116</v>
      </c>
      <c r="Q160" s="186">
        <f t="shared" si="13"/>
        <v>0.999104744852283</v>
      </c>
      <c r="R160" s="47">
        <v>1117</v>
      </c>
      <c r="S160" s="47"/>
      <c r="T160" s="47">
        <v>0</v>
      </c>
      <c r="U160" s="47"/>
      <c r="V160" s="47"/>
      <c r="W160" s="32">
        <f t="shared" si="12"/>
        <v>0</v>
      </c>
    </row>
    <row r="161" spans="1:23" ht="12" hidden="1">
      <c r="A161" s="64"/>
      <c r="B161" s="44"/>
      <c r="C161" s="26">
        <v>4309</v>
      </c>
      <c r="D161" s="46" t="s">
        <v>258</v>
      </c>
      <c r="E161" s="47"/>
      <c r="F161" s="47"/>
      <c r="G161" s="65"/>
      <c r="H161" s="47"/>
      <c r="I161" s="47"/>
      <c r="J161" s="47"/>
      <c r="K161" s="47"/>
      <c r="L161" s="47"/>
      <c r="M161" s="47"/>
      <c r="N161" s="47">
        <v>0</v>
      </c>
      <c r="O161" s="47">
        <v>3000</v>
      </c>
      <c r="P161" s="47">
        <v>3000</v>
      </c>
      <c r="Q161" s="186">
        <f t="shared" si="13"/>
        <v>1</v>
      </c>
      <c r="R161" s="47">
        <v>3000</v>
      </c>
      <c r="S161" s="47"/>
      <c r="T161" s="47">
        <v>0</v>
      </c>
      <c r="U161" s="47"/>
      <c r="V161" s="47"/>
      <c r="W161" s="32">
        <f t="shared" si="12"/>
        <v>0</v>
      </c>
    </row>
    <row r="162" spans="1:23" ht="12" hidden="1">
      <c r="A162" s="64"/>
      <c r="B162" s="44"/>
      <c r="C162" s="26">
        <v>4990</v>
      </c>
      <c r="D162" s="46"/>
      <c r="E162" s="47"/>
      <c r="F162" s="47"/>
      <c r="G162" s="65"/>
      <c r="H162" s="47"/>
      <c r="I162" s="47"/>
      <c r="J162" s="47"/>
      <c r="K162" s="47"/>
      <c r="L162" s="47"/>
      <c r="M162" s="47"/>
      <c r="N162" s="47">
        <v>0</v>
      </c>
      <c r="O162" s="47"/>
      <c r="P162" s="47">
        <v>19999</v>
      </c>
      <c r="Q162" s="186"/>
      <c r="R162" s="47"/>
      <c r="S162" s="47"/>
      <c r="T162" s="47">
        <v>0</v>
      </c>
      <c r="U162" s="47"/>
      <c r="V162" s="47"/>
      <c r="W162" s="32">
        <f t="shared" si="12"/>
        <v>0</v>
      </c>
    </row>
    <row r="163" spans="1:23" ht="12.75">
      <c r="A163" s="9"/>
      <c r="B163" s="62">
        <v>75011</v>
      </c>
      <c r="C163" s="62"/>
      <c r="D163" s="63" t="s">
        <v>77</v>
      </c>
      <c r="E163" s="35">
        <f>SUM(E164:E175)</f>
        <v>340230</v>
      </c>
      <c r="F163" s="35">
        <f>SUM(F164:F175)</f>
        <v>355867</v>
      </c>
      <c r="G163" s="37">
        <f>SUM(G164:G175)</f>
        <v>421385</v>
      </c>
      <c r="H163" s="37">
        <f>SUM(H164:H175)</f>
        <v>421385</v>
      </c>
      <c r="I163" s="37"/>
      <c r="J163" s="37">
        <f>SUM(J164:J175)</f>
        <v>417770</v>
      </c>
      <c r="K163" s="37">
        <f>SUM(K164:K175)</f>
        <v>554510</v>
      </c>
      <c r="L163" s="37">
        <f>SUM(L164:L175)</f>
        <v>508942</v>
      </c>
      <c r="M163" s="37">
        <f>SUM(M164:M175)</f>
        <v>490922</v>
      </c>
      <c r="N163" s="37">
        <v>523380</v>
      </c>
      <c r="O163" s="37">
        <v>523380</v>
      </c>
      <c r="P163" s="37">
        <f>SUM(P164:P177)</f>
        <v>283369</v>
      </c>
      <c r="Q163" s="186">
        <f t="shared" si="13"/>
        <v>0.541421147158852</v>
      </c>
      <c r="R163" s="37">
        <f>SUM(R164:R178)</f>
        <v>631609</v>
      </c>
      <c r="S163" s="37">
        <f>SUM(S164:S177)</f>
        <v>680900</v>
      </c>
      <c r="T163" s="212">
        <v>576412</v>
      </c>
      <c r="U163" s="37">
        <f>SUM(U164:U177)</f>
        <v>0</v>
      </c>
      <c r="V163" s="37">
        <f>SUM(V164:V177)</f>
        <v>0</v>
      </c>
      <c r="W163" s="32">
        <f t="shared" si="12"/>
        <v>576412</v>
      </c>
    </row>
    <row r="164" spans="1:23" ht="36" customHeight="1" hidden="1">
      <c r="A164" s="64"/>
      <c r="B164" s="44"/>
      <c r="C164" s="45">
        <v>3020</v>
      </c>
      <c r="D164" s="46" t="s">
        <v>322</v>
      </c>
      <c r="E164" s="47"/>
      <c r="F164" s="47"/>
      <c r="G164" s="65"/>
      <c r="H164" s="47"/>
      <c r="I164" s="47"/>
      <c r="J164" s="47"/>
      <c r="K164" s="47"/>
      <c r="L164" s="47"/>
      <c r="M164" s="47"/>
      <c r="N164" s="66">
        <v>0</v>
      </c>
      <c r="O164" s="66"/>
      <c r="P164" s="66"/>
      <c r="Q164" s="186"/>
      <c r="R164" s="66">
        <v>0</v>
      </c>
      <c r="S164" s="66"/>
      <c r="T164" s="66">
        <v>0</v>
      </c>
      <c r="U164" s="66"/>
      <c r="V164" s="66"/>
      <c r="W164" s="32">
        <f t="shared" si="12"/>
        <v>0</v>
      </c>
    </row>
    <row r="165" spans="1:23" ht="24">
      <c r="A165" s="64"/>
      <c r="B165" s="44"/>
      <c r="C165" s="51">
        <v>4010</v>
      </c>
      <c r="D165" s="46" t="s">
        <v>29</v>
      </c>
      <c r="E165" s="47">
        <v>258000</v>
      </c>
      <c r="F165" s="47">
        <v>270900</v>
      </c>
      <c r="G165" s="65">
        <v>329814</v>
      </c>
      <c r="H165" s="47">
        <f>G165</f>
        <v>329814</v>
      </c>
      <c r="I165" s="47">
        <v>329800</v>
      </c>
      <c r="J165" s="47">
        <v>329800</v>
      </c>
      <c r="K165" s="47">
        <v>376637</v>
      </c>
      <c r="L165" s="47">
        <v>341977</v>
      </c>
      <c r="M165" s="47">
        <v>387951</v>
      </c>
      <c r="N165" s="47">
        <v>376847</v>
      </c>
      <c r="O165" s="47">
        <v>376847</v>
      </c>
      <c r="P165" s="47">
        <v>193592</v>
      </c>
      <c r="Q165" s="186">
        <f t="shared" si="13"/>
        <v>0.5137151151528339</v>
      </c>
      <c r="R165" s="47">
        <v>396700</v>
      </c>
      <c r="S165" s="47">
        <v>473000</v>
      </c>
      <c r="T165" s="47">
        <v>438490</v>
      </c>
      <c r="U165" s="47">
        <f>U180+U194</f>
        <v>0</v>
      </c>
      <c r="V165" s="47">
        <f>V180+V194</f>
        <v>0</v>
      </c>
      <c r="W165" s="32">
        <f t="shared" si="12"/>
        <v>438490</v>
      </c>
    </row>
    <row r="166" spans="1:23" ht="12">
      <c r="A166" s="64"/>
      <c r="B166" s="44"/>
      <c r="C166" s="45">
        <v>4040</v>
      </c>
      <c r="D166" s="46" t="s">
        <v>30</v>
      </c>
      <c r="E166" s="47">
        <v>20500</v>
      </c>
      <c r="F166" s="47">
        <v>20500</v>
      </c>
      <c r="G166" s="65">
        <v>22780</v>
      </c>
      <c r="H166" s="47">
        <f>G166</f>
        <v>22780</v>
      </c>
      <c r="I166" s="47"/>
      <c r="J166" s="47">
        <v>22780</v>
      </c>
      <c r="K166" s="47">
        <v>22780</v>
      </c>
      <c r="L166" s="47">
        <v>22761</v>
      </c>
      <c r="M166" s="47">
        <v>24795</v>
      </c>
      <c r="N166" s="47">
        <v>25000</v>
      </c>
      <c r="O166" s="47">
        <v>25000</v>
      </c>
      <c r="P166" s="47">
        <v>24672</v>
      </c>
      <c r="Q166" s="186">
        <f t="shared" si="13"/>
        <v>0.98688</v>
      </c>
      <c r="R166" s="47">
        <v>25000</v>
      </c>
      <c r="S166" s="47">
        <v>33000</v>
      </c>
      <c r="T166" s="47">
        <v>33000</v>
      </c>
      <c r="U166" s="47">
        <f aca="true" t="shared" si="17" ref="U166:U177">U181+U195</f>
        <v>0</v>
      </c>
      <c r="V166" s="47">
        <f aca="true" t="shared" si="18" ref="V166:V177">V181+V195</f>
        <v>0</v>
      </c>
      <c r="W166" s="32">
        <f t="shared" si="12"/>
        <v>33000</v>
      </c>
    </row>
    <row r="167" spans="1:23" ht="24">
      <c r="A167" s="64"/>
      <c r="B167" s="44"/>
      <c r="C167" s="45">
        <v>4110</v>
      </c>
      <c r="D167" s="46" t="s">
        <v>31</v>
      </c>
      <c r="E167" s="47">
        <v>45300</v>
      </c>
      <c r="F167" s="47">
        <v>47510</v>
      </c>
      <c r="G167" s="65">
        <v>50305</v>
      </c>
      <c r="H167" s="47">
        <f>G167</f>
        <v>50305</v>
      </c>
      <c r="I167" s="47"/>
      <c r="J167" s="47">
        <v>50300</v>
      </c>
      <c r="K167" s="47">
        <v>64301</v>
      </c>
      <c r="L167" s="47">
        <v>55431</v>
      </c>
      <c r="M167" s="47">
        <v>56961</v>
      </c>
      <c r="N167" s="47">
        <v>61000</v>
      </c>
      <c r="O167" s="47">
        <v>61000</v>
      </c>
      <c r="P167" s="47">
        <v>29084</v>
      </c>
      <c r="Q167" s="186">
        <f t="shared" si="13"/>
        <v>0.4767868852459016</v>
      </c>
      <c r="R167" s="47">
        <v>66921</v>
      </c>
      <c r="S167" s="47">
        <v>71000</v>
      </c>
      <c r="T167" s="47">
        <v>71012</v>
      </c>
      <c r="U167" s="47">
        <f t="shared" si="17"/>
        <v>0</v>
      </c>
      <c r="V167" s="47">
        <f t="shared" si="18"/>
        <v>0</v>
      </c>
      <c r="W167" s="32">
        <f t="shared" si="12"/>
        <v>71012</v>
      </c>
    </row>
    <row r="168" spans="1:23" ht="12">
      <c r="A168" s="64"/>
      <c r="B168" s="44"/>
      <c r="C168" s="45">
        <v>4120</v>
      </c>
      <c r="D168" s="46" t="s">
        <v>32</v>
      </c>
      <c r="E168" s="47">
        <v>6500</v>
      </c>
      <c r="F168" s="47">
        <v>6820</v>
      </c>
      <c r="G168" s="65">
        <v>8036</v>
      </c>
      <c r="H168" s="47">
        <f>G168</f>
        <v>8036</v>
      </c>
      <c r="I168" s="47"/>
      <c r="J168" s="47">
        <v>8000</v>
      </c>
      <c r="K168" s="47">
        <v>10241</v>
      </c>
      <c r="L168" s="47">
        <v>8605</v>
      </c>
      <c r="M168" s="47">
        <v>9187</v>
      </c>
      <c r="N168" s="47">
        <v>10000</v>
      </c>
      <c r="O168" s="47">
        <v>10000</v>
      </c>
      <c r="P168" s="47">
        <v>4691</v>
      </c>
      <c r="Q168" s="186">
        <f t="shared" si="13"/>
        <v>0.4691</v>
      </c>
      <c r="R168" s="47">
        <v>10938</v>
      </c>
      <c r="S168" s="47">
        <v>11700</v>
      </c>
      <c r="T168" s="47">
        <v>11704</v>
      </c>
      <c r="U168" s="47">
        <f t="shared" si="17"/>
        <v>0</v>
      </c>
      <c r="V168" s="47">
        <f t="shared" si="18"/>
        <v>0</v>
      </c>
      <c r="W168" s="32">
        <f t="shared" si="12"/>
        <v>11704</v>
      </c>
    </row>
    <row r="169" spans="1:23" ht="12">
      <c r="A169" s="64"/>
      <c r="B169" s="44"/>
      <c r="C169" s="51">
        <v>4170</v>
      </c>
      <c r="D169" s="46" t="s">
        <v>69</v>
      </c>
      <c r="E169" s="47"/>
      <c r="F169" s="47"/>
      <c r="G169" s="65"/>
      <c r="H169" s="47"/>
      <c r="I169" s="47"/>
      <c r="J169" s="47"/>
      <c r="K169" s="47">
        <v>68240</v>
      </c>
      <c r="L169" s="47">
        <v>68240</v>
      </c>
      <c r="M169" s="47"/>
      <c r="N169" s="47">
        <v>7753</v>
      </c>
      <c r="O169" s="47">
        <v>7753</v>
      </c>
      <c r="P169" s="47"/>
      <c r="Q169" s="186">
        <f t="shared" si="13"/>
        <v>0</v>
      </c>
      <c r="R169" s="47">
        <v>26700</v>
      </c>
      <c r="S169" s="47">
        <v>10200</v>
      </c>
      <c r="T169" s="47">
        <v>5700</v>
      </c>
      <c r="U169" s="47">
        <f t="shared" si="17"/>
        <v>0</v>
      </c>
      <c r="V169" s="47">
        <f t="shared" si="18"/>
        <v>0</v>
      </c>
      <c r="W169" s="32">
        <f t="shared" si="12"/>
        <v>5700</v>
      </c>
    </row>
    <row r="170" spans="1:23" ht="12">
      <c r="A170" s="64"/>
      <c r="B170" s="44"/>
      <c r="C170" s="51">
        <v>4210</v>
      </c>
      <c r="D170" s="46" t="s">
        <v>319</v>
      </c>
      <c r="E170" s="47"/>
      <c r="F170" s="47"/>
      <c r="G170" s="65"/>
      <c r="H170" s="47"/>
      <c r="I170" s="47"/>
      <c r="J170" s="47"/>
      <c r="K170" s="47"/>
      <c r="L170" s="47"/>
      <c r="M170" s="47"/>
      <c r="N170" s="47"/>
      <c r="O170" s="47"/>
      <c r="P170" s="47"/>
      <c r="Q170" s="186"/>
      <c r="R170" s="47">
        <v>10500</v>
      </c>
      <c r="S170" s="47">
        <v>5000</v>
      </c>
      <c r="T170" s="47">
        <v>0</v>
      </c>
      <c r="U170" s="47">
        <f t="shared" si="17"/>
        <v>0</v>
      </c>
      <c r="V170" s="47">
        <f t="shared" si="18"/>
        <v>0</v>
      </c>
      <c r="W170" s="32">
        <f t="shared" si="12"/>
        <v>0</v>
      </c>
    </row>
    <row r="171" spans="1:23" ht="12" hidden="1">
      <c r="A171" s="64"/>
      <c r="B171" s="44"/>
      <c r="C171" s="45">
        <v>4280</v>
      </c>
      <c r="D171" s="46" t="s">
        <v>78</v>
      </c>
      <c r="E171" s="47">
        <v>200</v>
      </c>
      <c r="F171" s="47">
        <v>200</v>
      </c>
      <c r="G171" s="65">
        <v>210</v>
      </c>
      <c r="H171" s="47">
        <f>G171</f>
        <v>210</v>
      </c>
      <c r="I171" s="47"/>
      <c r="J171" s="47">
        <v>250</v>
      </c>
      <c r="K171" s="47">
        <v>250</v>
      </c>
      <c r="L171" s="47">
        <v>250</v>
      </c>
      <c r="M171" s="47">
        <v>250</v>
      </c>
      <c r="N171" s="47">
        <v>250</v>
      </c>
      <c r="O171" s="47">
        <v>250</v>
      </c>
      <c r="P171" s="47"/>
      <c r="Q171" s="186">
        <f t="shared" si="13"/>
        <v>0</v>
      </c>
      <c r="R171" s="47">
        <v>250</v>
      </c>
      <c r="S171" s="47"/>
      <c r="T171" s="47">
        <v>0</v>
      </c>
      <c r="U171" s="47">
        <f t="shared" si="17"/>
        <v>0</v>
      </c>
      <c r="V171" s="47">
        <f t="shared" si="18"/>
        <v>0</v>
      </c>
      <c r="W171" s="32">
        <f t="shared" si="12"/>
        <v>0</v>
      </c>
    </row>
    <row r="172" spans="1:23" ht="12">
      <c r="A172" s="64"/>
      <c r="B172" s="44"/>
      <c r="C172" s="45">
        <v>4300</v>
      </c>
      <c r="D172" s="46" t="s">
        <v>71</v>
      </c>
      <c r="E172" s="47"/>
      <c r="F172" s="47"/>
      <c r="G172" s="65"/>
      <c r="H172" s="47"/>
      <c r="I172" s="47"/>
      <c r="J172" s="47"/>
      <c r="K172" s="47"/>
      <c r="L172" s="47"/>
      <c r="M172" s="47"/>
      <c r="N172" s="47">
        <v>0</v>
      </c>
      <c r="O172" s="47"/>
      <c r="P172" s="47"/>
      <c r="Q172" s="186"/>
      <c r="R172" s="47">
        <v>2200</v>
      </c>
      <c r="S172" s="47">
        <v>3000</v>
      </c>
      <c r="T172" s="47">
        <v>980</v>
      </c>
      <c r="U172" s="47">
        <f t="shared" si="17"/>
        <v>0</v>
      </c>
      <c r="V172" s="47">
        <f t="shared" si="18"/>
        <v>0</v>
      </c>
      <c r="W172" s="32">
        <f t="shared" si="12"/>
        <v>980</v>
      </c>
    </row>
    <row r="173" spans="1:23" ht="36">
      <c r="A173" s="64"/>
      <c r="B173" s="44"/>
      <c r="C173" s="45">
        <v>4380</v>
      </c>
      <c r="D173" s="46" t="s">
        <v>346</v>
      </c>
      <c r="E173" s="47"/>
      <c r="F173" s="47"/>
      <c r="G173" s="65"/>
      <c r="H173" s="47"/>
      <c r="I173" s="47"/>
      <c r="J173" s="47"/>
      <c r="K173" s="47"/>
      <c r="L173" s="47"/>
      <c r="M173" s="47"/>
      <c r="N173" s="47"/>
      <c r="O173" s="47"/>
      <c r="P173" s="47"/>
      <c r="Q173" s="186"/>
      <c r="R173" s="47">
        <v>10000</v>
      </c>
      <c r="S173" s="47">
        <v>10000</v>
      </c>
      <c r="T173" s="47">
        <v>0</v>
      </c>
      <c r="U173" s="47">
        <f t="shared" si="17"/>
        <v>0</v>
      </c>
      <c r="V173" s="47">
        <f t="shared" si="18"/>
        <v>0</v>
      </c>
      <c r="W173" s="32">
        <f t="shared" si="12"/>
        <v>0</v>
      </c>
    </row>
    <row r="174" spans="1:23" ht="12" hidden="1">
      <c r="A174" s="64"/>
      <c r="B174" s="44"/>
      <c r="C174" s="45">
        <v>4410</v>
      </c>
      <c r="D174" s="46" t="s">
        <v>42</v>
      </c>
      <c r="E174" s="47">
        <v>3500</v>
      </c>
      <c r="F174" s="47">
        <v>3500</v>
      </c>
      <c r="G174" s="65">
        <v>3600</v>
      </c>
      <c r="H174" s="47">
        <f>G174</f>
        <v>3600</v>
      </c>
      <c r="I174" s="47"/>
      <c r="J174" s="47">
        <v>6640</v>
      </c>
      <c r="K174" s="47">
        <v>3600</v>
      </c>
      <c r="L174" s="47">
        <v>3600</v>
      </c>
      <c r="M174" s="47">
        <v>3600</v>
      </c>
      <c r="N174" s="47">
        <v>3600</v>
      </c>
      <c r="O174" s="47">
        <v>3600</v>
      </c>
      <c r="P174" s="47">
        <v>1833</v>
      </c>
      <c r="Q174" s="186">
        <f t="shared" si="13"/>
        <v>0.5091666666666667</v>
      </c>
      <c r="R174" s="47">
        <v>3600</v>
      </c>
      <c r="S174" s="47"/>
      <c r="T174" s="47">
        <v>0</v>
      </c>
      <c r="U174" s="47">
        <f t="shared" si="17"/>
        <v>0</v>
      </c>
      <c r="V174" s="47">
        <f t="shared" si="18"/>
        <v>0</v>
      </c>
      <c r="W174" s="32">
        <f t="shared" si="12"/>
        <v>0</v>
      </c>
    </row>
    <row r="175" spans="1:23" ht="24">
      <c r="A175" s="64"/>
      <c r="B175" s="44"/>
      <c r="C175" s="45">
        <v>4440</v>
      </c>
      <c r="D175" s="46" t="s">
        <v>44</v>
      </c>
      <c r="E175" s="47">
        <v>6230</v>
      </c>
      <c r="F175" s="47">
        <v>6437</v>
      </c>
      <c r="G175" s="65">
        <v>6640</v>
      </c>
      <c r="H175" s="47">
        <f>G175</f>
        <v>6640</v>
      </c>
      <c r="I175" s="47"/>
      <c r="J175" s="47"/>
      <c r="K175" s="47">
        <v>8461</v>
      </c>
      <c r="L175" s="47">
        <v>8078</v>
      </c>
      <c r="M175" s="47">
        <f>8.7*940</f>
        <v>8177.999999999999</v>
      </c>
      <c r="N175" s="47">
        <v>8930</v>
      </c>
      <c r="O175" s="47">
        <v>8930</v>
      </c>
      <c r="P175" s="47">
        <v>8930</v>
      </c>
      <c r="Q175" s="186">
        <f t="shared" si="13"/>
        <v>1</v>
      </c>
      <c r="R175" s="47">
        <v>11000</v>
      </c>
      <c r="S175" s="47">
        <v>11000</v>
      </c>
      <c r="T175" s="47">
        <v>11526</v>
      </c>
      <c r="U175" s="47">
        <f t="shared" si="17"/>
        <v>0</v>
      </c>
      <c r="V175" s="47">
        <f t="shared" si="18"/>
        <v>0</v>
      </c>
      <c r="W175" s="32">
        <f t="shared" si="12"/>
        <v>11526</v>
      </c>
    </row>
    <row r="176" spans="1:23" ht="12">
      <c r="A176" s="44"/>
      <c r="B176" s="44"/>
      <c r="C176" s="45">
        <v>4410</v>
      </c>
      <c r="D176" s="46" t="s">
        <v>42</v>
      </c>
      <c r="E176" s="47">
        <v>22500</v>
      </c>
      <c r="F176" s="47">
        <v>22500</v>
      </c>
      <c r="G176" s="65">
        <v>22500</v>
      </c>
      <c r="H176" s="47">
        <v>12500</v>
      </c>
      <c r="I176" s="47"/>
      <c r="J176" s="47">
        <v>18000</v>
      </c>
      <c r="K176" s="47">
        <v>18000</v>
      </c>
      <c r="L176" s="47">
        <v>18000</v>
      </c>
      <c r="M176" s="47">
        <v>23000</v>
      </c>
      <c r="N176" s="47">
        <v>23000</v>
      </c>
      <c r="O176" s="47">
        <v>23000</v>
      </c>
      <c r="P176" s="47">
        <v>9766</v>
      </c>
      <c r="Q176" s="186">
        <f t="shared" si="13"/>
        <v>0.4246086956521739</v>
      </c>
      <c r="R176" s="47">
        <v>23000</v>
      </c>
      <c r="S176" s="47">
        <v>23000</v>
      </c>
      <c r="T176" s="47">
        <v>4000</v>
      </c>
      <c r="U176" s="47">
        <f t="shared" si="17"/>
        <v>0</v>
      </c>
      <c r="V176" s="47">
        <f t="shared" si="18"/>
        <v>0</v>
      </c>
      <c r="W176" s="32">
        <f t="shared" si="12"/>
        <v>4000</v>
      </c>
    </row>
    <row r="177" spans="1:23" ht="24">
      <c r="A177" s="64"/>
      <c r="B177" s="44"/>
      <c r="C177" s="45">
        <v>4610</v>
      </c>
      <c r="D177" s="46" t="s">
        <v>56</v>
      </c>
      <c r="E177" s="47"/>
      <c r="F177" s="47"/>
      <c r="G177" s="65"/>
      <c r="H177" s="47"/>
      <c r="I177" s="47"/>
      <c r="J177" s="47"/>
      <c r="K177" s="47"/>
      <c r="L177" s="47"/>
      <c r="M177" s="47"/>
      <c r="N177" s="47">
        <v>30000</v>
      </c>
      <c r="O177" s="47">
        <v>30000</v>
      </c>
      <c r="P177" s="47">
        <v>10801</v>
      </c>
      <c r="Q177" s="186">
        <f t="shared" si="13"/>
        <v>0.3600333333333333</v>
      </c>
      <c r="R177" s="47">
        <v>43800</v>
      </c>
      <c r="S177" s="47">
        <v>30000</v>
      </c>
      <c r="T177" s="47">
        <v>0</v>
      </c>
      <c r="U177" s="47">
        <f t="shared" si="17"/>
        <v>0</v>
      </c>
      <c r="V177" s="47">
        <f t="shared" si="18"/>
        <v>0</v>
      </c>
      <c r="W177" s="32">
        <f t="shared" si="12"/>
        <v>0</v>
      </c>
    </row>
    <row r="178" spans="1:23" ht="36" hidden="1">
      <c r="A178" s="64"/>
      <c r="B178" s="44"/>
      <c r="C178" s="45">
        <v>4700</v>
      </c>
      <c r="D178" s="46" t="s">
        <v>82</v>
      </c>
      <c r="E178" s="47"/>
      <c r="F178" s="47"/>
      <c r="G178" s="65"/>
      <c r="H178" s="47"/>
      <c r="I178" s="47"/>
      <c r="J178" s="47"/>
      <c r="K178" s="47"/>
      <c r="L178" s="47"/>
      <c r="M178" s="47"/>
      <c r="N178" s="47"/>
      <c r="O178" s="47"/>
      <c r="P178" s="47"/>
      <c r="Q178" s="186"/>
      <c r="R178" s="47">
        <v>1000</v>
      </c>
      <c r="S178" s="47"/>
      <c r="T178" s="47">
        <v>0</v>
      </c>
      <c r="U178" s="47"/>
      <c r="V178" s="47"/>
      <c r="W178" s="32">
        <f aca="true" t="shared" si="19" ref="W178:W274">T178+U178-V178</f>
        <v>0</v>
      </c>
    </row>
    <row r="179" spans="1:23" ht="12">
      <c r="A179" s="64"/>
      <c r="B179" s="44"/>
      <c r="C179" s="45"/>
      <c r="D179" s="42" t="s">
        <v>371</v>
      </c>
      <c r="E179" s="47"/>
      <c r="F179" s="47"/>
      <c r="G179" s="65"/>
      <c r="H179" s="47"/>
      <c r="I179" s="47"/>
      <c r="J179" s="47"/>
      <c r="K179" s="47"/>
      <c r="L179" s="47"/>
      <c r="M179" s="47"/>
      <c r="N179" s="47"/>
      <c r="O179" s="47"/>
      <c r="P179" s="47"/>
      <c r="Q179" s="186"/>
      <c r="R179" s="47"/>
      <c r="S179" s="47"/>
      <c r="T179" s="47">
        <v>256312</v>
      </c>
      <c r="U179" s="35">
        <f>SUM(U180:U192)</f>
        <v>0</v>
      </c>
      <c r="V179" s="35">
        <f>SUM(V180:V192)</f>
        <v>0</v>
      </c>
      <c r="W179" s="214">
        <f t="shared" si="12"/>
        <v>256312</v>
      </c>
    </row>
    <row r="180" spans="1:23" ht="24">
      <c r="A180" s="64"/>
      <c r="B180" s="44"/>
      <c r="C180" s="51">
        <v>4010</v>
      </c>
      <c r="D180" s="46" t="s">
        <v>29</v>
      </c>
      <c r="E180" s="47">
        <v>258000</v>
      </c>
      <c r="F180" s="47">
        <v>270900</v>
      </c>
      <c r="G180" s="65">
        <v>329814</v>
      </c>
      <c r="H180" s="47">
        <f>G180</f>
        <v>329814</v>
      </c>
      <c r="I180" s="47">
        <v>329800</v>
      </c>
      <c r="J180" s="47">
        <v>329800</v>
      </c>
      <c r="K180" s="47">
        <v>376637</v>
      </c>
      <c r="L180" s="47">
        <v>341977</v>
      </c>
      <c r="M180" s="47">
        <v>387951</v>
      </c>
      <c r="N180" s="47">
        <v>376847</v>
      </c>
      <c r="O180" s="47">
        <v>376847</v>
      </c>
      <c r="P180" s="47">
        <v>193592</v>
      </c>
      <c r="Q180" s="186">
        <f>P180/O180</f>
        <v>0.5137151151528339</v>
      </c>
      <c r="R180" s="47">
        <v>396700</v>
      </c>
      <c r="S180" s="47">
        <v>473000</v>
      </c>
      <c r="T180" s="47">
        <v>196540</v>
      </c>
      <c r="U180" s="47"/>
      <c r="V180" s="47"/>
      <c r="W180" s="32">
        <f aca="true" t="shared" si="20" ref="W180:W192">T180+U180-V180</f>
        <v>196540</v>
      </c>
    </row>
    <row r="181" spans="1:23" ht="12">
      <c r="A181" s="64"/>
      <c r="B181" s="44"/>
      <c r="C181" s="45">
        <v>4040</v>
      </c>
      <c r="D181" s="46" t="s">
        <v>30</v>
      </c>
      <c r="E181" s="47">
        <v>20500</v>
      </c>
      <c r="F181" s="47">
        <v>20500</v>
      </c>
      <c r="G181" s="65">
        <v>22780</v>
      </c>
      <c r="H181" s="47">
        <f>G181</f>
        <v>22780</v>
      </c>
      <c r="I181" s="47"/>
      <c r="J181" s="47">
        <v>22780</v>
      </c>
      <c r="K181" s="47">
        <v>22780</v>
      </c>
      <c r="L181" s="47">
        <v>22761</v>
      </c>
      <c r="M181" s="47">
        <v>24795</v>
      </c>
      <c r="N181" s="47">
        <v>25000</v>
      </c>
      <c r="O181" s="47">
        <v>25000</v>
      </c>
      <c r="P181" s="47">
        <v>24672</v>
      </c>
      <c r="Q181" s="186">
        <f>P181/O181</f>
        <v>0.98688</v>
      </c>
      <c r="R181" s="47">
        <v>25000</v>
      </c>
      <c r="S181" s="47">
        <v>33000</v>
      </c>
      <c r="T181" s="47">
        <v>15900</v>
      </c>
      <c r="U181" s="47"/>
      <c r="V181" s="47"/>
      <c r="W181" s="32">
        <f t="shared" si="20"/>
        <v>15900</v>
      </c>
    </row>
    <row r="182" spans="1:23" ht="24">
      <c r="A182" s="64"/>
      <c r="B182" s="44"/>
      <c r="C182" s="45">
        <v>4110</v>
      </c>
      <c r="D182" s="46" t="s">
        <v>31</v>
      </c>
      <c r="E182" s="47">
        <v>45300</v>
      </c>
      <c r="F182" s="47">
        <v>47510</v>
      </c>
      <c r="G182" s="65">
        <v>50305</v>
      </c>
      <c r="H182" s="47">
        <f>G182</f>
        <v>50305</v>
      </c>
      <c r="I182" s="47"/>
      <c r="J182" s="47">
        <v>50300</v>
      </c>
      <c r="K182" s="47">
        <v>64301</v>
      </c>
      <c r="L182" s="47">
        <v>55431</v>
      </c>
      <c r="M182" s="47">
        <v>56961</v>
      </c>
      <c r="N182" s="47">
        <v>61000</v>
      </c>
      <c r="O182" s="47">
        <v>61000</v>
      </c>
      <c r="P182" s="47">
        <v>29084</v>
      </c>
      <c r="Q182" s="186">
        <f>P182/O182</f>
        <v>0.4767868852459016</v>
      </c>
      <c r="R182" s="47">
        <v>66921</v>
      </c>
      <c r="S182" s="47">
        <v>71000</v>
      </c>
      <c r="T182" s="47">
        <v>34986</v>
      </c>
      <c r="U182" s="47"/>
      <c r="V182" s="47"/>
      <c r="W182" s="32">
        <f t="shared" si="20"/>
        <v>34986</v>
      </c>
    </row>
    <row r="183" spans="1:23" ht="12">
      <c r="A183" s="64"/>
      <c r="B183" s="44"/>
      <c r="C183" s="45">
        <v>4120</v>
      </c>
      <c r="D183" s="46" t="s">
        <v>32</v>
      </c>
      <c r="E183" s="47">
        <v>6500</v>
      </c>
      <c r="F183" s="47">
        <v>6820</v>
      </c>
      <c r="G183" s="65">
        <v>8036</v>
      </c>
      <c r="H183" s="47">
        <f>G183</f>
        <v>8036</v>
      </c>
      <c r="I183" s="47"/>
      <c r="J183" s="47">
        <v>8000</v>
      </c>
      <c r="K183" s="47">
        <v>10241</v>
      </c>
      <c r="L183" s="47">
        <v>8605</v>
      </c>
      <c r="M183" s="47">
        <v>9187</v>
      </c>
      <c r="N183" s="47">
        <v>10000</v>
      </c>
      <c r="O183" s="47">
        <v>10000</v>
      </c>
      <c r="P183" s="47">
        <v>4691</v>
      </c>
      <c r="Q183" s="186">
        <f>P183/O183</f>
        <v>0.4691</v>
      </c>
      <c r="R183" s="47">
        <v>10938</v>
      </c>
      <c r="S183" s="47">
        <v>11700</v>
      </c>
      <c r="T183" s="47">
        <v>5886</v>
      </c>
      <c r="U183" s="47"/>
      <c r="V183" s="47"/>
      <c r="W183" s="32">
        <f t="shared" si="20"/>
        <v>5886</v>
      </c>
    </row>
    <row r="184" spans="1:23" ht="12">
      <c r="A184" s="64"/>
      <c r="B184" s="44"/>
      <c r="C184" s="51">
        <v>4170</v>
      </c>
      <c r="D184" s="46" t="s">
        <v>69</v>
      </c>
      <c r="E184" s="47"/>
      <c r="F184" s="47"/>
      <c r="G184" s="65"/>
      <c r="H184" s="47"/>
      <c r="I184" s="47"/>
      <c r="J184" s="47"/>
      <c r="K184" s="47">
        <v>68240</v>
      </c>
      <c r="L184" s="47">
        <v>68240</v>
      </c>
      <c r="M184" s="47"/>
      <c r="N184" s="47">
        <v>7753</v>
      </c>
      <c r="O184" s="47">
        <v>7753</v>
      </c>
      <c r="P184" s="47"/>
      <c r="Q184" s="186">
        <f>P184/O184</f>
        <v>0</v>
      </c>
      <c r="R184" s="47">
        <v>26700</v>
      </c>
      <c r="S184" s="47">
        <v>10200</v>
      </c>
      <c r="T184" s="47">
        <v>0</v>
      </c>
      <c r="U184" s="47"/>
      <c r="V184" s="47"/>
      <c r="W184" s="32">
        <f t="shared" si="20"/>
        <v>0</v>
      </c>
    </row>
    <row r="185" spans="1:23" ht="12">
      <c r="A185" s="64"/>
      <c r="B185" s="44"/>
      <c r="C185" s="51">
        <v>4210</v>
      </c>
      <c r="D185" s="46" t="s">
        <v>319</v>
      </c>
      <c r="E185" s="47"/>
      <c r="F185" s="47"/>
      <c r="G185" s="65"/>
      <c r="H185" s="47"/>
      <c r="I185" s="47"/>
      <c r="J185" s="47"/>
      <c r="K185" s="47"/>
      <c r="L185" s="47"/>
      <c r="M185" s="47"/>
      <c r="N185" s="47"/>
      <c r="O185" s="47"/>
      <c r="P185" s="47"/>
      <c r="Q185" s="186"/>
      <c r="R185" s="47">
        <v>10500</v>
      </c>
      <c r="S185" s="47">
        <v>5000</v>
      </c>
      <c r="T185" s="47">
        <v>0</v>
      </c>
      <c r="U185" s="47"/>
      <c r="V185" s="47"/>
      <c r="W185" s="32">
        <f t="shared" si="20"/>
        <v>0</v>
      </c>
    </row>
    <row r="186" spans="1:23" ht="12" hidden="1">
      <c r="A186" s="64"/>
      <c r="B186" s="44"/>
      <c r="C186" s="45">
        <v>4280</v>
      </c>
      <c r="D186" s="46" t="s">
        <v>78</v>
      </c>
      <c r="E186" s="47">
        <v>200</v>
      </c>
      <c r="F186" s="47">
        <v>200</v>
      </c>
      <c r="G186" s="65">
        <v>210</v>
      </c>
      <c r="H186" s="47">
        <f>G186</f>
        <v>210</v>
      </c>
      <c r="I186" s="47"/>
      <c r="J186" s="47">
        <v>250</v>
      </c>
      <c r="K186" s="47">
        <v>250</v>
      </c>
      <c r="L186" s="47">
        <v>250</v>
      </c>
      <c r="M186" s="47">
        <v>250</v>
      </c>
      <c r="N186" s="47">
        <v>250</v>
      </c>
      <c r="O186" s="47">
        <v>250</v>
      </c>
      <c r="P186" s="47"/>
      <c r="Q186" s="186">
        <f>P186/O186</f>
        <v>0</v>
      </c>
      <c r="R186" s="47">
        <v>250</v>
      </c>
      <c r="S186" s="47"/>
      <c r="T186" s="47">
        <v>0</v>
      </c>
      <c r="U186" s="47"/>
      <c r="V186" s="47"/>
      <c r="W186" s="32">
        <f t="shared" si="20"/>
        <v>0</v>
      </c>
    </row>
    <row r="187" spans="1:23" ht="12">
      <c r="A187" s="64"/>
      <c r="B187" s="44"/>
      <c r="C187" s="45">
        <v>4300</v>
      </c>
      <c r="D187" s="46" t="s">
        <v>71</v>
      </c>
      <c r="E187" s="47"/>
      <c r="F187" s="47"/>
      <c r="G187" s="65"/>
      <c r="H187" s="47"/>
      <c r="I187" s="47"/>
      <c r="J187" s="47"/>
      <c r="K187" s="47"/>
      <c r="L187" s="47"/>
      <c r="M187" s="47"/>
      <c r="N187" s="47">
        <v>0</v>
      </c>
      <c r="O187" s="47"/>
      <c r="P187" s="47"/>
      <c r="Q187" s="186"/>
      <c r="R187" s="47">
        <v>2200</v>
      </c>
      <c r="S187" s="47">
        <v>3000</v>
      </c>
      <c r="T187" s="47">
        <v>0</v>
      </c>
      <c r="U187" s="47"/>
      <c r="V187" s="47"/>
      <c r="W187" s="32">
        <f t="shared" si="20"/>
        <v>0</v>
      </c>
    </row>
    <row r="188" spans="1:23" ht="36">
      <c r="A188" s="64"/>
      <c r="B188" s="44"/>
      <c r="C188" s="45">
        <v>4380</v>
      </c>
      <c r="D188" s="46" t="s">
        <v>346</v>
      </c>
      <c r="E188" s="47"/>
      <c r="F188" s="47"/>
      <c r="G188" s="65"/>
      <c r="H188" s="47"/>
      <c r="I188" s="47"/>
      <c r="J188" s="47"/>
      <c r="K188" s="47"/>
      <c r="L188" s="47"/>
      <c r="M188" s="47"/>
      <c r="N188" s="47"/>
      <c r="O188" s="47"/>
      <c r="P188" s="47"/>
      <c r="Q188" s="186"/>
      <c r="R188" s="47">
        <v>10000</v>
      </c>
      <c r="S188" s="47">
        <v>10000</v>
      </c>
      <c r="T188" s="47">
        <v>0</v>
      </c>
      <c r="U188" s="47"/>
      <c r="V188" s="47"/>
      <c r="W188" s="32">
        <f t="shared" si="20"/>
        <v>0</v>
      </c>
    </row>
    <row r="189" spans="1:23" ht="12" hidden="1">
      <c r="A189" s="64"/>
      <c r="B189" s="44"/>
      <c r="C189" s="45">
        <v>4410</v>
      </c>
      <c r="D189" s="46" t="s">
        <v>42</v>
      </c>
      <c r="E189" s="47">
        <v>3500</v>
      </c>
      <c r="F189" s="47">
        <v>3500</v>
      </c>
      <c r="G189" s="65">
        <v>3600</v>
      </c>
      <c r="H189" s="47">
        <f>G189</f>
        <v>3600</v>
      </c>
      <c r="I189" s="47"/>
      <c r="J189" s="47">
        <v>6640</v>
      </c>
      <c r="K189" s="47">
        <v>3600</v>
      </c>
      <c r="L189" s="47">
        <v>3600</v>
      </c>
      <c r="M189" s="47">
        <v>3600</v>
      </c>
      <c r="N189" s="47">
        <v>3600</v>
      </c>
      <c r="O189" s="47">
        <v>3600</v>
      </c>
      <c r="P189" s="47">
        <v>1833</v>
      </c>
      <c r="Q189" s="186">
        <f>P189/O189</f>
        <v>0.5091666666666667</v>
      </c>
      <c r="R189" s="47">
        <v>3600</v>
      </c>
      <c r="S189" s="47"/>
      <c r="T189" s="47">
        <v>0</v>
      </c>
      <c r="U189" s="47"/>
      <c r="V189" s="47"/>
      <c r="W189" s="32">
        <f t="shared" si="20"/>
        <v>0</v>
      </c>
    </row>
    <row r="190" spans="1:23" ht="24">
      <c r="A190" s="64"/>
      <c r="B190" s="44"/>
      <c r="C190" s="45">
        <v>4440</v>
      </c>
      <c r="D190" s="46" t="s">
        <v>44</v>
      </c>
      <c r="E190" s="47">
        <v>6230</v>
      </c>
      <c r="F190" s="47">
        <v>6437</v>
      </c>
      <c r="G190" s="65">
        <v>6640</v>
      </c>
      <c r="H190" s="47">
        <f>G190</f>
        <v>6640</v>
      </c>
      <c r="I190" s="47"/>
      <c r="J190" s="47"/>
      <c r="K190" s="47">
        <v>8461</v>
      </c>
      <c r="L190" s="47">
        <v>8078</v>
      </c>
      <c r="M190" s="47">
        <f>8.7*940</f>
        <v>8177.999999999999</v>
      </c>
      <c r="N190" s="47">
        <v>8930</v>
      </c>
      <c r="O190" s="47">
        <v>8930</v>
      </c>
      <c r="P190" s="47">
        <v>8930</v>
      </c>
      <c r="Q190" s="186">
        <f>P190/O190</f>
        <v>1</v>
      </c>
      <c r="R190" s="47">
        <v>11000</v>
      </c>
      <c r="S190" s="47">
        <v>11000</v>
      </c>
      <c r="T190" s="47">
        <v>3000</v>
      </c>
      <c r="U190" s="47"/>
      <c r="V190" s="47"/>
      <c r="W190" s="32">
        <f t="shared" si="20"/>
        <v>3000</v>
      </c>
    </row>
    <row r="191" spans="1:23" ht="12">
      <c r="A191" s="44"/>
      <c r="B191" s="44"/>
      <c r="C191" s="45">
        <v>4410</v>
      </c>
      <c r="D191" s="46" t="s">
        <v>42</v>
      </c>
      <c r="E191" s="47">
        <v>22500</v>
      </c>
      <c r="F191" s="47">
        <v>22500</v>
      </c>
      <c r="G191" s="65">
        <v>22500</v>
      </c>
      <c r="H191" s="47">
        <v>12500</v>
      </c>
      <c r="I191" s="47"/>
      <c r="J191" s="47">
        <v>18000</v>
      </c>
      <c r="K191" s="47">
        <v>18000</v>
      </c>
      <c r="L191" s="47">
        <v>18000</v>
      </c>
      <c r="M191" s="47">
        <v>23000</v>
      </c>
      <c r="N191" s="47">
        <v>23000</v>
      </c>
      <c r="O191" s="47">
        <v>23000</v>
      </c>
      <c r="P191" s="47">
        <v>9766</v>
      </c>
      <c r="Q191" s="186">
        <f>P191/O191</f>
        <v>0.4246086956521739</v>
      </c>
      <c r="R191" s="47">
        <v>23000</v>
      </c>
      <c r="S191" s="47">
        <v>23000</v>
      </c>
      <c r="T191" s="47">
        <v>0</v>
      </c>
      <c r="U191" s="47"/>
      <c r="V191" s="47"/>
      <c r="W191" s="32">
        <f t="shared" si="20"/>
        <v>0</v>
      </c>
    </row>
    <row r="192" spans="1:23" ht="24">
      <c r="A192" s="64"/>
      <c r="B192" s="44"/>
      <c r="C192" s="45">
        <v>4610</v>
      </c>
      <c r="D192" s="46" t="s">
        <v>56</v>
      </c>
      <c r="E192" s="47"/>
      <c r="F192" s="47"/>
      <c r="G192" s="65"/>
      <c r="H192" s="47"/>
      <c r="I192" s="47"/>
      <c r="J192" s="47"/>
      <c r="K192" s="47"/>
      <c r="L192" s="47"/>
      <c r="M192" s="47"/>
      <c r="N192" s="47">
        <v>30000</v>
      </c>
      <c r="O192" s="47">
        <v>30000</v>
      </c>
      <c r="P192" s="47">
        <v>10801</v>
      </c>
      <c r="Q192" s="186">
        <f>P192/O192</f>
        <v>0.3600333333333333</v>
      </c>
      <c r="R192" s="47">
        <v>43800</v>
      </c>
      <c r="S192" s="47">
        <v>30000</v>
      </c>
      <c r="T192" s="47">
        <v>0</v>
      </c>
      <c r="U192" s="47"/>
      <c r="V192" s="47"/>
      <c r="W192" s="32">
        <f t="shared" si="20"/>
        <v>0</v>
      </c>
    </row>
    <row r="193" spans="1:23" ht="12">
      <c r="A193" s="64"/>
      <c r="B193" s="44"/>
      <c r="C193" s="45"/>
      <c r="D193" s="42" t="s">
        <v>372</v>
      </c>
      <c r="E193" s="47"/>
      <c r="F193" s="47"/>
      <c r="G193" s="65"/>
      <c r="H193" s="47"/>
      <c r="I193" s="47"/>
      <c r="J193" s="47"/>
      <c r="K193" s="47"/>
      <c r="L193" s="47"/>
      <c r="M193" s="47"/>
      <c r="N193" s="47"/>
      <c r="O193" s="47"/>
      <c r="P193" s="47"/>
      <c r="Q193" s="186"/>
      <c r="R193" s="47"/>
      <c r="S193" s="47"/>
      <c r="T193" s="47">
        <v>320100</v>
      </c>
      <c r="U193" s="47">
        <f>SUM(U194:U206)</f>
        <v>0</v>
      </c>
      <c r="V193" s="47">
        <f>SUM(V194:V206)</f>
        <v>0</v>
      </c>
      <c r="W193" s="32">
        <f aca="true" t="shared" si="21" ref="W193:W206">T193+U193-V193</f>
        <v>320100</v>
      </c>
    </row>
    <row r="194" spans="1:23" ht="24">
      <c r="A194" s="64"/>
      <c r="B194" s="44"/>
      <c r="C194" s="51">
        <v>4010</v>
      </c>
      <c r="D194" s="46" t="s">
        <v>29</v>
      </c>
      <c r="E194" s="47">
        <v>258000</v>
      </c>
      <c r="F194" s="47">
        <v>270900</v>
      </c>
      <c r="G194" s="65">
        <v>329814</v>
      </c>
      <c r="H194" s="47">
        <f>G194</f>
        <v>329814</v>
      </c>
      <c r="I194" s="47">
        <v>329800</v>
      </c>
      <c r="J194" s="47">
        <v>329800</v>
      </c>
      <c r="K194" s="47">
        <v>376637</v>
      </c>
      <c r="L194" s="47">
        <v>341977</v>
      </c>
      <c r="M194" s="47">
        <v>387951</v>
      </c>
      <c r="N194" s="47">
        <v>376847</v>
      </c>
      <c r="O194" s="47">
        <v>376847</v>
      </c>
      <c r="P194" s="47">
        <v>193592</v>
      </c>
      <c r="Q194" s="186">
        <f>P194/O194</f>
        <v>0.5137151151528339</v>
      </c>
      <c r="R194" s="47">
        <v>396700</v>
      </c>
      <c r="S194" s="47">
        <v>473000</v>
      </c>
      <c r="T194" s="47">
        <v>241950</v>
      </c>
      <c r="U194" s="47"/>
      <c r="V194" s="47"/>
      <c r="W194" s="32">
        <f t="shared" si="21"/>
        <v>241950</v>
      </c>
    </row>
    <row r="195" spans="1:23" ht="12">
      <c r="A195" s="64"/>
      <c r="B195" s="44"/>
      <c r="C195" s="45">
        <v>4040</v>
      </c>
      <c r="D195" s="46" t="s">
        <v>30</v>
      </c>
      <c r="E195" s="47">
        <v>20500</v>
      </c>
      <c r="F195" s="47">
        <v>20500</v>
      </c>
      <c r="G195" s="65">
        <v>22780</v>
      </c>
      <c r="H195" s="47">
        <f>G195</f>
        <v>22780</v>
      </c>
      <c r="I195" s="47"/>
      <c r="J195" s="47">
        <v>22780</v>
      </c>
      <c r="K195" s="47">
        <v>22780</v>
      </c>
      <c r="L195" s="47">
        <v>22761</v>
      </c>
      <c r="M195" s="47">
        <v>24795</v>
      </c>
      <c r="N195" s="47">
        <v>25000</v>
      </c>
      <c r="O195" s="47">
        <v>25000</v>
      </c>
      <c r="P195" s="47">
        <v>24672</v>
      </c>
      <c r="Q195" s="186">
        <f>P195/O195</f>
        <v>0.98688</v>
      </c>
      <c r="R195" s="47">
        <v>25000</v>
      </c>
      <c r="S195" s="47">
        <v>33000</v>
      </c>
      <c r="T195" s="47">
        <v>17100</v>
      </c>
      <c r="U195" s="47"/>
      <c r="V195" s="47"/>
      <c r="W195" s="32">
        <f t="shared" si="21"/>
        <v>17100</v>
      </c>
    </row>
    <row r="196" spans="1:23" ht="24">
      <c r="A196" s="64"/>
      <c r="B196" s="44"/>
      <c r="C196" s="45">
        <v>4110</v>
      </c>
      <c r="D196" s="46" t="s">
        <v>31</v>
      </c>
      <c r="E196" s="47">
        <v>45300</v>
      </c>
      <c r="F196" s="47">
        <v>47510</v>
      </c>
      <c r="G196" s="65">
        <v>50305</v>
      </c>
      <c r="H196" s="47">
        <f>G196</f>
        <v>50305</v>
      </c>
      <c r="I196" s="47"/>
      <c r="J196" s="47">
        <v>50300</v>
      </c>
      <c r="K196" s="47">
        <v>64301</v>
      </c>
      <c r="L196" s="47">
        <v>55431</v>
      </c>
      <c r="M196" s="47">
        <v>56961</v>
      </c>
      <c r="N196" s="47">
        <v>61000</v>
      </c>
      <c r="O196" s="47">
        <v>61000</v>
      </c>
      <c r="P196" s="47">
        <v>29084</v>
      </c>
      <c r="Q196" s="186">
        <f>P196/O196</f>
        <v>0.4767868852459016</v>
      </c>
      <c r="R196" s="47">
        <v>66921</v>
      </c>
      <c r="S196" s="47">
        <v>71000</v>
      </c>
      <c r="T196" s="47">
        <v>36026</v>
      </c>
      <c r="U196" s="47"/>
      <c r="V196" s="47"/>
      <c r="W196" s="32">
        <f t="shared" si="21"/>
        <v>36026</v>
      </c>
    </row>
    <row r="197" spans="1:23" ht="12">
      <c r="A197" s="64"/>
      <c r="B197" s="44"/>
      <c r="C197" s="45">
        <v>4120</v>
      </c>
      <c r="D197" s="46" t="s">
        <v>32</v>
      </c>
      <c r="E197" s="47">
        <v>6500</v>
      </c>
      <c r="F197" s="47">
        <v>6820</v>
      </c>
      <c r="G197" s="65">
        <v>8036</v>
      </c>
      <c r="H197" s="47">
        <f>G197</f>
        <v>8036</v>
      </c>
      <c r="I197" s="47"/>
      <c r="J197" s="47">
        <v>8000</v>
      </c>
      <c r="K197" s="47">
        <v>10241</v>
      </c>
      <c r="L197" s="47">
        <v>8605</v>
      </c>
      <c r="M197" s="47">
        <v>9187</v>
      </c>
      <c r="N197" s="47">
        <v>10000</v>
      </c>
      <c r="O197" s="47">
        <v>10000</v>
      </c>
      <c r="P197" s="47">
        <v>4691</v>
      </c>
      <c r="Q197" s="186">
        <f>P197/O197</f>
        <v>0.4691</v>
      </c>
      <c r="R197" s="47">
        <v>10938</v>
      </c>
      <c r="S197" s="47">
        <v>11700</v>
      </c>
      <c r="T197" s="47">
        <v>5818</v>
      </c>
      <c r="U197" s="47"/>
      <c r="V197" s="47"/>
      <c r="W197" s="32">
        <f t="shared" si="21"/>
        <v>5818</v>
      </c>
    </row>
    <row r="198" spans="1:23" ht="12">
      <c r="A198" s="64"/>
      <c r="B198" s="44"/>
      <c r="C198" s="51">
        <v>4170</v>
      </c>
      <c r="D198" s="46" t="s">
        <v>69</v>
      </c>
      <c r="E198" s="47"/>
      <c r="F198" s="47"/>
      <c r="G198" s="65"/>
      <c r="H198" s="47"/>
      <c r="I198" s="47"/>
      <c r="J198" s="47"/>
      <c r="K198" s="47">
        <v>68240</v>
      </c>
      <c r="L198" s="47">
        <v>68240</v>
      </c>
      <c r="M198" s="47"/>
      <c r="N198" s="47">
        <v>7753</v>
      </c>
      <c r="O198" s="47">
        <v>7753</v>
      </c>
      <c r="P198" s="47"/>
      <c r="Q198" s="186">
        <f>P198/O198</f>
        <v>0</v>
      </c>
      <c r="R198" s="47">
        <v>26700</v>
      </c>
      <c r="S198" s="47">
        <v>10200</v>
      </c>
      <c r="T198" s="47">
        <v>5700</v>
      </c>
      <c r="U198" s="47"/>
      <c r="V198" s="47"/>
      <c r="W198" s="32">
        <f t="shared" si="21"/>
        <v>5700</v>
      </c>
    </row>
    <row r="199" spans="1:23" ht="12">
      <c r="A199" s="64"/>
      <c r="B199" s="44"/>
      <c r="C199" s="51">
        <v>4210</v>
      </c>
      <c r="D199" s="46" t="s">
        <v>319</v>
      </c>
      <c r="E199" s="47"/>
      <c r="F199" s="47"/>
      <c r="G199" s="65"/>
      <c r="H199" s="47"/>
      <c r="I199" s="47"/>
      <c r="J199" s="47"/>
      <c r="K199" s="47"/>
      <c r="L199" s="47"/>
      <c r="M199" s="47"/>
      <c r="N199" s="47"/>
      <c r="O199" s="47"/>
      <c r="P199" s="47"/>
      <c r="Q199" s="186"/>
      <c r="R199" s="47">
        <v>10500</v>
      </c>
      <c r="S199" s="47">
        <v>5000</v>
      </c>
      <c r="T199" s="47">
        <v>0</v>
      </c>
      <c r="U199" s="47"/>
      <c r="V199" s="47"/>
      <c r="W199" s="32">
        <f t="shared" si="21"/>
        <v>0</v>
      </c>
    </row>
    <row r="200" spans="1:23" ht="12" hidden="1">
      <c r="A200" s="64"/>
      <c r="B200" s="44"/>
      <c r="C200" s="45">
        <v>4280</v>
      </c>
      <c r="D200" s="46" t="s">
        <v>78</v>
      </c>
      <c r="E200" s="47">
        <v>200</v>
      </c>
      <c r="F200" s="47">
        <v>200</v>
      </c>
      <c r="G200" s="65">
        <v>210</v>
      </c>
      <c r="H200" s="47">
        <f>G200</f>
        <v>210</v>
      </c>
      <c r="I200" s="47"/>
      <c r="J200" s="47">
        <v>250</v>
      </c>
      <c r="K200" s="47">
        <v>250</v>
      </c>
      <c r="L200" s="47">
        <v>250</v>
      </c>
      <c r="M200" s="47">
        <v>250</v>
      </c>
      <c r="N200" s="47">
        <v>250</v>
      </c>
      <c r="O200" s="47">
        <v>250</v>
      </c>
      <c r="P200" s="47"/>
      <c r="Q200" s="186">
        <f>P200/O200</f>
        <v>0</v>
      </c>
      <c r="R200" s="47">
        <v>250</v>
      </c>
      <c r="S200" s="47"/>
      <c r="T200" s="47">
        <v>0</v>
      </c>
      <c r="U200" s="47"/>
      <c r="V200" s="47"/>
      <c r="W200" s="32">
        <f t="shared" si="21"/>
        <v>0</v>
      </c>
    </row>
    <row r="201" spans="1:23" ht="12">
      <c r="A201" s="64"/>
      <c r="B201" s="44"/>
      <c r="C201" s="45">
        <v>4300</v>
      </c>
      <c r="D201" s="46" t="s">
        <v>71</v>
      </c>
      <c r="E201" s="47"/>
      <c r="F201" s="47"/>
      <c r="G201" s="65"/>
      <c r="H201" s="47"/>
      <c r="I201" s="47"/>
      <c r="J201" s="47"/>
      <c r="K201" s="47"/>
      <c r="L201" s="47"/>
      <c r="M201" s="47"/>
      <c r="N201" s="47">
        <v>0</v>
      </c>
      <c r="O201" s="47"/>
      <c r="P201" s="47"/>
      <c r="Q201" s="186"/>
      <c r="R201" s="47">
        <v>2200</v>
      </c>
      <c r="S201" s="47">
        <v>3000</v>
      </c>
      <c r="T201" s="47">
        <v>980</v>
      </c>
      <c r="U201" s="47"/>
      <c r="V201" s="47"/>
      <c r="W201" s="32">
        <f t="shared" si="21"/>
        <v>980</v>
      </c>
    </row>
    <row r="202" spans="1:23" ht="36">
      <c r="A202" s="64"/>
      <c r="B202" s="44"/>
      <c r="C202" s="45">
        <v>4380</v>
      </c>
      <c r="D202" s="46" t="s">
        <v>346</v>
      </c>
      <c r="E202" s="47"/>
      <c r="F202" s="47"/>
      <c r="G202" s="65"/>
      <c r="H202" s="47"/>
      <c r="I202" s="47"/>
      <c r="J202" s="47"/>
      <c r="K202" s="47"/>
      <c r="L202" s="47"/>
      <c r="M202" s="47"/>
      <c r="N202" s="47"/>
      <c r="O202" s="47"/>
      <c r="P202" s="47"/>
      <c r="Q202" s="186"/>
      <c r="R202" s="47">
        <v>10000</v>
      </c>
      <c r="S202" s="47">
        <v>10000</v>
      </c>
      <c r="T202" s="47">
        <v>0</v>
      </c>
      <c r="U202" s="47"/>
      <c r="V202" s="47"/>
      <c r="W202" s="32">
        <f t="shared" si="21"/>
        <v>0</v>
      </c>
    </row>
    <row r="203" spans="1:23" ht="12" hidden="1">
      <c r="A203" s="64"/>
      <c r="B203" s="44"/>
      <c r="C203" s="45">
        <v>4410</v>
      </c>
      <c r="D203" s="46" t="s">
        <v>42</v>
      </c>
      <c r="E203" s="47">
        <v>3500</v>
      </c>
      <c r="F203" s="47">
        <v>3500</v>
      </c>
      <c r="G203" s="65">
        <v>3600</v>
      </c>
      <c r="H203" s="47">
        <f>G203</f>
        <v>3600</v>
      </c>
      <c r="I203" s="47"/>
      <c r="J203" s="47">
        <v>6640</v>
      </c>
      <c r="K203" s="47">
        <v>3600</v>
      </c>
      <c r="L203" s="47">
        <v>3600</v>
      </c>
      <c r="M203" s="47">
        <v>3600</v>
      </c>
      <c r="N203" s="47">
        <v>3600</v>
      </c>
      <c r="O203" s="47">
        <v>3600</v>
      </c>
      <c r="P203" s="47">
        <v>1833</v>
      </c>
      <c r="Q203" s="186">
        <f>P203/O203</f>
        <v>0.5091666666666667</v>
      </c>
      <c r="R203" s="47">
        <v>3600</v>
      </c>
      <c r="S203" s="47"/>
      <c r="T203" s="47">
        <v>0</v>
      </c>
      <c r="U203" s="47"/>
      <c r="V203" s="47"/>
      <c r="W203" s="32">
        <f t="shared" si="21"/>
        <v>0</v>
      </c>
    </row>
    <row r="204" spans="1:23" ht="39.75" customHeight="1">
      <c r="A204" s="64"/>
      <c r="B204" s="44"/>
      <c r="C204" s="45">
        <v>4410</v>
      </c>
      <c r="D204" s="46" t="s">
        <v>42</v>
      </c>
      <c r="E204" s="47">
        <v>6230</v>
      </c>
      <c r="F204" s="47">
        <v>6437</v>
      </c>
      <c r="G204" s="65">
        <v>6640</v>
      </c>
      <c r="H204" s="47">
        <f>G204</f>
        <v>6640</v>
      </c>
      <c r="I204" s="47"/>
      <c r="J204" s="47"/>
      <c r="K204" s="47">
        <v>8461</v>
      </c>
      <c r="L204" s="47">
        <v>8078</v>
      </c>
      <c r="M204" s="47">
        <f>8.7*940</f>
        <v>8177.999999999999</v>
      </c>
      <c r="N204" s="47">
        <v>8930</v>
      </c>
      <c r="O204" s="47">
        <v>8930</v>
      </c>
      <c r="P204" s="47">
        <v>8930</v>
      </c>
      <c r="Q204" s="186">
        <f>P204/O204</f>
        <v>1</v>
      </c>
      <c r="R204" s="47">
        <v>11000</v>
      </c>
      <c r="S204" s="47">
        <v>11000</v>
      </c>
      <c r="T204" s="47">
        <v>4000</v>
      </c>
      <c r="U204" s="47"/>
      <c r="V204" s="47"/>
      <c r="W204" s="32">
        <f t="shared" si="21"/>
        <v>4000</v>
      </c>
    </row>
    <row r="205" spans="1:23" ht="24">
      <c r="A205" s="44"/>
      <c r="B205" s="44"/>
      <c r="C205" s="45">
        <v>4440</v>
      </c>
      <c r="D205" s="46" t="s">
        <v>44</v>
      </c>
      <c r="E205" s="47">
        <v>22500</v>
      </c>
      <c r="F205" s="47">
        <v>22500</v>
      </c>
      <c r="G205" s="65">
        <v>22500</v>
      </c>
      <c r="H205" s="47">
        <v>12500</v>
      </c>
      <c r="I205" s="47"/>
      <c r="J205" s="47">
        <v>18000</v>
      </c>
      <c r="K205" s="47">
        <v>18000</v>
      </c>
      <c r="L205" s="47">
        <v>18000</v>
      </c>
      <c r="M205" s="47">
        <v>23000</v>
      </c>
      <c r="N205" s="47">
        <v>23000</v>
      </c>
      <c r="O205" s="47">
        <v>23000</v>
      </c>
      <c r="P205" s="47">
        <v>9766</v>
      </c>
      <c r="Q205" s="186">
        <f>P205/O205</f>
        <v>0.4246086956521739</v>
      </c>
      <c r="R205" s="47">
        <v>23000</v>
      </c>
      <c r="S205" s="47">
        <v>23000</v>
      </c>
      <c r="T205" s="47">
        <v>8526</v>
      </c>
      <c r="U205" s="47"/>
      <c r="V205" s="47"/>
      <c r="W205" s="32">
        <f t="shared" si="21"/>
        <v>8526</v>
      </c>
    </row>
    <row r="206" spans="1:23" ht="24">
      <c r="A206" s="64"/>
      <c r="B206" s="44"/>
      <c r="C206" s="45">
        <v>4610</v>
      </c>
      <c r="D206" s="46" t="s">
        <v>56</v>
      </c>
      <c r="E206" s="47"/>
      <c r="F206" s="47"/>
      <c r="G206" s="65"/>
      <c r="H206" s="47"/>
      <c r="I206" s="47"/>
      <c r="J206" s="47"/>
      <c r="K206" s="47"/>
      <c r="L206" s="47"/>
      <c r="M206" s="47"/>
      <c r="N206" s="47">
        <v>30000</v>
      </c>
      <c r="O206" s="47">
        <v>30000</v>
      </c>
      <c r="P206" s="47">
        <v>10801</v>
      </c>
      <c r="Q206" s="186">
        <f>P206/O206</f>
        <v>0.3600333333333333</v>
      </c>
      <c r="R206" s="47">
        <v>43800</v>
      </c>
      <c r="S206" s="47">
        <v>30000</v>
      </c>
      <c r="T206" s="47">
        <v>0</v>
      </c>
      <c r="U206" s="47"/>
      <c r="V206" s="47"/>
      <c r="W206" s="32">
        <f t="shared" si="21"/>
        <v>0</v>
      </c>
    </row>
    <row r="207" spans="1:23" ht="12">
      <c r="A207" s="64"/>
      <c r="B207" s="44"/>
      <c r="C207" s="45"/>
      <c r="D207" s="46"/>
      <c r="E207" s="47"/>
      <c r="F207" s="47"/>
      <c r="G207" s="65"/>
      <c r="H207" s="47"/>
      <c r="I207" s="47"/>
      <c r="J207" s="47"/>
      <c r="K207" s="47"/>
      <c r="L207" s="47"/>
      <c r="M207" s="47"/>
      <c r="N207" s="47"/>
      <c r="O207" s="47"/>
      <c r="P207" s="47"/>
      <c r="Q207" s="186"/>
      <c r="R207" s="47"/>
      <c r="S207" s="47"/>
      <c r="T207" s="47"/>
      <c r="U207" s="47"/>
      <c r="V207" s="47"/>
      <c r="W207" s="32"/>
    </row>
    <row r="208" spans="1:23" ht="12">
      <c r="A208" s="52"/>
      <c r="B208" s="52">
        <v>75019</v>
      </c>
      <c r="C208" s="53"/>
      <c r="D208" s="54" t="s">
        <v>79</v>
      </c>
      <c r="E208" s="57">
        <f>SUM(E209:E216)</f>
        <v>378000</v>
      </c>
      <c r="F208" s="57">
        <f>SUM(F209:F216)</f>
        <v>388800</v>
      </c>
      <c r="G208" s="67">
        <f>SUM(G209:G216)</f>
        <v>399400</v>
      </c>
      <c r="H208" s="67">
        <f>SUM(H209:H216)</f>
        <v>385400</v>
      </c>
      <c r="I208" s="67"/>
      <c r="J208" s="67">
        <f aca="true" t="shared" si="22" ref="J208:P208">SUM(J209:J216)</f>
        <v>386400</v>
      </c>
      <c r="K208" s="67">
        <f t="shared" si="22"/>
        <v>386400</v>
      </c>
      <c r="L208" s="67">
        <f t="shared" si="22"/>
        <v>384095</v>
      </c>
      <c r="M208" s="67">
        <f t="shared" si="22"/>
        <v>401553</v>
      </c>
      <c r="N208" s="67">
        <v>416200</v>
      </c>
      <c r="O208" s="67">
        <v>416200</v>
      </c>
      <c r="P208" s="67">
        <f t="shared" si="22"/>
        <v>190390</v>
      </c>
      <c r="Q208" s="186">
        <f t="shared" si="13"/>
        <v>0.4574483421432004</v>
      </c>
      <c r="R208" s="67">
        <f>SUM(R209:R216)</f>
        <v>415200</v>
      </c>
      <c r="S208" s="67">
        <f>SUM(S209:S216)</f>
        <v>415200</v>
      </c>
      <c r="T208" s="67">
        <v>405200</v>
      </c>
      <c r="U208" s="67">
        <f>SUM(U209:U216)</f>
        <v>0</v>
      </c>
      <c r="V208" s="67">
        <f>SUM(V209:V216)</f>
        <v>0</v>
      </c>
      <c r="W208" s="32">
        <f t="shared" si="19"/>
        <v>405200</v>
      </c>
    </row>
    <row r="209" spans="1:23" ht="24">
      <c r="A209" s="48"/>
      <c r="B209" s="48"/>
      <c r="C209" s="45">
        <v>3030</v>
      </c>
      <c r="D209" s="46" t="s">
        <v>80</v>
      </c>
      <c r="E209" s="47">
        <v>356400</v>
      </c>
      <c r="F209" s="47">
        <v>354400</v>
      </c>
      <c r="G209" s="65">
        <v>363740</v>
      </c>
      <c r="H209" s="47">
        <f>G209</f>
        <v>363740</v>
      </c>
      <c r="I209" s="47"/>
      <c r="J209" s="47">
        <v>363740</v>
      </c>
      <c r="K209" s="47">
        <v>363740</v>
      </c>
      <c r="L209" s="47">
        <v>361435</v>
      </c>
      <c r="M209" s="47">
        <v>373353</v>
      </c>
      <c r="N209" s="47">
        <v>374000</v>
      </c>
      <c r="O209" s="47">
        <v>374000</v>
      </c>
      <c r="P209" s="47">
        <v>182592</v>
      </c>
      <c r="Q209" s="186">
        <f t="shared" si="13"/>
        <v>0.4882139037433155</v>
      </c>
      <c r="R209" s="47">
        <v>374000</v>
      </c>
      <c r="S209" s="47">
        <v>374000</v>
      </c>
      <c r="T209" s="47">
        <v>374000</v>
      </c>
      <c r="U209" s="47"/>
      <c r="V209" s="47"/>
      <c r="W209" s="32">
        <f t="shared" si="19"/>
        <v>374000</v>
      </c>
    </row>
    <row r="210" spans="1:23" ht="12">
      <c r="A210" s="48"/>
      <c r="B210" s="48"/>
      <c r="C210" s="45">
        <v>4210</v>
      </c>
      <c r="D210" s="46" t="s">
        <v>34</v>
      </c>
      <c r="E210" s="47">
        <v>4700</v>
      </c>
      <c r="F210" s="47">
        <v>4700</v>
      </c>
      <c r="G210" s="65">
        <v>4810</v>
      </c>
      <c r="H210" s="47">
        <f>G210</f>
        <v>4810</v>
      </c>
      <c r="I210" s="47"/>
      <c r="J210" s="47">
        <v>4810</v>
      </c>
      <c r="K210" s="47">
        <v>7610</v>
      </c>
      <c r="L210" s="47">
        <v>7610</v>
      </c>
      <c r="M210" s="47">
        <f>7800</f>
        <v>7800</v>
      </c>
      <c r="N210" s="47">
        <v>12800</v>
      </c>
      <c r="O210" s="47">
        <v>12800</v>
      </c>
      <c r="P210" s="47">
        <v>3808</v>
      </c>
      <c r="Q210" s="186">
        <f t="shared" si="13"/>
        <v>0.2975</v>
      </c>
      <c r="R210" s="47">
        <v>12800</v>
      </c>
      <c r="S210" s="47">
        <v>12800</v>
      </c>
      <c r="T210" s="47">
        <v>12800</v>
      </c>
      <c r="U210" s="47"/>
      <c r="V210" s="47"/>
      <c r="W210" s="32">
        <f t="shared" si="19"/>
        <v>12800</v>
      </c>
    </row>
    <row r="211" spans="1:23" ht="12">
      <c r="A211" s="48"/>
      <c r="B211" s="48"/>
      <c r="C211" s="45">
        <v>4300</v>
      </c>
      <c r="D211" s="46" t="s">
        <v>81</v>
      </c>
      <c r="E211" s="47">
        <v>4700</v>
      </c>
      <c r="F211" s="47">
        <v>2200</v>
      </c>
      <c r="G211" s="65">
        <v>2250</v>
      </c>
      <c r="H211" s="47">
        <f>G211</f>
        <v>2250</v>
      </c>
      <c r="I211" s="47"/>
      <c r="J211" s="47">
        <v>2250</v>
      </c>
      <c r="K211" s="47">
        <v>2250</v>
      </c>
      <c r="L211" s="47">
        <v>2250</v>
      </c>
      <c r="M211" s="47">
        <f>2300</f>
        <v>2300</v>
      </c>
      <c r="N211" s="47">
        <v>7300</v>
      </c>
      <c r="O211" s="47">
        <v>7300</v>
      </c>
      <c r="P211" s="47">
        <v>171</v>
      </c>
      <c r="Q211" s="186">
        <f aca="true" t="shared" si="23" ref="Q211:Q277">P211/O211</f>
        <v>0.023424657534246576</v>
      </c>
      <c r="R211" s="47">
        <v>7300</v>
      </c>
      <c r="S211" s="47">
        <v>7300</v>
      </c>
      <c r="T211" s="47">
        <v>7300</v>
      </c>
      <c r="U211" s="47"/>
      <c r="V211" s="47"/>
      <c r="W211" s="32">
        <f t="shared" si="19"/>
        <v>7300</v>
      </c>
    </row>
    <row r="212" spans="1:23" ht="36">
      <c r="A212" s="44"/>
      <c r="B212" s="44"/>
      <c r="C212" s="45">
        <v>4360</v>
      </c>
      <c r="D212" s="46" t="s">
        <v>39</v>
      </c>
      <c r="E212" s="47">
        <v>0</v>
      </c>
      <c r="F212" s="47">
        <v>6000</v>
      </c>
      <c r="G212" s="65">
        <v>7000</v>
      </c>
      <c r="H212" s="47">
        <f>G212</f>
        <v>7000</v>
      </c>
      <c r="I212" s="47"/>
      <c r="J212" s="47">
        <v>7000</v>
      </c>
      <c r="K212" s="47">
        <v>8200</v>
      </c>
      <c r="L212" s="47">
        <v>8200</v>
      </c>
      <c r="M212" s="47">
        <v>8500</v>
      </c>
      <c r="N212" s="47">
        <v>8500</v>
      </c>
      <c r="O212" s="47">
        <v>8500</v>
      </c>
      <c r="P212" s="47">
        <v>3087</v>
      </c>
      <c r="Q212" s="186">
        <f t="shared" si="23"/>
        <v>0.36317647058823527</v>
      </c>
      <c r="R212" s="47">
        <v>8500</v>
      </c>
      <c r="S212" s="47">
        <v>8500</v>
      </c>
      <c r="T212" s="47">
        <v>8500</v>
      </c>
      <c r="U212" s="47"/>
      <c r="V212" s="47"/>
      <c r="W212" s="32">
        <f t="shared" si="19"/>
        <v>8500</v>
      </c>
    </row>
    <row r="213" spans="1:23" ht="36">
      <c r="A213" s="48"/>
      <c r="B213" s="48"/>
      <c r="C213" s="45">
        <v>4400</v>
      </c>
      <c r="D213" s="46" t="s">
        <v>72</v>
      </c>
      <c r="E213" s="47">
        <v>0</v>
      </c>
      <c r="F213" s="47">
        <v>1500</v>
      </c>
      <c r="G213" s="65">
        <v>1600</v>
      </c>
      <c r="H213" s="47">
        <f>G213</f>
        <v>1600</v>
      </c>
      <c r="I213" s="47"/>
      <c r="J213" s="47">
        <v>1600</v>
      </c>
      <c r="K213" s="47">
        <v>2600</v>
      </c>
      <c r="L213" s="47">
        <v>2600</v>
      </c>
      <c r="M213" s="47">
        <v>2600</v>
      </c>
      <c r="N213" s="47">
        <v>2600</v>
      </c>
      <c r="O213" s="47">
        <v>2600</v>
      </c>
      <c r="P213" s="47">
        <v>732</v>
      </c>
      <c r="Q213" s="186">
        <f t="shared" si="23"/>
        <v>0.2815384615384615</v>
      </c>
      <c r="R213" s="47">
        <v>2600</v>
      </c>
      <c r="S213" s="47">
        <v>2600</v>
      </c>
      <c r="T213" s="47">
        <v>2600</v>
      </c>
      <c r="U213" s="47"/>
      <c r="V213" s="47"/>
      <c r="W213" s="32">
        <f t="shared" si="19"/>
        <v>2600</v>
      </c>
    </row>
    <row r="214" spans="1:23" ht="12" hidden="1">
      <c r="A214" s="48"/>
      <c r="B214" s="48"/>
      <c r="C214" s="45">
        <v>4410</v>
      </c>
      <c r="D214" s="46" t="s">
        <v>42</v>
      </c>
      <c r="E214" s="47">
        <v>1100</v>
      </c>
      <c r="F214" s="47">
        <v>5000</v>
      </c>
      <c r="G214" s="65">
        <v>5000</v>
      </c>
      <c r="H214" s="47">
        <v>2000</v>
      </c>
      <c r="I214" s="47"/>
      <c r="J214" s="47">
        <v>2000</v>
      </c>
      <c r="K214" s="47">
        <v>2000</v>
      </c>
      <c r="L214" s="47">
        <v>2000</v>
      </c>
      <c r="M214" s="47">
        <v>2000</v>
      </c>
      <c r="N214" s="47">
        <v>2000</v>
      </c>
      <c r="O214" s="47">
        <v>2000</v>
      </c>
      <c r="P214" s="47"/>
      <c r="Q214" s="186">
        <f t="shared" si="23"/>
        <v>0</v>
      </c>
      <c r="R214" s="47">
        <v>2000</v>
      </c>
      <c r="S214" s="47">
        <v>2000</v>
      </c>
      <c r="T214" s="47">
        <v>0</v>
      </c>
      <c r="U214" s="47"/>
      <c r="V214" s="47"/>
      <c r="W214" s="32">
        <f t="shared" si="19"/>
        <v>0</v>
      </c>
    </row>
    <row r="215" spans="1:23" ht="12" hidden="1">
      <c r="A215" s="48"/>
      <c r="B215" s="48"/>
      <c r="C215" s="45">
        <v>4420</v>
      </c>
      <c r="D215" s="46" t="s">
        <v>90</v>
      </c>
      <c r="E215" s="47">
        <v>1100</v>
      </c>
      <c r="F215" s="47">
        <v>5000</v>
      </c>
      <c r="G215" s="65">
        <v>5000</v>
      </c>
      <c r="H215" s="47">
        <v>2000</v>
      </c>
      <c r="I215" s="47"/>
      <c r="J215" s="47"/>
      <c r="K215" s="47"/>
      <c r="L215" s="47"/>
      <c r="M215" s="47"/>
      <c r="N215" s="47">
        <v>4000</v>
      </c>
      <c r="O215" s="47">
        <v>4000</v>
      </c>
      <c r="P215" s="47"/>
      <c r="Q215" s="186">
        <f t="shared" si="23"/>
        <v>0</v>
      </c>
      <c r="R215" s="47">
        <v>4000</v>
      </c>
      <c r="S215" s="47">
        <v>4000</v>
      </c>
      <c r="T215" s="47">
        <v>0</v>
      </c>
      <c r="U215" s="47"/>
      <c r="V215" s="47"/>
      <c r="W215" s="32">
        <f t="shared" si="19"/>
        <v>0</v>
      </c>
    </row>
    <row r="216" spans="1:23" ht="36" hidden="1">
      <c r="A216" s="48"/>
      <c r="B216" s="48"/>
      <c r="C216" s="45">
        <v>4700</v>
      </c>
      <c r="D216" s="46" t="s">
        <v>82</v>
      </c>
      <c r="E216" s="68">
        <v>10000</v>
      </c>
      <c r="F216" s="68">
        <v>10000</v>
      </c>
      <c r="G216" s="49">
        <v>10000</v>
      </c>
      <c r="H216" s="47">
        <v>2000</v>
      </c>
      <c r="I216" s="47"/>
      <c r="J216" s="47">
        <v>5000</v>
      </c>
      <c r="K216" s="47">
        <v>0</v>
      </c>
      <c r="L216" s="47">
        <v>0</v>
      </c>
      <c r="M216" s="47">
        <v>5000</v>
      </c>
      <c r="N216" s="47">
        <v>5000</v>
      </c>
      <c r="O216" s="47">
        <v>5000</v>
      </c>
      <c r="P216" s="47"/>
      <c r="Q216" s="186">
        <f t="shared" si="23"/>
        <v>0</v>
      </c>
      <c r="R216" s="47">
        <v>4000</v>
      </c>
      <c r="S216" s="47">
        <v>4000</v>
      </c>
      <c r="T216" s="47">
        <v>0</v>
      </c>
      <c r="U216" s="47"/>
      <c r="V216" s="47"/>
      <c r="W216" s="32">
        <f t="shared" si="19"/>
        <v>0</v>
      </c>
    </row>
    <row r="217" spans="1:23" ht="12">
      <c r="A217" s="52"/>
      <c r="B217" s="52">
        <v>75020</v>
      </c>
      <c r="C217" s="53"/>
      <c r="D217" s="54" t="s">
        <v>83</v>
      </c>
      <c r="E217" s="57">
        <f>SUM(E218:E251)</f>
        <v>4958580</v>
      </c>
      <c r="F217" s="57">
        <f>SUM(F218:F251)</f>
        <v>5420779</v>
      </c>
      <c r="G217" s="67">
        <f>SUM(G218:G251)</f>
        <v>5981895</v>
      </c>
      <c r="H217" s="67">
        <f>SUM(H218:H251)</f>
        <v>5906095</v>
      </c>
      <c r="I217" s="67"/>
      <c r="J217" s="67">
        <f>SUM(J218:J251)-J228-J234</f>
        <v>5695425</v>
      </c>
      <c r="K217" s="67">
        <f>SUM(K218:K251)-K228-K234</f>
        <v>6164277</v>
      </c>
      <c r="L217" s="67">
        <f>SUM(L218:L251)-L228-L234</f>
        <v>5929811</v>
      </c>
      <c r="M217" s="67">
        <f>SUM(M218:M251)-M228-M234</f>
        <v>7072007</v>
      </c>
      <c r="N217" s="67">
        <v>7101150</v>
      </c>
      <c r="O217" s="67">
        <v>7101150</v>
      </c>
      <c r="P217" s="67">
        <f>SUM(P218:P251)-P228-P234</f>
        <v>3178737</v>
      </c>
      <c r="Q217" s="186">
        <f t="shared" si="23"/>
        <v>0.44763693204621785</v>
      </c>
      <c r="R217" s="67">
        <f>SUM(R218:R251)-R228-R234</f>
        <v>7161866</v>
      </c>
      <c r="S217" s="67">
        <f>SUM(S218:S251)-S228-S234</f>
        <v>7565900</v>
      </c>
      <c r="T217" s="67">
        <v>7153399</v>
      </c>
      <c r="U217" s="67">
        <f>SUM(U218:U251)-U228-U234</f>
        <v>4000</v>
      </c>
      <c r="V217" s="67">
        <f>SUM(V218:V251)-V228-V234</f>
        <v>7000</v>
      </c>
      <c r="W217" s="32">
        <f t="shared" si="19"/>
        <v>7150399</v>
      </c>
    </row>
    <row r="218" spans="1:23" ht="60">
      <c r="A218" s="48"/>
      <c r="B218" s="48"/>
      <c r="C218" s="45">
        <v>2900</v>
      </c>
      <c r="D218" s="46" t="s">
        <v>84</v>
      </c>
      <c r="E218" s="47">
        <v>7500</v>
      </c>
      <c r="F218" s="47">
        <v>7500</v>
      </c>
      <c r="G218" s="65">
        <v>7700</v>
      </c>
      <c r="H218" s="47">
        <f aca="true" t="shared" si="24" ref="H218:H226">G218</f>
        <v>7700</v>
      </c>
      <c r="I218" s="47"/>
      <c r="J218" s="47">
        <v>7700</v>
      </c>
      <c r="K218" s="47">
        <v>9005</v>
      </c>
      <c r="L218" s="47">
        <f>5781+1594+200</f>
        <v>7575</v>
      </c>
      <c r="M218" s="47">
        <v>7800</v>
      </c>
      <c r="N218" s="47">
        <v>7800</v>
      </c>
      <c r="O218" s="47">
        <v>7800</v>
      </c>
      <c r="P218" s="47">
        <v>4636</v>
      </c>
      <c r="Q218" s="186">
        <f t="shared" si="23"/>
        <v>0.5943589743589743</v>
      </c>
      <c r="R218" s="47">
        <v>11500</v>
      </c>
      <c r="S218" s="47">
        <v>12300</v>
      </c>
      <c r="T218" s="47">
        <v>12300</v>
      </c>
      <c r="U218" s="47"/>
      <c r="V218" s="47"/>
      <c r="W218" s="32">
        <f t="shared" si="19"/>
        <v>12300</v>
      </c>
    </row>
    <row r="219" spans="1:23" ht="24">
      <c r="A219" s="44"/>
      <c r="B219" s="44"/>
      <c r="C219" s="45">
        <v>3020</v>
      </c>
      <c r="D219" s="46" t="s">
        <v>68</v>
      </c>
      <c r="E219" s="47">
        <v>26500</v>
      </c>
      <c r="F219" s="47">
        <v>26500</v>
      </c>
      <c r="G219" s="65">
        <v>8600</v>
      </c>
      <c r="H219" s="47">
        <f t="shared" si="24"/>
        <v>8600</v>
      </c>
      <c r="I219" s="47"/>
      <c r="J219" s="47">
        <v>8600</v>
      </c>
      <c r="K219" s="47">
        <v>8600</v>
      </c>
      <c r="L219" s="47">
        <v>8600</v>
      </c>
      <c r="M219" s="47">
        <f>7600</f>
        <v>7600</v>
      </c>
      <c r="N219" s="47">
        <v>7600</v>
      </c>
      <c r="O219" s="47">
        <v>7600</v>
      </c>
      <c r="P219" s="47">
        <v>2702</v>
      </c>
      <c r="Q219" s="186">
        <f t="shared" si="23"/>
        <v>0.3555263157894737</v>
      </c>
      <c r="R219" s="47">
        <v>7600</v>
      </c>
      <c r="S219" s="47">
        <v>4600</v>
      </c>
      <c r="T219" s="47">
        <v>4600</v>
      </c>
      <c r="U219" s="47"/>
      <c r="V219" s="47"/>
      <c r="W219" s="32">
        <f t="shared" si="19"/>
        <v>4600</v>
      </c>
    </row>
    <row r="220" spans="1:23" ht="12">
      <c r="A220" s="44"/>
      <c r="B220" s="44"/>
      <c r="C220" s="45">
        <v>3250</v>
      </c>
      <c r="D220" s="46" t="s">
        <v>85</v>
      </c>
      <c r="E220" s="47">
        <v>12800</v>
      </c>
      <c r="F220" s="47">
        <v>12800</v>
      </c>
      <c r="G220" s="65">
        <v>13100</v>
      </c>
      <c r="H220" s="47">
        <f t="shared" si="24"/>
        <v>13100</v>
      </c>
      <c r="I220" s="47"/>
      <c r="J220" s="47">
        <v>13100</v>
      </c>
      <c r="K220" s="47">
        <v>13100</v>
      </c>
      <c r="L220" s="47">
        <v>13100</v>
      </c>
      <c r="M220" s="47">
        <v>13000</v>
      </c>
      <c r="N220" s="47">
        <v>13000</v>
      </c>
      <c r="O220" s="47">
        <v>13000</v>
      </c>
      <c r="P220" s="47">
        <v>2959</v>
      </c>
      <c r="Q220" s="186">
        <f t="shared" si="23"/>
        <v>0.2276153846153846</v>
      </c>
      <c r="R220" s="47">
        <v>13000</v>
      </c>
      <c r="S220" s="47">
        <v>13000</v>
      </c>
      <c r="T220" s="47">
        <v>3000</v>
      </c>
      <c r="U220" s="47"/>
      <c r="V220" s="47"/>
      <c r="W220" s="32">
        <f t="shared" si="19"/>
        <v>3000</v>
      </c>
    </row>
    <row r="221" spans="1:23" ht="24">
      <c r="A221" s="44"/>
      <c r="B221" s="44"/>
      <c r="C221" s="51">
        <v>4010</v>
      </c>
      <c r="D221" s="46" t="s">
        <v>29</v>
      </c>
      <c r="E221" s="47">
        <v>2377800</v>
      </c>
      <c r="F221" s="47">
        <v>2494290</v>
      </c>
      <c r="G221" s="65">
        <v>2922369</v>
      </c>
      <c r="H221" s="47">
        <f t="shared" si="24"/>
        <v>2922369</v>
      </c>
      <c r="I221" s="47">
        <v>3009000</v>
      </c>
      <c r="J221" s="47">
        <v>3009000</v>
      </c>
      <c r="K221" s="47">
        <v>3144993</v>
      </c>
      <c r="L221" s="47">
        <v>2964824</v>
      </c>
      <c r="M221" s="47">
        <v>3143413</v>
      </c>
      <c r="N221" s="47">
        <v>3250500</v>
      </c>
      <c r="O221" s="47">
        <v>3250500</v>
      </c>
      <c r="P221" s="47">
        <v>1432334</v>
      </c>
      <c r="Q221" s="186">
        <f t="shared" si="23"/>
        <v>0.4406503614828488</v>
      </c>
      <c r="R221" s="47">
        <v>3283315</v>
      </c>
      <c r="S221" s="47">
        <v>3700000</v>
      </c>
      <c r="T221" s="47">
        <v>3412456</v>
      </c>
      <c r="U221" s="47"/>
      <c r="V221" s="47">
        <v>4000</v>
      </c>
      <c r="W221" s="32">
        <f t="shared" si="19"/>
        <v>3408456</v>
      </c>
    </row>
    <row r="222" spans="1:23" ht="12">
      <c r="A222" s="44"/>
      <c r="B222" s="44"/>
      <c r="C222" s="45">
        <v>4040</v>
      </c>
      <c r="D222" s="46" t="s">
        <v>30</v>
      </c>
      <c r="E222" s="47">
        <v>196700</v>
      </c>
      <c r="F222" s="47">
        <v>187000</v>
      </c>
      <c r="G222" s="65">
        <v>192940</v>
      </c>
      <c r="H222" s="47">
        <f t="shared" si="24"/>
        <v>192940</v>
      </c>
      <c r="I222" s="47"/>
      <c r="J222" s="47">
        <v>193000</v>
      </c>
      <c r="K222" s="47">
        <v>193000</v>
      </c>
      <c r="L222" s="47">
        <v>189969</v>
      </c>
      <c r="M222" s="47">
        <v>221309</v>
      </c>
      <c r="N222" s="47">
        <v>222000</v>
      </c>
      <c r="O222" s="47">
        <v>222000</v>
      </c>
      <c r="P222" s="47">
        <v>218321</v>
      </c>
      <c r="Q222" s="186">
        <f t="shared" si="23"/>
        <v>0.9834279279279279</v>
      </c>
      <c r="R222" s="47">
        <v>222000</v>
      </c>
      <c r="S222" s="47">
        <v>249000</v>
      </c>
      <c r="T222" s="47">
        <v>249000</v>
      </c>
      <c r="U222" s="47"/>
      <c r="V222" s="47"/>
      <c r="W222" s="32">
        <f t="shared" si="19"/>
        <v>249000</v>
      </c>
    </row>
    <row r="223" spans="1:23" ht="24">
      <c r="A223" s="44"/>
      <c r="B223" s="44"/>
      <c r="C223" s="45">
        <v>4110</v>
      </c>
      <c r="D223" s="46" t="s">
        <v>31</v>
      </c>
      <c r="E223" s="47">
        <v>432600</v>
      </c>
      <c r="F223" s="47">
        <v>452930</v>
      </c>
      <c r="G223" s="65">
        <v>442206</v>
      </c>
      <c r="H223" s="47">
        <f t="shared" si="24"/>
        <v>442206</v>
      </c>
      <c r="I223" s="47"/>
      <c r="J223" s="47">
        <v>456000</v>
      </c>
      <c r="K223" s="47">
        <v>478486</v>
      </c>
      <c r="L223" s="47">
        <v>430978</v>
      </c>
      <c r="M223" s="47">
        <v>485487</v>
      </c>
      <c r="N223" s="47">
        <v>501000</v>
      </c>
      <c r="O223" s="47">
        <v>501000</v>
      </c>
      <c r="P223" s="47">
        <v>226851</v>
      </c>
      <c r="Q223" s="186">
        <f t="shared" si="23"/>
        <v>0.45279640718562875</v>
      </c>
      <c r="R223" s="47">
        <v>505985</v>
      </c>
      <c r="S223" s="47">
        <v>565000</v>
      </c>
      <c r="T223" s="47">
        <v>508523</v>
      </c>
      <c r="U223" s="47"/>
      <c r="V223" s="47"/>
      <c r="W223" s="32">
        <f t="shared" si="19"/>
        <v>508523</v>
      </c>
    </row>
    <row r="224" spans="1:23" ht="12">
      <c r="A224" s="44"/>
      <c r="B224" s="44"/>
      <c r="C224" s="45">
        <v>4120</v>
      </c>
      <c r="D224" s="46" t="s">
        <v>32</v>
      </c>
      <c r="E224" s="47">
        <v>62000</v>
      </c>
      <c r="F224" s="47">
        <v>64910</v>
      </c>
      <c r="G224" s="65">
        <v>71250</v>
      </c>
      <c r="H224" s="47">
        <f t="shared" si="24"/>
        <v>71250</v>
      </c>
      <c r="I224" s="47"/>
      <c r="J224" s="47">
        <v>73000</v>
      </c>
      <c r="K224" s="47">
        <v>76465</v>
      </c>
      <c r="L224" s="47">
        <v>74137</v>
      </c>
      <c r="M224" s="47">
        <v>78304</v>
      </c>
      <c r="N224" s="47">
        <v>81000</v>
      </c>
      <c r="O224" s="47">
        <v>81000</v>
      </c>
      <c r="P224" s="47">
        <v>35496</v>
      </c>
      <c r="Q224" s="186">
        <f t="shared" si="23"/>
        <v>0.43822222222222224</v>
      </c>
      <c r="R224" s="47">
        <v>81803</v>
      </c>
      <c r="S224" s="47">
        <v>91000</v>
      </c>
      <c r="T224" s="47">
        <v>82020</v>
      </c>
      <c r="U224" s="47"/>
      <c r="V224" s="47"/>
      <c r="W224" s="32">
        <f t="shared" si="19"/>
        <v>82020</v>
      </c>
    </row>
    <row r="225" spans="1:23" ht="12" hidden="1">
      <c r="A225" s="44"/>
      <c r="B225" s="44"/>
      <c r="C225" s="45">
        <v>4140</v>
      </c>
      <c r="D225" s="46" t="s">
        <v>86</v>
      </c>
      <c r="E225" s="47">
        <v>0</v>
      </c>
      <c r="F225" s="47">
        <v>1300</v>
      </c>
      <c r="G225" s="65">
        <v>0</v>
      </c>
      <c r="H225" s="47">
        <f t="shared" si="24"/>
        <v>0</v>
      </c>
      <c r="I225" s="47"/>
      <c r="J225" s="47">
        <v>2000</v>
      </c>
      <c r="K225" s="47">
        <v>2000</v>
      </c>
      <c r="L225" s="47">
        <v>2000</v>
      </c>
      <c r="M225" s="47">
        <v>2000</v>
      </c>
      <c r="N225" s="47">
        <v>2000</v>
      </c>
      <c r="O225" s="47">
        <v>2000</v>
      </c>
      <c r="P225" s="47"/>
      <c r="Q225" s="186">
        <f t="shared" si="23"/>
        <v>0</v>
      </c>
      <c r="R225" s="47">
        <v>0</v>
      </c>
      <c r="S225" s="47">
        <v>0</v>
      </c>
      <c r="T225" s="47">
        <v>0</v>
      </c>
      <c r="U225" s="47">
        <v>0</v>
      </c>
      <c r="V225" s="47">
        <v>0</v>
      </c>
      <c r="W225" s="32">
        <f t="shared" si="19"/>
        <v>0</v>
      </c>
    </row>
    <row r="226" spans="1:23" ht="12">
      <c r="A226" s="44"/>
      <c r="B226" s="44"/>
      <c r="C226" s="45">
        <v>4170</v>
      </c>
      <c r="D226" s="46" t="s">
        <v>69</v>
      </c>
      <c r="E226" s="47">
        <v>5200</v>
      </c>
      <c r="F226" s="47">
        <v>10100</v>
      </c>
      <c r="G226" s="65">
        <v>5200</v>
      </c>
      <c r="H226" s="47">
        <f t="shared" si="24"/>
        <v>5200</v>
      </c>
      <c r="I226" s="47"/>
      <c r="J226" s="47">
        <v>20200</v>
      </c>
      <c r="K226" s="47">
        <v>25630</v>
      </c>
      <c r="L226" s="47">
        <f>25630</f>
        <v>25630</v>
      </c>
      <c r="M226" s="47">
        <v>5300</v>
      </c>
      <c r="N226" s="47">
        <v>5300</v>
      </c>
      <c r="O226" s="47">
        <v>5300</v>
      </c>
      <c r="P226" s="47">
        <v>2079</v>
      </c>
      <c r="Q226" s="186">
        <f t="shared" si="23"/>
        <v>0.39226415094339623</v>
      </c>
      <c r="R226" s="47">
        <v>7900</v>
      </c>
      <c r="S226" s="47">
        <v>5400</v>
      </c>
      <c r="T226" s="47">
        <v>10660</v>
      </c>
      <c r="U226" s="47">
        <v>4000</v>
      </c>
      <c r="V226" s="47"/>
      <c r="W226" s="32">
        <f t="shared" si="19"/>
        <v>14660</v>
      </c>
    </row>
    <row r="227" spans="1:23" ht="12">
      <c r="A227" s="44"/>
      <c r="B227" s="44"/>
      <c r="C227" s="45">
        <v>4210</v>
      </c>
      <c r="D227" s="46" t="s">
        <v>34</v>
      </c>
      <c r="E227" s="47">
        <v>563000</v>
      </c>
      <c r="F227" s="47">
        <v>733200</v>
      </c>
      <c r="G227" s="65">
        <v>784000</v>
      </c>
      <c r="H227" s="47">
        <f>G227-11000-20000-3000-3800</f>
        <v>746200</v>
      </c>
      <c r="I227" s="47"/>
      <c r="J227" s="47">
        <v>656200</v>
      </c>
      <c r="K227" s="47">
        <v>884200</v>
      </c>
      <c r="L227" s="47">
        <f>124200+760000</f>
        <v>884200</v>
      </c>
      <c r="M227" s="47">
        <f>160000+738600</f>
        <v>898600</v>
      </c>
      <c r="N227" s="47">
        <v>898600</v>
      </c>
      <c r="O227" s="47">
        <v>894600</v>
      </c>
      <c r="P227" s="47">
        <v>382176</v>
      </c>
      <c r="Q227" s="186">
        <f t="shared" si="23"/>
        <v>0.4272032193158954</v>
      </c>
      <c r="R227" s="47">
        <v>894600</v>
      </c>
      <c r="S227" s="47">
        <v>869000</v>
      </c>
      <c r="T227" s="47">
        <v>863740</v>
      </c>
      <c r="U227" s="47"/>
      <c r="V227" s="47"/>
      <c r="W227" s="32">
        <f t="shared" si="19"/>
        <v>863740</v>
      </c>
    </row>
    <row r="228" spans="1:23" ht="34.5" customHeight="1">
      <c r="A228" s="44"/>
      <c r="B228" s="44"/>
      <c r="C228" s="45"/>
      <c r="D228" s="69" t="s">
        <v>87</v>
      </c>
      <c r="E228" s="66"/>
      <c r="F228" s="66"/>
      <c r="G228" s="70"/>
      <c r="H228" s="66"/>
      <c r="I228" s="66"/>
      <c r="J228" s="66"/>
      <c r="K228" s="2">
        <v>760000</v>
      </c>
      <c r="L228" s="2">
        <v>760000</v>
      </c>
      <c r="M228" s="2">
        <v>738600</v>
      </c>
      <c r="N228" s="2">
        <v>738600</v>
      </c>
      <c r="O228" s="2">
        <v>738600</v>
      </c>
      <c r="P228" s="2">
        <v>738600</v>
      </c>
      <c r="Q228" s="186">
        <f t="shared" si="23"/>
        <v>1</v>
      </c>
      <c r="R228" s="2">
        <v>738600</v>
      </c>
      <c r="S228" s="2">
        <v>680000</v>
      </c>
      <c r="T228" s="2">
        <v>680000</v>
      </c>
      <c r="U228" s="2"/>
      <c r="V228" s="2"/>
      <c r="W228" s="32">
        <f t="shared" si="19"/>
        <v>680000</v>
      </c>
    </row>
    <row r="229" spans="1:23" ht="36">
      <c r="A229" s="44"/>
      <c r="B229" s="44"/>
      <c r="C229" s="45">
        <v>4230</v>
      </c>
      <c r="D229" s="46" t="s">
        <v>88</v>
      </c>
      <c r="E229" s="47">
        <v>0</v>
      </c>
      <c r="F229" s="47">
        <v>1800</v>
      </c>
      <c r="G229" s="65">
        <v>2000</v>
      </c>
      <c r="H229" s="47">
        <f>G229</f>
        <v>2000</v>
      </c>
      <c r="I229" s="47"/>
      <c r="J229" s="47">
        <v>2000</v>
      </c>
      <c r="K229" s="47">
        <v>2000</v>
      </c>
      <c r="L229" s="47">
        <v>2000</v>
      </c>
      <c r="M229" s="47">
        <v>2000</v>
      </c>
      <c r="N229" s="47">
        <v>2000</v>
      </c>
      <c r="O229" s="47">
        <v>2000</v>
      </c>
      <c r="P229" s="47"/>
      <c r="Q229" s="186">
        <f t="shared" si="23"/>
        <v>0</v>
      </c>
      <c r="R229" s="47">
        <v>2000</v>
      </c>
      <c r="S229" s="47">
        <v>2000</v>
      </c>
      <c r="T229" s="47">
        <v>2000</v>
      </c>
      <c r="U229" s="47"/>
      <c r="V229" s="47"/>
      <c r="W229" s="32">
        <f t="shared" si="19"/>
        <v>2000</v>
      </c>
    </row>
    <row r="230" spans="1:23" ht="12">
      <c r="A230" s="44"/>
      <c r="B230" s="44"/>
      <c r="C230" s="45">
        <v>4260</v>
      </c>
      <c r="D230" s="46" t="s">
        <v>35</v>
      </c>
      <c r="E230" s="47">
        <v>188000</v>
      </c>
      <c r="F230" s="47">
        <v>188000</v>
      </c>
      <c r="G230" s="65">
        <v>188000</v>
      </c>
      <c r="H230" s="47">
        <f>G230</f>
        <v>188000</v>
      </c>
      <c r="I230" s="47"/>
      <c r="J230" s="47">
        <v>188000</v>
      </c>
      <c r="K230" s="47">
        <v>188000</v>
      </c>
      <c r="L230" s="47">
        <v>188000</v>
      </c>
      <c r="M230" s="47">
        <v>188000</v>
      </c>
      <c r="N230" s="47">
        <v>188000</v>
      </c>
      <c r="O230" s="47">
        <v>188000</v>
      </c>
      <c r="P230" s="47">
        <v>131557</v>
      </c>
      <c r="Q230" s="186">
        <f t="shared" si="23"/>
        <v>0.6997712765957447</v>
      </c>
      <c r="R230" s="47">
        <v>248000</v>
      </c>
      <c r="S230" s="47">
        <v>163000</v>
      </c>
      <c r="T230" s="47">
        <v>163000</v>
      </c>
      <c r="U230" s="47"/>
      <c r="V230" s="47"/>
      <c r="W230" s="32">
        <f t="shared" si="19"/>
        <v>163000</v>
      </c>
    </row>
    <row r="231" spans="1:23" ht="12">
      <c r="A231" s="44"/>
      <c r="B231" s="44"/>
      <c r="C231" s="45">
        <v>4270</v>
      </c>
      <c r="D231" s="46" t="s">
        <v>36</v>
      </c>
      <c r="E231" s="47">
        <v>58400</v>
      </c>
      <c r="F231" s="47">
        <v>83288</v>
      </c>
      <c r="G231" s="65">
        <v>97430</v>
      </c>
      <c r="H231" s="47">
        <v>97430</v>
      </c>
      <c r="I231" s="47"/>
      <c r="J231" s="47">
        <v>85600</v>
      </c>
      <c r="K231" s="47">
        <v>85600</v>
      </c>
      <c r="L231" s="47">
        <v>85600</v>
      </c>
      <c r="M231" s="47">
        <f>69700-4200+3850</f>
        <v>69350</v>
      </c>
      <c r="N231" s="47">
        <v>69350</v>
      </c>
      <c r="O231" s="47">
        <v>69350</v>
      </c>
      <c r="P231" s="47">
        <v>28634</v>
      </c>
      <c r="Q231" s="186">
        <f t="shared" si="23"/>
        <v>0.41289113193943766</v>
      </c>
      <c r="R231" s="47">
        <v>69350</v>
      </c>
      <c r="S231" s="47">
        <v>42000</v>
      </c>
      <c r="T231" s="47">
        <v>42000</v>
      </c>
      <c r="U231" s="47"/>
      <c r="V231" s="47"/>
      <c r="W231" s="32">
        <f t="shared" si="19"/>
        <v>42000</v>
      </c>
    </row>
    <row r="232" spans="1:23" ht="12">
      <c r="A232" s="44"/>
      <c r="B232" s="44"/>
      <c r="C232" s="45">
        <v>4280</v>
      </c>
      <c r="D232" s="71" t="s">
        <v>37</v>
      </c>
      <c r="E232" s="47">
        <v>1500</v>
      </c>
      <c r="F232" s="47">
        <v>1500</v>
      </c>
      <c r="G232" s="65">
        <v>1700</v>
      </c>
      <c r="H232" s="47">
        <f aca="true" t="shared" si="25" ref="H232:H240">G232</f>
        <v>1700</v>
      </c>
      <c r="I232" s="47"/>
      <c r="J232" s="47">
        <v>1700</v>
      </c>
      <c r="K232" s="47">
        <v>1700</v>
      </c>
      <c r="L232" s="47">
        <v>1700</v>
      </c>
      <c r="M232" s="47">
        <v>2000</v>
      </c>
      <c r="N232" s="47">
        <v>2000</v>
      </c>
      <c r="O232" s="47">
        <v>2000</v>
      </c>
      <c r="P232" s="47">
        <v>908</v>
      </c>
      <c r="Q232" s="186">
        <f t="shared" si="23"/>
        <v>0.454</v>
      </c>
      <c r="R232" s="47">
        <v>2000</v>
      </c>
      <c r="S232" s="47">
        <v>2500</v>
      </c>
      <c r="T232" s="47">
        <v>2500</v>
      </c>
      <c r="U232" s="47"/>
      <c r="V232" s="47"/>
      <c r="W232" s="32">
        <f t="shared" si="19"/>
        <v>2500</v>
      </c>
    </row>
    <row r="233" spans="1:23" ht="12">
      <c r="A233" s="44"/>
      <c r="B233" s="44"/>
      <c r="C233" s="45">
        <v>4300</v>
      </c>
      <c r="D233" s="46" t="s">
        <v>17</v>
      </c>
      <c r="E233" s="47">
        <v>466000</v>
      </c>
      <c r="F233" s="47">
        <v>571000</v>
      </c>
      <c r="G233" s="65">
        <v>576500</v>
      </c>
      <c r="H233" s="47">
        <f t="shared" si="25"/>
        <v>576500</v>
      </c>
      <c r="I233" s="47"/>
      <c r="J233" s="47">
        <v>558500</v>
      </c>
      <c r="K233" s="47">
        <v>584300</v>
      </c>
      <c r="L233" s="47">
        <f>184300+400000</f>
        <v>584300</v>
      </c>
      <c r="M233" s="47">
        <f>188700+410000</f>
        <v>598700</v>
      </c>
      <c r="N233" s="47">
        <v>598700</v>
      </c>
      <c r="O233" s="47">
        <v>598700</v>
      </c>
      <c r="P233" s="47">
        <v>301472</v>
      </c>
      <c r="Q233" s="186">
        <f t="shared" si="23"/>
        <v>0.5035443460831802</v>
      </c>
      <c r="R233" s="47">
        <v>658700</v>
      </c>
      <c r="S233" s="47">
        <v>581000</v>
      </c>
      <c r="T233" s="47">
        <v>579524</v>
      </c>
      <c r="U233" s="47"/>
      <c r="V233" s="47"/>
      <c r="W233" s="32">
        <f t="shared" si="19"/>
        <v>579524</v>
      </c>
    </row>
    <row r="234" spans="1:23" ht="35.25" customHeight="1">
      <c r="A234" s="44"/>
      <c r="B234" s="44"/>
      <c r="C234" s="45"/>
      <c r="D234" s="72" t="s">
        <v>89</v>
      </c>
      <c r="E234" s="66"/>
      <c r="F234" s="66"/>
      <c r="G234" s="70"/>
      <c r="H234" s="66"/>
      <c r="I234" s="66"/>
      <c r="J234" s="66"/>
      <c r="K234" s="2">
        <v>400000</v>
      </c>
      <c r="L234" s="2">
        <v>400000</v>
      </c>
      <c r="M234" s="2">
        <v>410000</v>
      </c>
      <c r="N234" s="2">
        <v>410000</v>
      </c>
      <c r="O234" s="2">
        <v>410000</v>
      </c>
      <c r="P234" s="2">
        <v>410000</v>
      </c>
      <c r="Q234" s="186">
        <f t="shared" si="23"/>
        <v>1</v>
      </c>
      <c r="R234" s="2">
        <v>410000</v>
      </c>
      <c r="S234" s="2">
        <v>338000</v>
      </c>
      <c r="T234" s="2">
        <v>338000</v>
      </c>
      <c r="U234" s="2"/>
      <c r="V234" s="2"/>
      <c r="W234" s="32">
        <f t="shared" si="19"/>
        <v>338000</v>
      </c>
    </row>
    <row r="235" spans="1:23" ht="24">
      <c r="A235" s="44"/>
      <c r="B235" s="44"/>
      <c r="C235" s="45">
        <v>4350</v>
      </c>
      <c r="D235" s="46" t="s">
        <v>38</v>
      </c>
      <c r="E235" s="47">
        <v>33000</v>
      </c>
      <c r="F235" s="47">
        <v>23200</v>
      </c>
      <c r="G235" s="65">
        <v>7000</v>
      </c>
      <c r="H235" s="47">
        <f t="shared" si="25"/>
        <v>7000</v>
      </c>
      <c r="I235" s="47"/>
      <c r="J235" s="47">
        <v>7000</v>
      </c>
      <c r="K235" s="47">
        <v>7000</v>
      </c>
      <c r="L235" s="47">
        <v>7000</v>
      </c>
      <c r="M235" s="47">
        <v>7000</v>
      </c>
      <c r="N235" s="47">
        <v>7000</v>
      </c>
      <c r="O235" s="47">
        <v>7000</v>
      </c>
      <c r="P235" s="47">
        <v>7360</v>
      </c>
      <c r="Q235" s="186">
        <f t="shared" si="23"/>
        <v>1.0514285714285714</v>
      </c>
      <c r="R235" s="47">
        <v>23100</v>
      </c>
      <c r="S235" s="47">
        <v>17000</v>
      </c>
      <c r="T235" s="47">
        <v>17000</v>
      </c>
      <c r="U235" s="47"/>
      <c r="V235" s="47"/>
      <c r="W235" s="32">
        <f t="shared" si="19"/>
        <v>17000</v>
      </c>
    </row>
    <row r="236" spans="1:23" ht="36">
      <c r="A236" s="44"/>
      <c r="B236" s="44"/>
      <c r="C236" s="45">
        <v>4360</v>
      </c>
      <c r="D236" s="46" t="s">
        <v>39</v>
      </c>
      <c r="E236" s="47">
        <v>19000</v>
      </c>
      <c r="F236" s="47">
        <v>19000</v>
      </c>
      <c r="G236" s="65">
        <v>19000</v>
      </c>
      <c r="H236" s="47">
        <f t="shared" si="25"/>
        <v>19000</v>
      </c>
      <c r="I236" s="47"/>
      <c r="J236" s="47">
        <v>19000</v>
      </c>
      <c r="K236" s="47">
        <v>19000</v>
      </c>
      <c r="L236" s="47">
        <v>19000</v>
      </c>
      <c r="M236" s="47">
        <v>22000</v>
      </c>
      <c r="N236" s="47">
        <v>22000</v>
      </c>
      <c r="O236" s="47">
        <v>22000</v>
      </c>
      <c r="P236" s="47">
        <v>11953</v>
      </c>
      <c r="Q236" s="186">
        <f t="shared" si="23"/>
        <v>0.5433181818181818</v>
      </c>
      <c r="R236" s="47">
        <v>23000</v>
      </c>
      <c r="S236" s="47">
        <v>26000</v>
      </c>
      <c r="T236" s="47">
        <v>26000</v>
      </c>
      <c r="U236" s="47"/>
      <c r="V236" s="47"/>
      <c r="W236" s="32">
        <f t="shared" si="19"/>
        <v>26000</v>
      </c>
    </row>
    <row r="237" spans="1:23" ht="24">
      <c r="A237" s="44"/>
      <c r="B237" s="44"/>
      <c r="C237" s="45">
        <v>4370</v>
      </c>
      <c r="D237" s="46" t="s">
        <v>40</v>
      </c>
      <c r="E237" s="47">
        <v>32000</v>
      </c>
      <c r="F237" s="47">
        <v>32000</v>
      </c>
      <c r="G237" s="65">
        <v>40000</v>
      </c>
      <c r="H237" s="47">
        <f t="shared" si="25"/>
        <v>40000</v>
      </c>
      <c r="I237" s="47"/>
      <c r="J237" s="47">
        <v>40000</v>
      </c>
      <c r="K237" s="47">
        <v>39800</v>
      </c>
      <c r="L237" s="47">
        <v>39800</v>
      </c>
      <c r="M237" s="47">
        <v>41000</v>
      </c>
      <c r="N237" s="47">
        <v>41000</v>
      </c>
      <c r="O237" s="47">
        <v>41000</v>
      </c>
      <c r="P237" s="47">
        <v>27769</v>
      </c>
      <c r="Q237" s="186">
        <f t="shared" si="23"/>
        <v>0.6772926829268293</v>
      </c>
      <c r="R237" s="47">
        <v>54000</v>
      </c>
      <c r="S237" s="47">
        <v>54000</v>
      </c>
      <c r="T237" s="47">
        <v>54000</v>
      </c>
      <c r="U237" s="47"/>
      <c r="V237" s="47">
        <v>3000</v>
      </c>
      <c r="W237" s="32">
        <f t="shared" si="19"/>
        <v>51000</v>
      </c>
    </row>
    <row r="238" spans="1:23" ht="36">
      <c r="A238" s="44"/>
      <c r="B238" s="44"/>
      <c r="C238" s="45">
        <v>4380</v>
      </c>
      <c r="D238" s="46" t="s">
        <v>300</v>
      </c>
      <c r="E238" s="47">
        <v>0</v>
      </c>
      <c r="F238" s="47">
        <v>300</v>
      </c>
      <c r="G238" s="65">
        <v>0</v>
      </c>
      <c r="H238" s="47">
        <f t="shared" si="25"/>
        <v>0</v>
      </c>
      <c r="I238" s="47"/>
      <c r="J238" s="47">
        <v>1000</v>
      </c>
      <c r="K238" s="47">
        <v>1200</v>
      </c>
      <c r="L238" s="47">
        <v>1200</v>
      </c>
      <c r="M238" s="47">
        <v>1200</v>
      </c>
      <c r="N238" s="47">
        <v>1200</v>
      </c>
      <c r="O238" s="47">
        <v>5200</v>
      </c>
      <c r="P238" s="47">
        <v>1889</v>
      </c>
      <c r="Q238" s="186">
        <f t="shared" si="23"/>
        <v>0.3632692307692308</v>
      </c>
      <c r="R238" s="47">
        <v>5200</v>
      </c>
      <c r="S238" s="47">
        <v>4000</v>
      </c>
      <c r="T238" s="47">
        <v>4000</v>
      </c>
      <c r="U238" s="47"/>
      <c r="V238" s="47"/>
      <c r="W238" s="32">
        <f t="shared" si="19"/>
        <v>4000</v>
      </c>
    </row>
    <row r="239" spans="1:23" ht="24" hidden="1">
      <c r="A239" s="44"/>
      <c r="B239" s="44"/>
      <c r="C239" s="45">
        <v>4390</v>
      </c>
      <c r="D239" s="46" t="s">
        <v>41</v>
      </c>
      <c r="E239" s="47"/>
      <c r="F239" s="47"/>
      <c r="G239" s="65"/>
      <c r="H239" s="47"/>
      <c r="I239" s="47"/>
      <c r="J239" s="47"/>
      <c r="K239" s="47"/>
      <c r="L239" s="47"/>
      <c r="M239" s="47"/>
      <c r="N239" s="47"/>
      <c r="O239" s="47"/>
      <c r="P239" s="47"/>
      <c r="Q239" s="186"/>
      <c r="R239" s="47">
        <v>310</v>
      </c>
      <c r="S239" s="47"/>
      <c r="T239" s="47">
        <v>0</v>
      </c>
      <c r="U239" s="47"/>
      <c r="V239" s="47"/>
      <c r="W239" s="32">
        <f t="shared" si="19"/>
        <v>0</v>
      </c>
    </row>
    <row r="240" spans="1:23" ht="36">
      <c r="A240" s="44"/>
      <c r="B240" s="44"/>
      <c r="C240" s="45">
        <v>4400</v>
      </c>
      <c r="D240" s="46" t="s">
        <v>72</v>
      </c>
      <c r="E240" s="47">
        <v>113000</v>
      </c>
      <c r="F240" s="47">
        <v>113000</v>
      </c>
      <c r="G240" s="65">
        <v>113000</v>
      </c>
      <c r="H240" s="47">
        <f t="shared" si="25"/>
        <v>113000</v>
      </c>
      <c r="I240" s="47"/>
      <c r="J240" s="47">
        <v>113000</v>
      </c>
      <c r="K240" s="47">
        <v>113000</v>
      </c>
      <c r="L240" s="47">
        <f>113000</f>
        <v>113000</v>
      </c>
      <c r="M240" s="47">
        <f>694000+108000</f>
        <v>802000</v>
      </c>
      <c r="N240" s="47">
        <v>802000</v>
      </c>
      <c r="O240" s="47">
        <v>802000</v>
      </c>
      <c r="P240" s="47">
        <v>204721</v>
      </c>
      <c r="Q240" s="186">
        <f t="shared" si="23"/>
        <v>0.2552630922693267</v>
      </c>
      <c r="R240" s="47">
        <v>651700</v>
      </c>
      <c r="S240" s="47">
        <v>666000</v>
      </c>
      <c r="T240" s="47">
        <v>666000</v>
      </c>
      <c r="U240" s="47"/>
      <c r="V240" s="47"/>
      <c r="W240" s="32">
        <f t="shared" si="19"/>
        <v>666000</v>
      </c>
    </row>
    <row r="241" spans="1:23" ht="12">
      <c r="A241" s="44"/>
      <c r="B241" s="44"/>
      <c r="C241" s="45">
        <v>4410</v>
      </c>
      <c r="D241" s="46" t="s">
        <v>42</v>
      </c>
      <c r="E241" s="47">
        <v>22500</v>
      </c>
      <c r="F241" s="47">
        <v>22500</v>
      </c>
      <c r="G241" s="65">
        <v>22500</v>
      </c>
      <c r="H241" s="47">
        <v>12500</v>
      </c>
      <c r="I241" s="47"/>
      <c r="J241" s="47">
        <v>18000</v>
      </c>
      <c r="K241" s="47">
        <v>18000</v>
      </c>
      <c r="L241" s="47">
        <v>18000</v>
      </c>
      <c r="M241" s="47">
        <v>23000</v>
      </c>
      <c r="N241" s="47">
        <v>23000</v>
      </c>
      <c r="O241" s="47">
        <v>23000</v>
      </c>
      <c r="P241" s="47">
        <v>9766</v>
      </c>
      <c r="Q241" s="186">
        <f t="shared" si="23"/>
        <v>0.4246086956521739</v>
      </c>
      <c r="R241" s="47">
        <v>23000</v>
      </c>
      <c r="S241" s="47">
        <v>23000</v>
      </c>
      <c r="T241" s="47">
        <v>23000</v>
      </c>
      <c r="U241" s="47"/>
      <c r="V241" s="47"/>
      <c r="W241" s="32">
        <f t="shared" si="19"/>
        <v>23000</v>
      </c>
    </row>
    <row r="242" spans="1:23" ht="12">
      <c r="A242" s="44"/>
      <c r="B242" s="44"/>
      <c r="C242" s="45">
        <v>4420</v>
      </c>
      <c r="D242" s="46" t="s">
        <v>90</v>
      </c>
      <c r="E242" s="47"/>
      <c r="F242" s="47"/>
      <c r="G242" s="65"/>
      <c r="H242" s="47"/>
      <c r="I242" s="47"/>
      <c r="J242" s="47">
        <v>5000</v>
      </c>
      <c r="K242" s="47">
        <v>5000</v>
      </c>
      <c r="L242" s="47">
        <v>5000</v>
      </c>
      <c r="M242" s="47">
        <v>5000</v>
      </c>
      <c r="N242" s="47">
        <v>4000</v>
      </c>
      <c r="O242" s="47">
        <v>4000</v>
      </c>
      <c r="P242" s="47"/>
      <c r="Q242" s="186">
        <f t="shared" si="23"/>
        <v>0</v>
      </c>
      <c r="R242" s="47">
        <v>4000</v>
      </c>
      <c r="S242" s="47">
        <v>4000</v>
      </c>
      <c r="T242" s="47">
        <v>4000</v>
      </c>
      <c r="U242" s="47"/>
      <c r="V242" s="47"/>
      <c r="W242" s="32">
        <f t="shared" si="19"/>
        <v>4000</v>
      </c>
    </row>
    <row r="243" spans="1:23" ht="12">
      <c r="A243" s="44"/>
      <c r="B243" s="44"/>
      <c r="C243" s="45">
        <v>4430</v>
      </c>
      <c r="D243" s="46" t="s">
        <v>43</v>
      </c>
      <c r="E243" s="47">
        <v>15500</v>
      </c>
      <c r="F243" s="47">
        <f>11500</f>
        <v>11500</v>
      </c>
      <c r="G243" s="65">
        <v>12000</v>
      </c>
      <c r="H243" s="47">
        <f>G243</f>
        <v>12000</v>
      </c>
      <c r="I243" s="47"/>
      <c r="J243" s="47">
        <v>12000</v>
      </c>
      <c r="K243" s="47">
        <v>12000</v>
      </c>
      <c r="L243" s="47">
        <v>12000</v>
      </c>
      <c r="M243" s="47">
        <v>12000</v>
      </c>
      <c r="N243" s="47">
        <v>12000</v>
      </c>
      <c r="O243" s="47">
        <v>12000</v>
      </c>
      <c r="P243" s="47">
        <v>6998</v>
      </c>
      <c r="Q243" s="186">
        <f t="shared" si="23"/>
        <v>0.5831666666666667</v>
      </c>
      <c r="R243" s="47">
        <v>12000</v>
      </c>
      <c r="S243" s="47">
        <v>12000</v>
      </c>
      <c r="T243" s="47">
        <v>12000</v>
      </c>
      <c r="U243" s="47"/>
      <c r="V243" s="47"/>
      <c r="W243" s="32">
        <f t="shared" si="19"/>
        <v>12000</v>
      </c>
    </row>
    <row r="244" spans="1:23" ht="24">
      <c r="A244" s="44"/>
      <c r="B244" s="44"/>
      <c r="C244" s="45">
        <v>4440</v>
      </c>
      <c r="D244" s="46" t="s">
        <v>44</v>
      </c>
      <c r="E244" s="47">
        <v>60650</v>
      </c>
      <c r="F244" s="47">
        <v>60948</v>
      </c>
      <c r="G244" s="65">
        <v>64540</v>
      </c>
      <c r="H244" s="47">
        <f>G244</f>
        <v>64540</v>
      </c>
      <c r="I244" s="47"/>
      <c r="J244" s="47">
        <v>66900</v>
      </c>
      <c r="K244" s="47">
        <v>73073</v>
      </c>
      <c r="L244" s="47">
        <v>73073</v>
      </c>
      <c r="M244" s="47">
        <f>77.6*940</f>
        <v>72944</v>
      </c>
      <c r="N244" s="47">
        <v>74400</v>
      </c>
      <c r="O244" s="47">
        <v>74400</v>
      </c>
      <c r="P244" s="47">
        <v>58272</v>
      </c>
      <c r="Q244" s="186">
        <f t="shared" si="23"/>
        <v>0.7832258064516129</v>
      </c>
      <c r="R244" s="47">
        <v>79103</v>
      </c>
      <c r="S244" s="47">
        <v>85600</v>
      </c>
      <c r="T244" s="47">
        <v>87076</v>
      </c>
      <c r="U244" s="47"/>
      <c r="V244" s="47"/>
      <c r="W244" s="32">
        <f t="shared" si="19"/>
        <v>87076</v>
      </c>
    </row>
    <row r="245" spans="1:23" ht="12">
      <c r="A245" s="44"/>
      <c r="B245" s="44"/>
      <c r="C245" s="45">
        <v>4510</v>
      </c>
      <c r="D245" s="46" t="s">
        <v>91</v>
      </c>
      <c r="E245" s="47">
        <v>0</v>
      </c>
      <c r="F245" s="47">
        <v>4000</v>
      </c>
      <c r="G245" s="65">
        <v>500</v>
      </c>
      <c r="H245" s="47">
        <f>G245</f>
        <v>500</v>
      </c>
      <c r="I245" s="47"/>
      <c r="J245" s="47">
        <v>500</v>
      </c>
      <c r="K245" s="47">
        <v>500</v>
      </c>
      <c r="L245" s="47">
        <v>500</v>
      </c>
      <c r="M245" s="47">
        <v>500</v>
      </c>
      <c r="N245" s="47">
        <v>500</v>
      </c>
      <c r="O245" s="47">
        <v>500</v>
      </c>
      <c r="P245" s="47"/>
      <c r="Q245" s="186">
        <f t="shared" si="23"/>
        <v>0</v>
      </c>
      <c r="R245" s="47">
        <v>500</v>
      </c>
      <c r="S245" s="47">
        <v>1000</v>
      </c>
      <c r="T245" s="47">
        <v>1000</v>
      </c>
      <c r="U245" s="47"/>
      <c r="V245" s="47"/>
      <c r="W245" s="32">
        <f t="shared" si="19"/>
        <v>1000</v>
      </c>
    </row>
    <row r="246" spans="1:23" ht="24">
      <c r="A246" s="44"/>
      <c r="B246" s="44"/>
      <c r="C246" s="45">
        <v>4610</v>
      </c>
      <c r="D246" s="46" t="s">
        <v>56</v>
      </c>
      <c r="E246" s="65"/>
      <c r="F246" s="47"/>
      <c r="G246" s="65"/>
      <c r="H246" s="65"/>
      <c r="I246" s="65"/>
      <c r="J246" s="49"/>
      <c r="K246" s="49">
        <v>200</v>
      </c>
      <c r="L246" s="49">
        <v>200</v>
      </c>
      <c r="M246" s="49">
        <v>200</v>
      </c>
      <c r="N246" s="49">
        <v>200</v>
      </c>
      <c r="O246" s="49">
        <v>200</v>
      </c>
      <c r="P246" s="49">
        <v>95</v>
      </c>
      <c r="Q246" s="186">
        <f>P246/O246</f>
        <v>0.475</v>
      </c>
      <c r="R246" s="49">
        <v>200</v>
      </c>
      <c r="S246" s="49">
        <v>500</v>
      </c>
      <c r="T246" s="49">
        <v>500</v>
      </c>
      <c r="U246" s="49"/>
      <c r="V246" s="49"/>
      <c r="W246" s="32">
        <f t="shared" si="19"/>
        <v>500</v>
      </c>
    </row>
    <row r="247" spans="1:23" ht="36">
      <c r="A247" s="44"/>
      <c r="B247" s="44"/>
      <c r="C247" s="45">
        <v>4700</v>
      </c>
      <c r="D247" s="46" t="s">
        <v>46</v>
      </c>
      <c r="E247" s="47">
        <v>22000</v>
      </c>
      <c r="F247" s="47">
        <v>22000</v>
      </c>
      <c r="G247" s="65">
        <v>29000</v>
      </c>
      <c r="H247" s="47">
        <v>15000</v>
      </c>
      <c r="I247" s="47"/>
      <c r="J247" s="47">
        <v>15000</v>
      </c>
      <c r="K247" s="47">
        <v>25000</v>
      </c>
      <c r="L247" s="47">
        <v>25000</v>
      </c>
      <c r="M247" s="47">
        <v>25000</v>
      </c>
      <c r="N247" s="47">
        <v>25000</v>
      </c>
      <c r="O247" s="47">
        <v>25000</v>
      </c>
      <c r="P247" s="47">
        <v>4424</v>
      </c>
      <c r="Q247" s="186">
        <f t="shared" si="23"/>
        <v>0.17696</v>
      </c>
      <c r="R247" s="47">
        <v>25000</v>
      </c>
      <c r="S247" s="47">
        <v>25000</v>
      </c>
      <c r="T247" s="47">
        <v>25000</v>
      </c>
      <c r="U247" s="47"/>
      <c r="V247" s="47"/>
      <c r="W247" s="32">
        <f t="shared" si="19"/>
        <v>25000</v>
      </c>
    </row>
    <row r="248" spans="1:23" ht="36">
      <c r="A248" s="44"/>
      <c r="B248" s="44"/>
      <c r="C248" s="45">
        <v>4740</v>
      </c>
      <c r="D248" s="46" t="s">
        <v>73</v>
      </c>
      <c r="E248" s="47">
        <v>10000</v>
      </c>
      <c r="F248" s="47">
        <v>10000</v>
      </c>
      <c r="G248" s="65">
        <v>16000</v>
      </c>
      <c r="H248" s="47">
        <f>G248-2000</f>
        <v>14000</v>
      </c>
      <c r="I248" s="47"/>
      <c r="J248" s="47">
        <v>14000</v>
      </c>
      <c r="K248" s="47">
        <v>14000</v>
      </c>
      <c r="L248" s="47">
        <v>14000</v>
      </c>
      <c r="M248" s="47">
        <v>16000</v>
      </c>
      <c r="N248" s="47">
        <v>16000</v>
      </c>
      <c r="O248" s="47">
        <v>16000</v>
      </c>
      <c r="P248" s="47">
        <v>6200</v>
      </c>
      <c r="Q248" s="186">
        <f t="shared" si="23"/>
        <v>0.3875</v>
      </c>
      <c r="R248" s="47">
        <v>16000</v>
      </c>
      <c r="S248" s="47">
        <v>16000</v>
      </c>
      <c r="T248" s="47">
        <v>16000</v>
      </c>
      <c r="U248" s="47"/>
      <c r="V248" s="47"/>
      <c r="W248" s="32">
        <f t="shared" si="19"/>
        <v>16000</v>
      </c>
    </row>
    <row r="249" spans="1:23" ht="24">
      <c r="A249" s="44"/>
      <c r="B249" s="44"/>
      <c r="C249" s="45">
        <v>4750</v>
      </c>
      <c r="D249" s="46" t="s">
        <v>74</v>
      </c>
      <c r="E249" s="47">
        <v>2000</v>
      </c>
      <c r="F249" s="47">
        <v>9000</v>
      </c>
      <c r="G249" s="65">
        <v>32000</v>
      </c>
      <c r="H249" s="47">
        <v>20000</v>
      </c>
      <c r="I249" s="47"/>
      <c r="J249" s="47">
        <v>20000</v>
      </c>
      <c r="K249" s="47">
        <v>50000</v>
      </c>
      <c r="L249" s="47">
        <v>50000</v>
      </c>
      <c r="M249" s="47">
        <v>50000</v>
      </c>
      <c r="N249" s="47">
        <v>50000</v>
      </c>
      <c r="O249" s="47">
        <v>50000</v>
      </c>
      <c r="P249" s="47">
        <v>37018</v>
      </c>
      <c r="Q249" s="186">
        <f t="shared" si="23"/>
        <v>0.74036</v>
      </c>
      <c r="R249" s="47">
        <v>63000</v>
      </c>
      <c r="S249" s="47">
        <v>86000</v>
      </c>
      <c r="T249" s="47">
        <v>86000</v>
      </c>
      <c r="U249" s="47"/>
      <c r="V249" s="47"/>
      <c r="W249" s="32">
        <f t="shared" si="19"/>
        <v>86000</v>
      </c>
    </row>
    <row r="250" spans="1:23" ht="24">
      <c r="A250" s="44"/>
      <c r="B250" s="44"/>
      <c r="C250" s="45">
        <v>6050</v>
      </c>
      <c r="D250" s="50" t="s">
        <v>92</v>
      </c>
      <c r="E250" s="47">
        <f>154900+20710+15320</f>
        <v>190930</v>
      </c>
      <c r="F250" s="47">
        <f>154900+20710+15320</f>
        <v>190930</v>
      </c>
      <c r="G250" s="65">
        <v>273360</v>
      </c>
      <c r="H250" s="65">
        <v>273360</v>
      </c>
      <c r="I250" s="65"/>
      <c r="J250" s="47">
        <v>48425</v>
      </c>
      <c r="K250" s="47">
        <v>48425</v>
      </c>
      <c r="L250" s="47">
        <v>48425</v>
      </c>
      <c r="M250" s="47">
        <f>3500+3500+4000+15000+50000+170800-30500</f>
        <v>216300</v>
      </c>
      <c r="N250" s="73">
        <v>132000</v>
      </c>
      <c r="O250" s="73">
        <v>132000</v>
      </c>
      <c r="P250" s="73">
        <v>9821</v>
      </c>
      <c r="Q250" s="186">
        <f t="shared" si="23"/>
        <v>0.07440151515151515</v>
      </c>
      <c r="R250" s="73">
        <v>132000</v>
      </c>
      <c r="S250" s="73">
        <v>175000</v>
      </c>
      <c r="T250" s="73">
        <v>145500</v>
      </c>
      <c r="U250" s="73"/>
      <c r="V250" s="73"/>
      <c r="W250" s="32">
        <f t="shared" si="19"/>
        <v>145500</v>
      </c>
    </row>
    <row r="251" spans="1:23" ht="24">
      <c r="A251" s="44"/>
      <c r="B251" s="44"/>
      <c r="C251" s="45">
        <v>6060</v>
      </c>
      <c r="D251" s="50" t="s">
        <v>50</v>
      </c>
      <c r="E251" s="74">
        <v>40000</v>
      </c>
      <c r="F251" s="74">
        <v>66283</v>
      </c>
      <c r="G251" s="49">
        <v>40000</v>
      </c>
      <c r="H251" s="49">
        <v>40000</v>
      </c>
      <c r="I251" s="49"/>
      <c r="J251" s="47">
        <v>41000</v>
      </c>
      <c r="K251" s="47">
        <v>41000</v>
      </c>
      <c r="L251" s="47">
        <v>41000</v>
      </c>
      <c r="M251" s="47">
        <f>10000+15000+30000</f>
        <v>55000</v>
      </c>
      <c r="N251" s="47">
        <v>42000</v>
      </c>
      <c r="O251" s="47">
        <v>42000</v>
      </c>
      <c r="P251" s="47">
        <v>22326</v>
      </c>
      <c r="Q251" s="186">
        <f t="shared" si="23"/>
        <v>0.5315714285714286</v>
      </c>
      <c r="R251" s="47">
        <v>42000</v>
      </c>
      <c r="S251" s="47">
        <v>71000</v>
      </c>
      <c r="T251" s="47">
        <v>51000</v>
      </c>
      <c r="U251" s="47"/>
      <c r="V251" s="47"/>
      <c r="W251" s="32">
        <f t="shared" si="19"/>
        <v>51000</v>
      </c>
    </row>
    <row r="252" spans="1:23" ht="12">
      <c r="A252" s="52"/>
      <c r="B252" s="52">
        <v>75045</v>
      </c>
      <c r="C252" s="53"/>
      <c r="D252" s="54" t="s">
        <v>351</v>
      </c>
      <c r="E252" s="57">
        <f>SUM(E253:E263)</f>
        <v>58800</v>
      </c>
      <c r="F252" s="57">
        <f>SUM(F253:F263)</f>
        <v>47700</v>
      </c>
      <c r="G252" s="67">
        <f>SUM(G253:G263)</f>
        <v>58200</v>
      </c>
      <c r="H252" s="67">
        <f>SUM(H253:H263)</f>
        <v>58200</v>
      </c>
      <c r="I252" s="67"/>
      <c r="J252" s="67">
        <f>SUM(J253:J266)</f>
        <v>62200</v>
      </c>
      <c r="K252" s="67">
        <f>SUM(K253:K266)</f>
        <v>57330</v>
      </c>
      <c r="L252" s="67">
        <f>SUM(L253:L266)</f>
        <v>57330</v>
      </c>
      <c r="M252" s="67">
        <f>SUM(M253:M266)</f>
        <v>62200</v>
      </c>
      <c r="N252" s="67">
        <v>67000</v>
      </c>
      <c r="O252" s="67">
        <v>65500</v>
      </c>
      <c r="P252" s="67">
        <f>SUM(P253:P266)</f>
        <v>41151</v>
      </c>
      <c r="Q252" s="186">
        <f t="shared" si="23"/>
        <v>0.6282595419847328</v>
      </c>
      <c r="R252" s="67">
        <f>SUM(R253:R266)</f>
        <v>53559</v>
      </c>
      <c r="S252" s="67">
        <f>SUM(S253:S266)</f>
        <v>67000</v>
      </c>
      <c r="T252" s="67">
        <v>66100</v>
      </c>
      <c r="U252" s="67">
        <f>SUM(U253:U266)</f>
        <v>0</v>
      </c>
      <c r="V252" s="67">
        <f>SUM(V253:V266)</f>
        <v>0</v>
      </c>
      <c r="W252" s="32">
        <f t="shared" si="19"/>
        <v>66100</v>
      </c>
    </row>
    <row r="253" spans="1:23" ht="24">
      <c r="A253" s="44"/>
      <c r="B253" s="44"/>
      <c r="C253" s="45">
        <v>3030</v>
      </c>
      <c r="D253" s="46" t="s">
        <v>80</v>
      </c>
      <c r="E253" s="47">
        <v>11000</v>
      </c>
      <c r="F253" s="47">
        <v>10660</v>
      </c>
      <c r="G253" s="65">
        <v>11000</v>
      </c>
      <c r="H253" s="47">
        <f aca="true" t="shared" si="26" ref="H253:H263">G253</f>
        <v>11000</v>
      </c>
      <c r="I253" s="47"/>
      <c r="J253" s="47">
        <v>11000</v>
      </c>
      <c r="K253" s="47">
        <v>10250</v>
      </c>
      <c r="L253" s="47">
        <v>10250</v>
      </c>
      <c r="M253" s="47">
        <v>11000</v>
      </c>
      <c r="N253" s="47">
        <v>11000</v>
      </c>
      <c r="O253" s="47">
        <v>9840</v>
      </c>
      <c r="P253" s="47">
        <v>9840</v>
      </c>
      <c r="Q253" s="186">
        <f t="shared" si="23"/>
        <v>1</v>
      </c>
      <c r="R253" s="47">
        <v>9840</v>
      </c>
      <c r="S253" s="47">
        <v>11000</v>
      </c>
      <c r="T253" s="47">
        <v>11070</v>
      </c>
      <c r="U253" s="47"/>
      <c r="V253" s="47"/>
      <c r="W253" s="32">
        <f t="shared" si="19"/>
        <v>11070</v>
      </c>
    </row>
    <row r="254" spans="1:23" ht="24">
      <c r="A254" s="44"/>
      <c r="B254" s="44"/>
      <c r="C254" s="45">
        <v>4110</v>
      </c>
      <c r="D254" s="46" t="s">
        <v>31</v>
      </c>
      <c r="E254" s="47">
        <v>800</v>
      </c>
      <c r="F254" s="47">
        <v>610</v>
      </c>
      <c r="G254" s="65">
        <v>800</v>
      </c>
      <c r="H254" s="47">
        <f t="shared" si="26"/>
        <v>800</v>
      </c>
      <c r="I254" s="47"/>
      <c r="J254" s="47">
        <v>800</v>
      </c>
      <c r="K254" s="47">
        <v>784</v>
      </c>
      <c r="L254" s="47">
        <v>784</v>
      </c>
      <c r="M254" s="47">
        <v>800</v>
      </c>
      <c r="N254" s="47">
        <v>800</v>
      </c>
      <c r="O254" s="47">
        <v>627</v>
      </c>
      <c r="P254" s="47">
        <v>627</v>
      </c>
      <c r="Q254" s="186">
        <f t="shared" si="23"/>
        <v>1</v>
      </c>
      <c r="R254" s="47">
        <v>627</v>
      </c>
      <c r="S254" s="47">
        <v>800</v>
      </c>
      <c r="T254" s="47">
        <v>800</v>
      </c>
      <c r="U254" s="47"/>
      <c r="V254" s="47"/>
      <c r="W254" s="32">
        <f t="shared" si="19"/>
        <v>800</v>
      </c>
    </row>
    <row r="255" spans="1:23" ht="12">
      <c r="A255" s="44"/>
      <c r="B255" s="44"/>
      <c r="C255" s="45">
        <v>4120</v>
      </c>
      <c r="D255" s="46" t="s">
        <v>32</v>
      </c>
      <c r="E255" s="47">
        <v>100</v>
      </c>
      <c r="F255" s="47">
        <v>87</v>
      </c>
      <c r="G255" s="65">
        <v>100</v>
      </c>
      <c r="H255" s="47">
        <f t="shared" si="26"/>
        <v>100</v>
      </c>
      <c r="I255" s="47"/>
      <c r="J255" s="47">
        <v>100</v>
      </c>
      <c r="K255" s="47">
        <v>135</v>
      </c>
      <c r="L255" s="47">
        <v>135</v>
      </c>
      <c r="M255" s="47">
        <v>100</v>
      </c>
      <c r="N255" s="47">
        <v>100</v>
      </c>
      <c r="O255" s="47">
        <v>108</v>
      </c>
      <c r="P255" s="47">
        <v>108</v>
      </c>
      <c r="Q255" s="186">
        <f>P255/O255</f>
        <v>1</v>
      </c>
      <c r="R255" s="47">
        <v>108</v>
      </c>
      <c r="S255" s="47">
        <v>100</v>
      </c>
      <c r="T255" s="47">
        <v>100</v>
      </c>
      <c r="U255" s="47"/>
      <c r="V255" s="47"/>
      <c r="W255" s="32">
        <f t="shared" si="19"/>
        <v>100</v>
      </c>
    </row>
    <row r="256" spans="1:23" ht="12">
      <c r="A256" s="44"/>
      <c r="B256" s="44"/>
      <c r="C256" s="45">
        <v>4170</v>
      </c>
      <c r="D256" s="46" t="s">
        <v>69</v>
      </c>
      <c r="E256" s="47">
        <v>4400</v>
      </c>
      <c r="F256" s="47">
        <v>4800</v>
      </c>
      <c r="G256" s="65">
        <v>4800</v>
      </c>
      <c r="H256" s="47">
        <f t="shared" si="26"/>
        <v>4800</v>
      </c>
      <c r="I256" s="47"/>
      <c r="J256" s="47">
        <v>4800</v>
      </c>
      <c r="K256" s="47">
        <v>5500</v>
      </c>
      <c r="L256" s="47">
        <v>5500</v>
      </c>
      <c r="M256" s="47">
        <v>4800</v>
      </c>
      <c r="N256" s="47">
        <v>4800</v>
      </c>
      <c r="O256" s="47">
        <v>5900</v>
      </c>
      <c r="P256" s="47">
        <v>5900</v>
      </c>
      <c r="Q256" s="186">
        <f>P256/O256</f>
        <v>1</v>
      </c>
      <c r="R256" s="47">
        <v>5900</v>
      </c>
      <c r="S256" s="47">
        <v>4800</v>
      </c>
      <c r="T256" s="47">
        <v>6600</v>
      </c>
      <c r="U256" s="47"/>
      <c r="V256" s="47"/>
      <c r="W256" s="32">
        <f t="shared" si="19"/>
        <v>6600</v>
      </c>
    </row>
    <row r="257" spans="1:23" ht="12">
      <c r="A257" s="44"/>
      <c r="B257" s="44"/>
      <c r="C257" s="45">
        <v>4210</v>
      </c>
      <c r="D257" s="46" t="s">
        <v>34</v>
      </c>
      <c r="E257" s="47">
        <v>14000</v>
      </c>
      <c r="F257" s="47">
        <v>13679</v>
      </c>
      <c r="G257" s="65">
        <v>12100</v>
      </c>
      <c r="H257" s="47">
        <f t="shared" si="26"/>
        <v>12100</v>
      </c>
      <c r="I257" s="47"/>
      <c r="J257" s="47">
        <v>16100</v>
      </c>
      <c r="K257" s="47">
        <v>10621</v>
      </c>
      <c r="L257" s="47">
        <v>10621</v>
      </c>
      <c r="M257" s="47">
        <v>16100</v>
      </c>
      <c r="N257" s="47">
        <v>16100</v>
      </c>
      <c r="O257" s="47">
        <v>11175</v>
      </c>
      <c r="P257" s="47">
        <v>9421</v>
      </c>
      <c r="Q257" s="186">
        <f t="shared" si="23"/>
        <v>0.8430425055928412</v>
      </c>
      <c r="R257" s="47">
        <v>9421</v>
      </c>
      <c r="S257" s="47">
        <v>16100</v>
      </c>
      <c r="T257" s="47">
        <v>10533</v>
      </c>
      <c r="U257" s="47"/>
      <c r="V257" s="47"/>
      <c r="W257" s="32">
        <f t="shared" si="19"/>
        <v>10533</v>
      </c>
    </row>
    <row r="258" spans="1:23" ht="36">
      <c r="A258" s="44"/>
      <c r="B258" s="44"/>
      <c r="C258" s="45">
        <v>4230</v>
      </c>
      <c r="D258" s="46" t="s">
        <v>88</v>
      </c>
      <c r="E258" s="47">
        <v>0</v>
      </c>
      <c r="F258" s="47">
        <v>357</v>
      </c>
      <c r="G258" s="65">
        <v>300</v>
      </c>
      <c r="H258" s="47">
        <f t="shared" si="26"/>
        <v>300</v>
      </c>
      <c r="I258" s="47"/>
      <c r="J258" s="47">
        <v>300</v>
      </c>
      <c r="K258" s="47">
        <v>270</v>
      </c>
      <c r="L258" s="47">
        <v>270</v>
      </c>
      <c r="M258" s="47">
        <v>300</v>
      </c>
      <c r="N258" s="47">
        <v>300</v>
      </c>
      <c r="O258" s="47">
        <v>300</v>
      </c>
      <c r="P258" s="47">
        <v>269</v>
      </c>
      <c r="Q258" s="186">
        <f t="shared" si="23"/>
        <v>0.8966666666666666</v>
      </c>
      <c r="R258" s="47">
        <v>270</v>
      </c>
      <c r="S258" s="47">
        <v>300</v>
      </c>
      <c r="T258" s="47">
        <v>234</v>
      </c>
      <c r="U258" s="47"/>
      <c r="V258" s="47"/>
      <c r="W258" s="32">
        <f t="shared" si="19"/>
        <v>234</v>
      </c>
    </row>
    <row r="259" spans="1:23" ht="12">
      <c r="A259" s="44"/>
      <c r="B259" s="44"/>
      <c r="C259" s="45">
        <v>4270</v>
      </c>
      <c r="D259" s="46" t="s">
        <v>36</v>
      </c>
      <c r="E259" s="47"/>
      <c r="F259" s="47"/>
      <c r="G259" s="65"/>
      <c r="H259" s="47"/>
      <c r="I259" s="47"/>
      <c r="J259" s="47"/>
      <c r="K259" s="47"/>
      <c r="L259" s="47"/>
      <c r="M259" s="47"/>
      <c r="N259" s="47">
        <v>800</v>
      </c>
      <c r="O259" s="47"/>
      <c r="P259" s="47"/>
      <c r="Q259" s="186"/>
      <c r="R259" s="47">
        <v>0</v>
      </c>
      <c r="S259" s="47">
        <v>800</v>
      </c>
      <c r="T259" s="47">
        <v>300</v>
      </c>
      <c r="U259" s="47"/>
      <c r="V259" s="47"/>
      <c r="W259" s="32">
        <f t="shared" si="19"/>
        <v>300</v>
      </c>
    </row>
    <row r="260" spans="1:23" ht="12">
      <c r="A260" s="44"/>
      <c r="B260" s="44"/>
      <c r="C260" s="45">
        <v>4280</v>
      </c>
      <c r="D260" s="46" t="s">
        <v>70</v>
      </c>
      <c r="E260" s="47">
        <v>24000</v>
      </c>
      <c r="F260" s="47">
        <v>12700</v>
      </c>
      <c r="G260" s="65">
        <v>24000</v>
      </c>
      <c r="H260" s="47">
        <f t="shared" si="26"/>
        <v>24000</v>
      </c>
      <c r="I260" s="47"/>
      <c r="J260" s="47">
        <v>24000</v>
      </c>
      <c r="K260" s="47">
        <v>18330</v>
      </c>
      <c r="L260" s="47">
        <v>18330</v>
      </c>
      <c r="M260" s="47">
        <v>24000</v>
      </c>
      <c r="N260" s="47">
        <v>28000</v>
      </c>
      <c r="O260" s="47">
        <v>28000</v>
      </c>
      <c r="P260" s="47">
        <v>11760</v>
      </c>
      <c r="Q260" s="186">
        <f t="shared" si="23"/>
        <v>0.42</v>
      </c>
      <c r="R260" s="47">
        <v>18289</v>
      </c>
      <c r="S260" s="47">
        <v>28000</v>
      </c>
      <c r="T260" s="47">
        <v>28600</v>
      </c>
      <c r="U260" s="47"/>
      <c r="V260" s="47"/>
      <c r="W260" s="32">
        <f t="shared" si="19"/>
        <v>28600</v>
      </c>
    </row>
    <row r="261" spans="1:23" ht="12">
      <c r="A261" s="44"/>
      <c r="B261" s="44"/>
      <c r="C261" s="45">
        <v>4300</v>
      </c>
      <c r="D261" s="46" t="s">
        <v>17</v>
      </c>
      <c r="E261" s="47">
        <v>4200</v>
      </c>
      <c r="F261" s="47">
        <v>479</v>
      </c>
      <c r="G261" s="65">
        <v>600</v>
      </c>
      <c r="H261" s="47">
        <f t="shared" si="26"/>
        <v>600</v>
      </c>
      <c r="I261" s="47"/>
      <c r="J261" s="47">
        <v>600</v>
      </c>
      <c r="K261" s="47">
        <v>637</v>
      </c>
      <c r="L261" s="47">
        <v>637</v>
      </c>
      <c r="M261" s="47">
        <v>600</v>
      </c>
      <c r="N261" s="47">
        <v>600</v>
      </c>
      <c r="O261" s="47">
        <v>600</v>
      </c>
      <c r="P261" s="47">
        <v>548</v>
      </c>
      <c r="Q261" s="186">
        <f>P261/O261</f>
        <v>0.9133333333333333</v>
      </c>
      <c r="R261" s="47">
        <v>548</v>
      </c>
      <c r="S261" s="47">
        <v>600</v>
      </c>
      <c r="T261" s="47">
        <v>762</v>
      </c>
      <c r="U261" s="47"/>
      <c r="V261" s="47"/>
      <c r="W261" s="32">
        <f t="shared" si="19"/>
        <v>762</v>
      </c>
    </row>
    <row r="262" spans="1:23" ht="36">
      <c r="A262" s="44"/>
      <c r="B262" s="44"/>
      <c r="C262" s="45">
        <v>4370</v>
      </c>
      <c r="D262" s="46" t="s">
        <v>93</v>
      </c>
      <c r="E262" s="47">
        <v>300</v>
      </c>
      <c r="F262" s="47">
        <v>180</v>
      </c>
      <c r="G262" s="65">
        <v>300</v>
      </c>
      <c r="H262" s="47">
        <f t="shared" si="26"/>
        <v>300</v>
      </c>
      <c r="I262" s="47"/>
      <c r="J262" s="47">
        <v>300</v>
      </c>
      <c r="K262" s="47">
        <v>142</v>
      </c>
      <c r="L262" s="47">
        <v>142</v>
      </c>
      <c r="M262" s="47">
        <v>300</v>
      </c>
      <c r="N262" s="47">
        <v>300</v>
      </c>
      <c r="O262" s="47">
        <v>300</v>
      </c>
      <c r="P262" s="47"/>
      <c r="Q262" s="186">
        <f>P262/O262</f>
        <v>0</v>
      </c>
      <c r="R262" s="47">
        <v>22</v>
      </c>
      <c r="S262" s="47">
        <v>300</v>
      </c>
      <c r="T262" s="47">
        <v>300</v>
      </c>
      <c r="U262" s="47"/>
      <c r="V262" s="47"/>
      <c r="W262" s="32">
        <f t="shared" si="19"/>
        <v>300</v>
      </c>
    </row>
    <row r="263" spans="1:23" ht="36">
      <c r="A263" s="44"/>
      <c r="B263" s="44"/>
      <c r="C263" s="45">
        <v>4400</v>
      </c>
      <c r="D263" s="46" t="s">
        <v>72</v>
      </c>
      <c r="E263" s="47">
        <v>0</v>
      </c>
      <c r="F263" s="47">
        <v>4148</v>
      </c>
      <c r="G263" s="65">
        <v>4200</v>
      </c>
      <c r="H263" s="47">
        <f t="shared" si="26"/>
        <v>4200</v>
      </c>
      <c r="I263" s="47"/>
      <c r="J263" s="47">
        <v>4200</v>
      </c>
      <c r="K263" s="47">
        <v>4697</v>
      </c>
      <c r="L263" s="47">
        <v>4697</v>
      </c>
      <c r="M263" s="47">
        <v>4200</v>
      </c>
      <c r="N263" s="47">
        <v>4200</v>
      </c>
      <c r="O263" s="47">
        <v>5900</v>
      </c>
      <c r="P263" s="47"/>
      <c r="Q263" s="186">
        <f t="shared" si="23"/>
        <v>0</v>
      </c>
      <c r="R263" s="47">
        <v>5856</v>
      </c>
      <c r="S263" s="47">
        <v>4200</v>
      </c>
      <c r="T263" s="47">
        <v>5010</v>
      </c>
      <c r="U263" s="47"/>
      <c r="V263" s="47"/>
      <c r="W263" s="32">
        <f t="shared" si="19"/>
        <v>5010</v>
      </c>
    </row>
    <row r="264" spans="1:23" ht="12">
      <c r="A264" s="44"/>
      <c r="B264" s="44"/>
      <c r="C264" s="45">
        <v>4410</v>
      </c>
      <c r="D264" s="46" t="s">
        <v>42</v>
      </c>
      <c r="E264" s="47"/>
      <c r="F264" s="47"/>
      <c r="G264" s="65"/>
      <c r="H264" s="47"/>
      <c r="I264" s="47"/>
      <c r="J264" s="47"/>
      <c r="K264" s="47"/>
      <c r="L264" s="47"/>
      <c r="M264" s="47"/>
      <c r="N264" s="47"/>
      <c r="O264" s="47"/>
      <c r="P264" s="47"/>
      <c r="Q264" s="186"/>
      <c r="R264" s="47"/>
      <c r="S264" s="47"/>
      <c r="T264" s="47">
        <v>510</v>
      </c>
      <c r="U264" s="47"/>
      <c r="V264" s="47"/>
      <c r="W264" s="32">
        <f t="shared" si="19"/>
        <v>510</v>
      </c>
    </row>
    <row r="265" spans="1:23" ht="28.5" customHeight="1">
      <c r="A265" s="44"/>
      <c r="B265" s="44"/>
      <c r="C265" s="45">
        <v>4740</v>
      </c>
      <c r="D265" s="46" t="s">
        <v>73</v>
      </c>
      <c r="E265" s="47"/>
      <c r="F265" s="47"/>
      <c r="G265" s="65"/>
      <c r="H265" s="47"/>
      <c r="I265" s="47"/>
      <c r="J265" s="47"/>
      <c r="K265" s="47">
        <v>102</v>
      </c>
      <c r="L265" s="47">
        <v>102</v>
      </c>
      <c r="M265" s="47"/>
      <c r="N265" s="47">
        <v>0</v>
      </c>
      <c r="O265" s="47">
        <v>250</v>
      </c>
      <c r="P265" s="47">
        <v>222</v>
      </c>
      <c r="Q265" s="186">
        <f t="shared" si="23"/>
        <v>0.888</v>
      </c>
      <c r="R265" s="47">
        <v>222</v>
      </c>
      <c r="S265" s="47">
        <v>0</v>
      </c>
      <c r="T265" s="47">
        <v>500</v>
      </c>
      <c r="U265" s="47"/>
      <c r="V265" s="47">
        <v>0</v>
      </c>
      <c r="W265" s="32">
        <f t="shared" si="19"/>
        <v>500</v>
      </c>
    </row>
    <row r="266" spans="1:23" ht="28.5" customHeight="1">
      <c r="A266" s="44"/>
      <c r="B266" s="44"/>
      <c r="C266" s="45">
        <v>4750</v>
      </c>
      <c r="D266" s="46" t="s">
        <v>74</v>
      </c>
      <c r="E266" s="47"/>
      <c r="F266" s="47"/>
      <c r="G266" s="65"/>
      <c r="H266" s="47"/>
      <c r="I266" s="47"/>
      <c r="J266" s="47"/>
      <c r="K266" s="47">
        <v>5862</v>
      </c>
      <c r="L266" s="47">
        <v>5862</v>
      </c>
      <c r="M266" s="47"/>
      <c r="N266" s="47">
        <v>0</v>
      </c>
      <c r="O266" s="47">
        <v>2500</v>
      </c>
      <c r="P266" s="47">
        <v>2456</v>
      </c>
      <c r="Q266" s="186">
        <f t="shared" si="23"/>
        <v>0.9824</v>
      </c>
      <c r="R266" s="47">
        <v>2456</v>
      </c>
      <c r="S266" s="47">
        <v>0</v>
      </c>
      <c r="T266" s="47">
        <v>781</v>
      </c>
      <c r="U266" s="47"/>
      <c r="V266" s="47"/>
      <c r="W266" s="32">
        <f t="shared" si="19"/>
        <v>781</v>
      </c>
    </row>
    <row r="267" spans="1:23" ht="24">
      <c r="A267" s="52"/>
      <c r="B267" s="52">
        <v>75075</v>
      </c>
      <c r="C267" s="53"/>
      <c r="D267" s="54" t="s">
        <v>94</v>
      </c>
      <c r="E267" s="57">
        <f>SUM(E268:E269)</f>
        <v>36960</v>
      </c>
      <c r="F267" s="57">
        <f>SUM(F268:F269)</f>
        <v>36960</v>
      </c>
      <c r="G267" s="67">
        <f>SUM(G268:G269)</f>
        <v>52800</v>
      </c>
      <c r="H267" s="67">
        <f>SUM(H268:H269)</f>
        <v>52800</v>
      </c>
      <c r="I267" s="67"/>
      <c r="J267" s="67">
        <f>SUM(J268:J269)</f>
        <v>52800</v>
      </c>
      <c r="K267" s="67">
        <f>SUM(K268:K269)</f>
        <v>82759</v>
      </c>
      <c r="L267" s="67">
        <f>SUM(L268:L269)</f>
        <v>82759</v>
      </c>
      <c r="M267" s="67">
        <f>SUM(M268:M269)</f>
        <v>83700</v>
      </c>
      <c r="N267" s="67">
        <v>92000</v>
      </c>
      <c r="O267" s="67">
        <v>92000</v>
      </c>
      <c r="P267" s="67">
        <f>SUM(P268:P269)</f>
        <v>15153</v>
      </c>
      <c r="Q267" s="186">
        <f t="shared" si="23"/>
        <v>0.16470652173913045</v>
      </c>
      <c r="R267" s="67">
        <f>SUM(R268:R269)</f>
        <v>92000</v>
      </c>
      <c r="S267" s="67">
        <f>SUM(S268:S269)</f>
        <v>58000</v>
      </c>
      <c r="T267" s="67">
        <v>58000</v>
      </c>
      <c r="U267" s="67">
        <f>SUM(U268:U269)</f>
        <v>0</v>
      </c>
      <c r="V267" s="67">
        <f>SUM(V268:V269)</f>
        <v>0</v>
      </c>
      <c r="W267" s="32">
        <f t="shared" si="19"/>
        <v>58000</v>
      </c>
    </row>
    <row r="268" spans="1:23" ht="12">
      <c r="A268" s="44"/>
      <c r="B268" s="44"/>
      <c r="C268" s="45">
        <v>4210</v>
      </c>
      <c r="D268" s="46" t="s">
        <v>34</v>
      </c>
      <c r="E268" s="47">
        <v>5000</v>
      </c>
      <c r="F268" s="47">
        <v>5000</v>
      </c>
      <c r="G268" s="65">
        <v>6000</v>
      </c>
      <c r="H268" s="47">
        <f>G268</f>
        <v>6000</v>
      </c>
      <c r="I268" s="47"/>
      <c r="J268" s="47">
        <v>6000</v>
      </c>
      <c r="K268" s="47">
        <v>11000</v>
      </c>
      <c r="L268" s="47">
        <v>11000</v>
      </c>
      <c r="M268" s="47">
        <f>12000</f>
        <v>12000</v>
      </c>
      <c r="N268" s="47">
        <v>12000</v>
      </c>
      <c r="O268" s="47">
        <v>12000</v>
      </c>
      <c r="P268" s="47">
        <v>1569</v>
      </c>
      <c r="Q268" s="186">
        <f t="shared" si="23"/>
        <v>0.13075</v>
      </c>
      <c r="R268" s="47">
        <v>12000</v>
      </c>
      <c r="S268" s="47">
        <v>9000</v>
      </c>
      <c r="T268" s="47">
        <v>9000</v>
      </c>
      <c r="U268" s="47"/>
      <c r="V268" s="47"/>
      <c r="W268" s="32">
        <f t="shared" si="19"/>
        <v>9000</v>
      </c>
    </row>
    <row r="269" spans="1:23" ht="12">
      <c r="A269" s="44"/>
      <c r="B269" s="44"/>
      <c r="C269" s="45">
        <v>4300</v>
      </c>
      <c r="D269" s="46" t="s">
        <v>17</v>
      </c>
      <c r="E269" s="47">
        <v>31960</v>
      </c>
      <c r="F269" s="47">
        <v>31960</v>
      </c>
      <c r="G269" s="65">
        <v>46800</v>
      </c>
      <c r="H269" s="47">
        <f>G269</f>
        <v>46800</v>
      </c>
      <c r="I269" s="47"/>
      <c r="J269" s="47">
        <v>46800</v>
      </c>
      <c r="K269" s="47">
        <v>71759</v>
      </c>
      <c r="L269" s="47">
        <v>71759</v>
      </c>
      <c r="M269" s="47">
        <f>31700+4000+14000+3000+1000+30000-12000</f>
        <v>71700</v>
      </c>
      <c r="N269" s="47">
        <v>80000</v>
      </c>
      <c r="O269" s="47">
        <v>80000</v>
      </c>
      <c r="P269" s="47">
        <v>13584</v>
      </c>
      <c r="Q269" s="186">
        <f t="shared" si="23"/>
        <v>0.1698</v>
      </c>
      <c r="R269" s="47">
        <v>80000</v>
      </c>
      <c r="S269" s="47">
        <v>49000</v>
      </c>
      <c r="T269" s="47">
        <v>49000</v>
      </c>
      <c r="U269" s="47"/>
      <c r="V269" s="47"/>
      <c r="W269" s="32">
        <f t="shared" si="19"/>
        <v>49000</v>
      </c>
    </row>
    <row r="270" spans="1:26" s="79" customFormat="1" ht="12">
      <c r="A270" s="44">
        <v>752</v>
      </c>
      <c r="B270" s="44"/>
      <c r="C270" s="75"/>
      <c r="D270" s="76" t="s">
        <v>292</v>
      </c>
      <c r="E270" s="77"/>
      <c r="F270" s="77"/>
      <c r="G270" s="78"/>
      <c r="H270" s="77"/>
      <c r="I270" s="77"/>
      <c r="J270" s="77">
        <f aca="true" t="shared" si="27" ref="J270:S270">SUM(J271)</f>
        <v>0</v>
      </c>
      <c r="K270" s="77">
        <f t="shared" si="27"/>
        <v>0</v>
      </c>
      <c r="L270" s="77">
        <f t="shared" si="27"/>
        <v>0</v>
      </c>
      <c r="M270" s="77">
        <f t="shared" si="27"/>
        <v>0</v>
      </c>
      <c r="N270" s="77">
        <v>5000</v>
      </c>
      <c r="O270" s="77">
        <v>5000</v>
      </c>
      <c r="P270" s="77">
        <f t="shared" si="27"/>
        <v>0</v>
      </c>
      <c r="Q270" s="186">
        <f t="shared" si="23"/>
        <v>0</v>
      </c>
      <c r="R270" s="77">
        <f t="shared" si="27"/>
        <v>5000</v>
      </c>
      <c r="S270" s="77">
        <f t="shared" si="27"/>
        <v>0</v>
      </c>
      <c r="T270" s="77">
        <v>3000</v>
      </c>
      <c r="U270" s="77">
        <f>SUM(U271)</f>
        <v>3000</v>
      </c>
      <c r="V270" s="77">
        <f>SUM(V271)</f>
        <v>3000</v>
      </c>
      <c r="W270" s="32">
        <f t="shared" si="19"/>
        <v>3000</v>
      </c>
      <c r="Y270" s="226"/>
      <c r="Z270" s="226"/>
    </row>
    <row r="271" spans="1:26" s="80" customFormat="1" ht="12">
      <c r="A271" s="44"/>
      <c r="B271" s="44">
        <v>75212</v>
      </c>
      <c r="C271" s="53"/>
      <c r="D271" s="54" t="s">
        <v>293</v>
      </c>
      <c r="E271" s="57"/>
      <c r="F271" s="57"/>
      <c r="G271" s="67"/>
      <c r="H271" s="57"/>
      <c r="I271" s="57"/>
      <c r="J271" s="57">
        <f>SUM(J275)</f>
        <v>0</v>
      </c>
      <c r="K271" s="57">
        <f>SUM(K275)</f>
        <v>0</v>
      </c>
      <c r="L271" s="57">
        <f>SUM(L275)</f>
        <v>0</v>
      </c>
      <c r="M271" s="57">
        <f>SUM(M275)</f>
        <v>0</v>
      </c>
      <c r="N271" s="57">
        <v>5000</v>
      </c>
      <c r="O271" s="57">
        <v>5000</v>
      </c>
      <c r="P271" s="57">
        <f>SUM(P275)</f>
        <v>0</v>
      </c>
      <c r="Q271" s="186">
        <f t="shared" si="23"/>
        <v>0</v>
      </c>
      <c r="R271" s="57">
        <f>SUM(R275)</f>
        <v>5000</v>
      </c>
      <c r="S271" s="57">
        <f>SUM(S275)</f>
        <v>0</v>
      </c>
      <c r="T271" s="57">
        <f>SUM(T272:T275)</f>
        <v>3000</v>
      </c>
      <c r="U271" s="57">
        <f>SUM(U272:U275)</f>
        <v>3000</v>
      </c>
      <c r="V271" s="57">
        <f>SUM(V272:V275)</f>
        <v>3000</v>
      </c>
      <c r="W271" s="32">
        <f t="shared" si="19"/>
        <v>3000</v>
      </c>
      <c r="Y271" s="227"/>
      <c r="Z271" s="227"/>
    </row>
    <row r="272" spans="1:26" s="80" customFormat="1" ht="12">
      <c r="A272" s="44"/>
      <c r="B272" s="44"/>
      <c r="C272" s="26">
        <v>4170</v>
      </c>
      <c r="D272" s="46" t="s">
        <v>69</v>
      </c>
      <c r="E272" s="57"/>
      <c r="F272" s="57"/>
      <c r="G272" s="67"/>
      <c r="H272" s="57"/>
      <c r="I272" s="57"/>
      <c r="J272" s="57"/>
      <c r="K272" s="57"/>
      <c r="L272" s="57"/>
      <c r="M272" s="57"/>
      <c r="N272" s="57"/>
      <c r="O272" s="57"/>
      <c r="P272" s="57"/>
      <c r="Q272" s="186"/>
      <c r="R272" s="57"/>
      <c r="S272" s="57"/>
      <c r="T272" s="57"/>
      <c r="U272" s="11">
        <v>1400</v>
      </c>
      <c r="V272" s="57"/>
      <c r="W272" s="32">
        <f t="shared" si="19"/>
        <v>1400</v>
      </c>
      <c r="Y272" s="227"/>
      <c r="Z272" s="227"/>
    </row>
    <row r="273" spans="1:26" s="80" customFormat="1" ht="12">
      <c r="A273" s="44"/>
      <c r="B273" s="44"/>
      <c r="C273" s="26">
        <v>4300</v>
      </c>
      <c r="D273" s="46" t="s">
        <v>17</v>
      </c>
      <c r="E273" s="57"/>
      <c r="F273" s="57"/>
      <c r="G273" s="67"/>
      <c r="H273" s="57"/>
      <c r="I273" s="57"/>
      <c r="J273" s="57"/>
      <c r="K273" s="57"/>
      <c r="L273" s="57"/>
      <c r="M273" s="57"/>
      <c r="N273" s="57"/>
      <c r="O273" s="57"/>
      <c r="P273" s="57"/>
      <c r="Q273" s="186"/>
      <c r="R273" s="57"/>
      <c r="S273" s="57"/>
      <c r="T273" s="57"/>
      <c r="U273" s="11">
        <v>400</v>
      </c>
      <c r="V273" s="57"/>
      <c r="W273" s="32">
        <f t="shared" si="19"/>
        <v>400</v>
      </c>
      <c r="Y273" s="227"/>
      <c r="Z273" s="227"/>
    </row>
    <row r="274" spans="1:26" s="80" customFormat="1" ht="36">
      <c r="A274" s="44"/>
      <c r="B274" s="44"/>
      <c r="C274" s="26">
        <v>4400</v>
      </c>
      <c r="D274" s="46" t="s">
        <v>72</v>
      </c>
      <c r="E274" s="57"/>
      <c r="F274" s="57"/>
      <c r="G274" s="67"/>
      <c r="H274" s="57"/>
      <c r="I274" s="57"/>
      <c r="J274" s="57"/>
      <c r="K274" s="57"/>
      <c r="L274" s="57"/>
      <c r="M274" s="57"/>
      <c r="N274" s="57"/>
      <c r="O274" s="57"/>
      <c r="P274" s="57"/>
      <c r="Q274" s="186"/>
      <c r="R274" s="57"/>
      <c r="S274" s="57"/>
      <c r="T274" s="57"/>
      <c r="U274" s="11">
        <v>1200</v>
      </c>
      <c r="V274" s="57"/>
      <c r="W274" s="32">
        <f t="shared" si="19"/>
        <v>1200</v>
      </c>
      <c r="Y274" s="227"/>
      <c r="Z274" s="227"/>
    </row>
    <row r="275" spans="1:23" ht="36">
      <c r="A275" s="44"/>
      <c r="B275" s="44"/>
      <c r="C275" s="45">
        <v>4700</v>
      </c>
      <c r="D275" s="46" t="s">
        <v>46</v>
      </c>
      <c r="E275" s="47"/>
      <c r="F275" s="47"/>
      <c r="G275" s="65"/>
      <c r="H275" s="47"/>
      <c r="I275" s="47"/>
      <c r="J275" s="47"/>
      <c r="K275" s="47"/>
      <c r="L275" s="47"/>
      <c r="M275" s="47"/>
      <c r="N275" s="47">
        <v>5000</v>
      </c>
      <c r="O275" s="47">
        <v>5000</v>
      </c>
      <c r="P275" s="47"/>
      <c r="Q275" s="186">
        <f t="shared" si="23"/>
        <v>0</v>
      </c>
      <c r="R275" s="47">
        <v>5000</v>
      </c>
      <c r="S275" s="47"/>
      <c r="T275" s="47">
        <v>3000</v>
      </c>
      <c r="U275" s="47"/>
      <c r="V275" s="47">
        <v>3000</v>
      </c>
      <c r="W275" s="32">
        <f aca="true" t="shared" si="28" ref="W275:W350">T275+U275-V275</f>
        <v>0</v>
      </c>
    </row>
    <row r="276" spans="1:23" ht="24">
      <c r="A276" s="8">
        <v>754</v>
      </c>
      <c r="B276" s="8"/>
      <c r="C276" s="26"/>
      <c r="D276" s="43" t="s">
        <v>95</v>
      </c>
      <c r="E276" s="31">
        <f>E277+E282+E284</f>
        <v>46500</v>
      </c>
      <c r="F276" s="31">
        <f>F277+F282+F284</f>
        <v>46500</v>
      </c>
      <c r="G276" s="31">
        <f>G277+G282+G284</f>
        <v>47000</v>
      </c>
      <c r="H276" s="31">
        <f>H277+H282+H284</f>
        <v>47000</v>
      </c>
      <c r="I276" s="31"/>
      <c r="J276" s="31">
        <f>J277+J282+J284</f>
        <v>47000</v>
      </c>
      <c r="K276" s="31">
        <f>K277+K282+K284</f>
        <v>64142</v>
      </c>
      <c r="L276" s="31">
        <f>L277+L282+L284</f>
        <v>64142</v>
      </c>
      <c r="M276" s="31">
        <f>M277+M282+M284</f>
        <v>77500</v>
      </c>
      <c r="N276" s="31">
        <v>77500</v>
      </c>
      <c r="O276" s="31">
        <v>79500</v>
      </c>
      <c r="P276" s="31">
        <f>P277+P282+P284+P280</f>
        <v>17000</v>
      </c>
      <c r="Q276" s="186">
        <f t="shared" si="23"/>
        <v>0.2138364779874214</v>
      </c>
      <c r="R276" s="31">
        <f>R277+R282+R284+R280</f>
        <v>79500</v>
      </c>
      <c r="S276" s="31">
        <f>S277+S282+S284+S280</f>
        <v>84600</v>
      </c>
      <c r="T276" s="31">
        <v>84600</v>
      </c>
      <c r="U276" s="31">
        <f>U277+U282+U284+U280</f>
        <v>0</v>
      </c>
      <c r="V276" s="31">
        <f>V277+V282+V284+V280</f>
        <v>0</v>
      </c>
      <c r="W276" s="32">
        <f t="shared" si="28"/>
        <v>84600</v>
      </c>
    </row>
    <row r="277" spans="1:23" ht="12">
      <c r="A277" s="8"/>
      <c r="B277" s="33">
        <v>75404</v>
      </c>
      <c r="C277" s="26"/>
      <c r="D277" s="42" t="s">
        <v>96</v>
      </c>
      <c r="E277" s="35">
        <f>SUM(E278:E278)</f>
        <v>12000</v>
      </c>
      <c r="F277" s="35">
        <f>SUM(F278:F278)</f>
        <v>12000</v>
      </c>
      <c r="G277" s="37">
        <f>SUM(G278:G278)</f>
        <v>12000</v>
      </c>
      <c r="H277" s="37">
        <f>SUM(H278:H278)</f>
        <v>12000</v>
      </c>
      <c r="I277" s="37"/>
      <c r="J277" s="37">
        <f aca="true" t="shared" si="29" ref="J277:P277">SUM(J278:J279)</f>
        <v>12000</v>
      </c>
      <c r="K277" s="37">
        <f t="shared" si="29"/>
        <v>12830</v>
      </c>
      <c r="L277" s="37">
        <f t="shared" si="29"/>
        <v>12830</v>
      </c>
      <c r="M277" s="37">
        <f t="shared" si="29"/>
        <v>12000</v>
      </c>
      <c r="N277" s="37">
        <v>12000</v>
      </c>
      <c r="O277" s="37">
        <v>12000</v>
      </c>
      <c r="P277" s="37">
        <f t="shared" si="29"/>
        <v>0</v>
      </c>
      <c r="Q277" s="186">
        <f t="shared" si="23"/>
        <v>0</v>
      </c>
      <c r="R277" s="37">
        <f>SUM(R278:R279)</f>
        <v>12000</v>
      </c>
      <c r="S277" s="37">
        <f>SUM(S278:S279)</f>
        <v>12000</v>
      </c>
      <c r="T277" s="37">
        <v>12000</v>
      </c>
      <c r="U277" s="37">
        <f>SUM(U278:U279)</f>
        <v>0</v>
      </c>
      <c r="V277" s="37">
        <f>SUM(V278:V279)</f>
        <v>0</v>
      </c>
      <c r="W277" s="32">
        <f t="shared" si="28"/>
        <v>12000</v>
      </c>
    </row>
    <row r="278" spans="1:23" ht="31.5" customHeight="1">
      <c r="A278" s="44"/>
      <c r="B278" s="44"/>
      <c r="C278" s="45">
        <v>4210</v>
      </c>
      <c r="D278" s="46" t="s">
        <v>34</v>
      </c>
      <c r="E278" s="47">
        <v>12000</v>
      </c>
      <c r="F278" s="47">
        <v>12000</v>
      </c>
      <c r="G278" s="65">
        <v>12000</v>
      </c>
      <c r="H278" s="47">
        <f>G278</f>
        <v>12000</v>
      </c>
      <c r="I278" s="47"/>
      <c r="J278" s="47">
        <v>0</v>
      </c>
      <c r="K278" s="47">
        <v>0</v>
      </c>
      <c r="L278" s="47"/>
      <c r="M278" s="47"/>
      <c r="N278" s="47">
        <v>0</v>
      </c>
      <c r="O278" s="47">
        <v>0</v>
      </c>
      <c r="P278" s="47"/>
      <c r="Q278" s="186"/>
      <c r="R278" s="47"/>
      <c r="S278" s="47">
        <v>12000</v>
      </c>
      <c r="T278" s="47">
        <v>12000</v>
      </c>
      <c r="U278" s="47"/>
      <c r="V278" s="47"/>
      <c r="W278" s="32">
        <f t="shared" si="28"/>
        <v>12000</v>
      </c>
    </row>
    <row r="279" spans="1:23" ht="24" hidden="1">
      <c r="A279" s="44"/>
      <c r="B279" s="44"/>
      <c r="C279" s="45">
        <v>4750</v>
      </c>
      <c r="D279" s="46" t="s">
        <v>74</v>
      </c>
      <c r="E279" s="47"/>
      <c r="F279" s="47"/>
      <c r="G279" s="65"/>
      <c r="H279" s="47"/>
      <c r="I279" s="47"/>
      <c r="J279" s="47">
        <v>12000</v>
      </c>
      <c r="K279" s="47">
        <v>12830</v>
      </c>
      <c r="L279" s="47">
        <v>12830</v>
      </c>
      <c r="M279" s="47">
        <v>12000</v>
      </c>
      <c r="N279" s="47">
        <v>12000</v>
      </c>
      <c r="O279" s="47">
        <v>12000</v>
      </c>
      <c r="P279" s="47"/>
      <c r="Q279" s="186">
        <f aca="true" t="shared" si="30" ref="Q279:Q379">P279/O279</f>
        <v>0</v>
      </c>
      <c r="R279" s="47">
        <v>12000</v>
      </c>
      <c r="S279" s="47">
        <v>0</v>
      </c>
      <c r="T279" s="47">
        <v>0</v>
      </c>
      <c r="U279" s="47">
        <v>0</v>
      </c>
      <c r="V279" s="47">
        <v>0</v>
      </c>
      <c r="W279" s="32">
        <f t="shared" si="28"/>
        <v>0</v>
      </c>
    </row>
    <row r="280" spans="1:23" ht="12">
      <c r="A280" s="8"/>
      <c r="B280" s="33">
        <v>75405</v>
      </c>
      <c r="C280" s="26"/>
      <c r="D280" s="42" t="s">
        <v>307</v>
      </c>
      <c r="E280" s="35" t="e">
        <f>SUM(#REF!)</f>
        <v>#REF!</v>
      </c>
      <c r="F280" s="35" t="e">
        <f>SUM(#REF!)</f>
        <v>#REF!</v>
      </c>
      <c r="G280" s="37" t="e">
        <f>SUM(#REF!)</f>
        <v>#REF!</v>
      </c>
      <c r="H280" s="37" t="e">
        <f>SUM(#REF!)</f>
        <v>#REF!</v>
      </c>
      <c r="I280" s="37"/>
      <c r="J280" s="37">
        <f>SUM(J281:J281)</f>
        <v>12000</v>
      </c>
      <c r="K280" s="37">
        <f>SUM(K281:K281)</f>
        <v>12830</v>
      </c>
      <c r="L280" s="37">
        <f>SUM(L281:L281)</f>
        <v>12830</v>
      </c>
      <c r="M280" s="37">
        <f>SUM(M281:M281)</f>
        <v>12000</v>
      </c>
      <c r="N280" s="37">
        <v>0</v>
      </c>
      <c r="O280" s="37">
        <v>2000</v>
      </c>
      <c r="P280" s="37">
        <f>SUM(P281:P281)</f>
        <v>2000</v>
      </c>
      <c r="Q280" s="186">
        <f t="shared" si="30"/>
        <v>1</v>
      </c>
      <c r="R280" s="37">
        <f>SUM(R281:R281)</f>
        <v>2000</v>
      </c>
      <c r="S280" s="37">
        <f>SUM(S281:S281)</f>
        <v>2000</v>
      </c>
      <c r="T280" s="37">
        <v>2000</v>
      </c>
      <c r="U280" s="37">
        <f>SUM(U281:U281)</f>
        <v>0</v>
      </c>
      <c r="V280" s="37">
        <f>SUM(V281:V281)</f>
        <v>0</v>
      </c>
      <c r="W280" s="32">
        <f t="shared" si="28"/>
        <v>2000</v>
      </c>
    </row>
    <row r="281" spans="1:23" ht="12">
      <c r="A281" s="44"/>
      <c r="B281" s="44"/>
      <c r="C281" s="26">
        <v>4300</v>
      </c>
      <c r="D281" s="27" t="s">
        <v>17</v>
      </c>
      <c r="E281" s="47"/>
      <c r="F281" s="47"/>
      <c r="G281" s="65"/>
      <c r="H281" s="47"/>
      <c r="I281" s="47"/>
      <c r="J281" s="47">
        <v>12000</v>
      </c>
      <c r="K281" s="47">
        <v>12830</v>
      </c>
      <c r="L281" s="47">
        <v>12830</v>
      </c>
      <c r="M281" s="47">
        <v>12000</v>
      </c>
      <c r="N281" s="47">
        <v>0</v>
      </c>
      <c r="O281" s="47">
        <v>2000</v>
      </c>
      <c r="P281" s="47">
        <v>2000</v>
      </c>
      <c r="Q281" s="186">
        <f t="shared" si="30"/>
        <v>1</v>
      </c>
      <c r="R281" s="47">
        <v>2000</v>
      </c>
      <c r="S281" s="47">
        <v>2000</v>
      </c>
      <c r="T281" s="47">
        <v>2000</v>
      </c>
      <c r="U281" s="47"/>
      <c r="V281" s="47"/>
      <c r="W281" s="32">
        <f t="shared" si="28"/>
        <v>2000</v>
      </c>
    </row>
    <row r="282" spans="1:23" ht="24">
      <c r="A282" s="56"/>
      <c r="B282" s="33">
        <v>75411</v>
      </c>
      <c r="C282" s="81"/>
      <c r="D282" s="42" t="s">
        <v>97</v>
      </c>
      <c r="E282" s="11"/>
      <c r="F282" s="11"/>
      <c r="G282" s="12">
        <f>G283</f>
        <v>3000</v>
      </c>
      <c r="H282" s="12">
        <f>H283</f>
        <v>3000</v>
      </c>
      <c r="I282" s="12"/>
      <c r="J282" s="12">
        <f aca="true" t="shared" si="31" ref="J282:S282">J283</f>
        <v>3000</v>
      </c>
      <c r="K282" s="12">
        <f t="shared" si="31"/>
        <v>2170</v>
      </c>
      <c r="L282" s="12">
        <f t="shared" si="31"/>
        <v>2170</v>
      </c>
      <c r="M282" s="12">
        <f t="shared" si="31"/>
        <v>3000</v>
      </c>
      <c r="N282" s="37">
        <v>3000</v>
      </c>
      <c r="O282" s="37">
        <v>3000</v>
      </c>
      <c r="P282" s="37">
        <f t="shared" si="31"/>
        <v>0</v>
      </c>
      <c r="Q282" s="186">
        <f t="shared" si="30"/>
        <v>0</v>
      </c>
      <c r="R282" s="37">
        <f t="shared" si="31"/>
        <v>3000</v>
      </c>
      <c r="S282" s="37">
        <f t="shared" si="31"/>
        <v>3000</v>
      </c>
      <c r="T282" s="37">
        <v>3000</v>
      </c>
      <c r="U282" s="37">
        <f>U283</f>
        <v>0</v>
      </c>
      <c r="V282" s="37">
        <f>V283</f>
        <v>0</v>
      </c>
      <c r="W282" s="32">
        <f t="shared" si="28"/>
        <v>3000</v>
      </c>
    </row>
    <row r="283" spans="1:23" ht="12">
      <c r="A283" s="8"/>
      <c r="B283" s="56"/>
      <c r="C283" s="45">
        <v>4210</v>
      </c>
      <c r="D283" s="82" t="s">
        <v>34</v>
      </c>
      <c r="E283" s="47"/>
      <c r="F283" s="47"/>
      <c r="G283" s="65">
        <v>3000</v>
      </c>
      <c r="H283" s="47">
        <f>G283</f>
        <v>3000</v>
      </c>
      <c r="I283" s="47"/>
      <c r="J283" s="47">
        <v>3000</v>
      </c>
      <c r="K283" s="47">
        <v>2170</v>
      </c>
      <c r="L283" s="47">
        <v>2170</v>
      </c>
      <c r="M283" s="47">
        <v>3000</v>
      </c>
      <c r="N283" s="47">
        <v>3000</v>
      </c>
      <c r="O283" s="47">
        <v>3000</v>
      </c>
      <c r="P283" s="47"/>
      <c r="Q283" s="186">
        <f t="shared" si="30"/>
        <v>0</v>
      </c>
      <c r="R283" s="47">
        <v>3000</v>
      </c>
      <c r="S283" s="47">
        <v>3000</v>
      </c>
      <c r="T283" s="47">
        <v>3000</v>
      </c>
      <c r="U283" s="47"/>
      <c r="V283" s="47"/>
      <c r="W283" s="32">
        <f t="shared" si="28"/>
        <v>3000</v>
      </c>
    </row>
    <row r="284" spans="1:23" ht="12">
      <c r="A284" s="44"/>
      <c r="B284" s="52">
        <v>75495</v>
      </c>
      <c r="C284" s="45"/>
      <c r="D284" s="54" t="s">
        <v>98</v>
      </c>
      <c r="E284" s="57">
        <f>SUM(E285:E286)</f>
        <v>34500</v>
      </c>
      <c r="F284" s="57">
        <f>SUM(F285:F286)</f>
        <v>34500</v>
      </c>
      <c r="G284" s="67">
        <f>SUM(G285:G286)</f>
        <v>32000</v>
      </c>
      <c r="H284" s="67">
        <f>SUM(H285:H286)</f>
        <v>32000</v>
      </c>
      <c r="I284" s="67"/>
      <c r="J284" s="67">
        <f>SUM(J285:J286)</f>
        <v>32000</v>
      </c>
      <c r="K284" s="67">
        <f>SUM(K285:K286)</f>
        <v>49142</v>
      </c>
      <c r="L284" s="67">
        <f>SUM(L285:L286)</f>
        <v>49142</v>
      </c>
      <c r="M284" s="67">
        <f>SUM(M285:M286)</f>
        <v>62500</v>
      </c>
      <c r="N284" s="67">
        <v>62500</v>
      </c>
      <c r="O284" s="67">
        <v>62500</v>
      </c>
      <c r="P284" s="67">
        <f>SUM(P285:P286)</f>
        <v>15000</v>
      </c>
      <c r="Q284" s="186">
        <f t="shared" si="30"/>
        <v>0.24</v>
      </c>
      <c r="R284" s="67">
        <f>SUM(R285:R286)</f>
        <v>62500</v>
      </c>
      <c r="S284" s="67">
        <f>SUM(S285:S286)</f>
        <v>67600</v>
      </c>
      <c r="T284" s="67">
        <v>67600</v>
      </c>
      <c r="U284" s="67">
        <f>SUM(U285:U286)</f>
        <v>0</v>
      </c>
      <c r="V284" s="67">
        <f>SUM(V285:V286)</f>
        <v>0</v>
      </c>
      <c r="W284" s="32">
        <f t="shared" si="28"/>
        <v>67600</v>
      </c>
    </row>
    <row r="285" spans="1:23" ht="72">
      <c r="A285" s="44"/>
      <c r="B285" s="44"/>
      <c r="C285" s="45">
        <v>2320</v>
      </c>
      <c r="D285" s="46" t="s">
        <v>100</v>
      </c>
      <c r="E285" s="47">
        <v>30000</v>
      </c>
      <c r="F285" s="47">
        <v>30000</v>
      </c>
      <c r="G285" s="65">
        <v>30000</v>
      </c>
      <c r="H285" s="47">
        <f>G285</f>
        <v>30000</v>
      </c>
      <c r="I285" s="47"/>
      <c r="J285" s="47">
        <v>30000</v>
      </c>
      <c r="K285" s="47">
        <v>47142</v>
      </c>
      <c r="L285" s="47">
        <v>47142</v>
      </c>
      <c r="M285" s="47">
        <v>60000</v>
      </c>
      <c r="N285" s="47">
        <v>60000</v>
      </c>
      <c r="O285" s="47">
        <v>60000</v>
      </c>
      <c r="P285" s="47">
        <v>15000</v>
      </c>
      <c r="Q285" s="186">
        <f>P285/O285</f>
        <v>0.25</v>
      </c>
      <c r="R285" s="47">
        <v>60000</v>
      </c>
      <c r="S285" s="47">
        <v>65600</v>
      </c>
      <c r="T285" s="47">
        <v>65600</v>
      </c>
      <c r="U285" s="47"/>
      <c r="V285" s="47"/>
      <c r="W285" s="32">
        <f t="shared" si="28"/>
        <v>65600</v>
      </c>
    </row>
    <row r="286" spans="1:23" ht="12">
      <c r="A286" s="44"/>
      <c r="B286" s="44"/>
      <c r="C286" s="45">
        <v>4210</v>
      </c>
      <c r="D286" s="46" t="s">
        <v>99</v>
      </c>
      <c r="E286" s="47">
        <v>4500</v>
      </c>
      <c r="F286" s="47">
        <v>4500</v>
      </c>
      <c r="G286" s="65">
        <v>2000</v>
      </c>
      <c r="H286" s="47">
        <f>G286</f>
        <v>2000</v>
      </c>
      <c r="I286" s="47"/>
      <c r="J286" s="47">
        <v>2000</v>
      </c>
      <c r="K286" s="47">
        <v>2000</v>
      </c>
      <c r="L286" s="47">
        <v>2000</v>
      </c>
      <c r="M286" s="47">
        <v>2500</v>
      </c>
      <c r="N286" s="47">
        <v>2500</v>
      </c>
      <c r="O286" s="47">
        <v>2500</v>
      </c>
      <c r="P286" s="47"/>
      <c r="Q286" s="186">
        <f>P286/O286</f>
        <v>0</v>
      </c>
      <c r="R286" s="47">
        <v>2500</v>
      </c>
      <c r="S286" s="47">
        <v>2000</v>
      </c>
      <c r="T286" s="47">
        <v>2000</v>
      </c>
      <c r="U286" s="47"/>
      <c r="V286" s="47"/>
      <c r="W286" s="32">
        <f t="shared" si="28"/>
        <v>2000</v>
      </c>
    </row>
    <row r="287" spans="1:23" ht="12">
      <c r="A287" s="8">
        <v>757</v>
      </c>
      <c r="B287" s="8"/>
      <c r="C287" s="29"/>
      <c r="D287" s="43" t="s">
        <v>101</v>
      </c>
      <c r="E287" s="31">
        <f>E288</f>
        <v>267000</v>
      </c>
      <c r="F287" s="31">
        <f>F288</f>
        <v>267000</v>
      </c>
      <c r="G287" s="32">
        <f>G288</f>
        <v>258000</v>
      </c>
      <c r="H287" s="32">
        <f>H288</f>
        <v>258000</v>
      </c>
      <c r="I287" s="32"/>
      <c r="J287" s="32">
        <f>J288</f>
        <v>258000</v>
      </c>
      <c r="K287" s="32">
        <f>K288</f>
        <v>258000</v>
      </c>
      <c r="L287" s="32">
        <f>L288</f>
        <v>258000</v>
      </c>
      <c r="M287" s="32">
        <f>M288</f>
        <v>164465.17</v>
      </c>
      <c r="N287" s="32">
        <v>505000</v>
      </c>
      <c r="O287" s="32">
        <v>505000</v>
      </c>
      <c r="P287" s="32">
        <f>P288+P291</f>
        <v>100311</v>
      </c>
      <c r="Q287" s="186">
        <f t="shared" si="30"/>
        <v>0.19863564356435642</v>
      </c>
      <c r="R287" s="32">
        <f>R288+R291</f>
        <v>505000</v>
      </c>
      <c r="S287" s="32">
        <f>S288+S291</f>
        <v>357065</v>
      </c>
      <c r="T287" s="32">
        <v>938365</v>
      </c>
      <c r="U287" s="32">
        <f>U288+U291</f>
        <v>0</v>
      </c>
      <c r="V287" s="32">
        <f>V288+V291</f>
        <v>0</v>
      </c>
      <c r="W287" s="32">
        <f t="shared" si="28"/>
        <v>938365</v>
      </c>
    </row>
    <row r="288" spans="1:23" ht="48">
      <c r="A288" s="33"/>
      <c r="B288" s="33">
        <v>75702</v>
      </c>
      <c r="C288" s="36"/>
      <c r="D288" s="42" t="s">
        <v>102</v>
      </c>
      <c r="E288" s="35">
        <f>SUM(E290:E290)</f>
        <v>267000</v>
      </c>
      <c r="F288" s="35">
        <f>SUM(F290:F290)</f>
        <v>267000</v>
      </c>
      <c r="G288" s="37">
        <f>SUM(G290:G290)</f>
        <v>258000</v>
      </c>
      <c r="H288" s="37">
        <f>SUM(H290:H290)</f>
        <v>258000</v>
      </c>
      <c r="I288" s="37"/>
      <c r="J288" s="37">
        <f>SUM(J290:J290)</f>
        <v>258000</v>
      </c>
      <c r="K288" s="37">
        <f>SUM(K290:K290)</f>
        <v>258000</v>
      </c>
      <c r="L288" s="37">
        <f>SUM(L290:L290)</f>
        <v>258000</v>
      </c>
      <c r="M288" s="37">
        <f>SUM(M290:M290)</f>
        <v>164465.17</v>
      </c>
      <c r="N288" s="37">
        <v>385000</v>
      </c>
      <c r="O288" s="37">
        <v>385000</v>
      </c>
      <c r="P288" s="37">
        <f>SUM(P289:P290)</f>
        <v>100311</v>
      </c>
      <c r="Q288" s="186">
        <f t="shared" si="30"/>
        <v>0.260548051948052</v>
      </c>
      <c r="R288" s="37">
        <f>SUM(R289:R290)</f>
        <v>385000</v>
      </c>
      <c r="S288" s="37">
        <f>SUM(S289:S290)</f>
        <v>357065</v>
      </c>
      <c r="T288" s="37">
        <v>372065</v>
      </c>
      <c r="U288" s="37">
        <f>SUM(U289:U290)</f>
        <v>0</v>
      </c>
      <c r="V288" s="37">
        <f>SUM(V289:V290)</f>
        <v>0</v>
      </c>
      <c r="W288" s="32">
        <f t="shared" si="28"/>
        <v>372065</v>
      </c>
    </row>
    <row r="289" spans="1:23" ht="24">
      <c r="A289" s="25"/>
      <c r="B289" s="25"/>
      <c r="C289" s="26">
        <v>8010</v>
      </c>
      <c r="D289" s="27" t="s">
        <v>306</v>
      </c>
      <c r="E289" s="11"/>
      <c r="F289" s="11"/>
      <c r="G289" s="12"/>
      <c r="H289" s="12"/>
      <c r="I289" s="12"/>
      <c r="J289" s="12"/>
      <c r="K289" s="12"/>
      <c r="L289" s="12"/>
      <c r="M289" s="12"/>
      <c r="N289" s="12">
        <v>0</v>
      </c>
      <c r="O289" s="12">
        <v>30000</v>
      </c>
      <c r="P289" s="12"/>
      <c r="Q289" s="186">
        <f t="shared" si="30"/>
        <v>0</v>
      </c>
      <c r="R289" s="12">
        <v>30000</v>
      </c>
      <c r="S289" s="12">
        <v>0</v>
      </c>
      <c r="T289" s="12">
        <v>15000</v>
      </c>
      <c r="U289" s="12"/>
      <c r="V289" s="12">
        <v>0</v>
      </c>
      <c r="W289" s="32">
        <f t="shared" si="28"/>
        <v>15000</v>
      </c>
    </row>
    <row r="290" spans="1:23" ht="48">
      <c r="A290" s="8"/>
      <c r="B290" s="8"/>
      <c r="C290" s="45">
        <v>8070</v>
      </c>
      <c r="D290" s="46" t="s">
        <v>103</v>
      </c>
      <c r="E290" s="47">
        <f>388250-121250</f>
        <v>267000</v>
      </c>
      <c r="F290" s="47">
        <f>388250-121250</f>
        <v>267000</v>
      </c>
      <c r="G290" s="65">
        <v>258000</v>
      </c>
      <c r="H290" s="47">
        <f>G290</f>
        <v>258000</v>
      </c>
      <c r="I290" s="47"/>
      <c r="J290" s="47">
        <v>258000</v>
      </c>
      <c r="K290" s="47">
        <v>258000</v>
      </c>
      <c r="L290" s="47">
        <v>258000</v>
      </c>
      <c r="M290" s="47">
        <f>61177+31693.82+27876.18+23966.89+19751.28</f>
        <v>164465.17</v>
      </c>
      <c r="N290" s="47">
        <v>355000</v>
      </c>
      <c r="O290" s="47">
        <v>355000</v>
      </c>
      <c r="P290" s="47">
        <v>100311</v>
      </c>
      <c r="Q290" s="186">
        <f t="shared" si="30"/>
        <v>0.2825661971830986</v>
      </c>
      <c r="R290" s="47">
        <v>355000</v>
      </c>
      <c r="S290" s="47">
        <f>125000+232065</f>
        <v>357065</v>
      </c>
      <c r="T290" s="47">
        <v>357065</v>
      </c>
      <c r="U290" s="47"/>
      <c r="V290" s="47"/>
      <c r="W290" s="32">
        <f t="shared" si="28"/>
        <v>357065</v>
      </c>
    </row>
    <row r="291" spans="1:23" ht="48">
      <c r="A291" s="8"/>
      <c r="B291" s="8">
        <v>75704</v>
      </c>
      <c r="C291" s="45"/>
      <c r="D291" s="241" t="s">
        <v>301</v>
      </c>
      <c r="E291" s="47"/>
      <c r="F291" s="47"/>
      <c r="G291" s="65"/>
      <c r="H291" s="47"/>
      <c r="I291" s="47"/>
      <c r="J291" s="47"/>
      <c r="K291" s="47"/>
      <c r="L291" s="47"/>
      <c r="M291" s="47"/>
      <c r="N291" s="35">
        <v>120000</v>
      </c>
      <c r="O291" s="35">
        <v>120000</v>
      </c>
      <c r="P291" s="35">
        <f>SUM(P292)</f>
        <v>0</v>
      </c>
      <c r="Q291" s="186">
        <f t="shared" si="30"/>
        <v>0</v>
      </c>
      <c r="R291" s="35">
        <f>SUM(R292)</f>
        <v>120000</v>
      </c>
      <c r="S291" s="35">
        <f>SUM(S292)</f>
        <v>0</v>
      </c>
      <c r="T291" s="35">
        <v>566300</v>
      </c>
      <c r="U291" s="35">
        <f>SUM(U292)</f>
        <v>0</v>
      </c>
      <c r="V291" s="35">
        <f>SUM(V292)</f>
        <v>0</v>
      </c>
      <c r="W291" s="32">
        <f t="shared" si="28"/>
        <v>566300</v>
      </c>
    </row>
    <row r="292" spans="1:23" ht="36" customHeight="1">
      <c r="A292" s="8"/>
      <c r="B292" s="8"/>
      <c r="C292" s="45">
        <v>8020</v>
      </c>
      <c r="D292" s="242" t="s">
        <v>302</v>
      </c>
      <c r="E292" s="47"/>
      <c r="F292" s="47"/>
      <c r="G292" s="65"/>
      <c r="H292" s="47"/>
      <c r="I292" s="47"/>
      <c r="J292" s="47"/>
      <c r="K292" s="47"/>
      <c r="L292" s="47"/>
      <c r="M292" s="47"/>
      <c r="N292" s="47">
        <v>120000</v>
      </c>
      <c r="O292" s="47">
        <v>120000</v>
      </c>
      <c r="P292" s="47"/>
      <c r="Q292" s="186">
        <f t="shared" si="30"/>
        <v>0</v>
      </c>
      <c r="R292" s="47">
        <v>120000</v>
      </c>
      <c r="S292" s="47">
        <v>0</v>
      </c>
      <c r="T292" s="47">
        <v>566300</v>
      </c>
      <c r="U292" s="47"/>
      <c r="V292" s="47"/>
      <c r="W292" s="32">
        <f t="shared" si="28"/>
        <v>566300</v>
      </c>
    </row>
    <row r="293" spans="1:23" ht="36" customHeight="1">
      <c r="A293" s="8">
        <v>758</v>
      </c>
      <c r="B293" s="8"/>
      <c r="C293" s="29"/>
      <c r="D293" s="43" t="s">
        <v>104</v>
      </c>
      <c r="E293" s="31">
        <f>E294</f>
        <v>1094000</v>
      </c>
      <c r="F293" s="31">
        <f>F294</f>
        <v>124433</v>
      </c>
      <c r="G293" s="32">
        <f>G294</f>
        <v>0</v>
      </c>
      <c r="H293" s="32">
        <f>H294</f>
        <v>0</v>
      </c>
      <c r="I293" s="32"/>
      <c r="J293" s="32">
        <f aca="true" t="shared" si="32" ref="J293:S293">J294</f>
        <v>1050000</v>
      </c>
      <c r="K293" s="32">
        <f t="shared" si="32"/>
        <v>0</v>
      </c>
      <c r="L293" s="32">
        <f t="shared" si="32"/>
        <v>0</v>
      </c>
      <c r="M293" s="32">
        <f t="shared" si="32"/>
        <v>0</v>
      </c>
      <c r="N293" s="32">
        <v>1750000</v>
      </c>
      <c r="O293" s="32">
        <v>1566980</v>
      </c>
      <c r="P293" s="32">
        <f t="shared" si="32"/>
        <v>0</v>
      </c>
      <c r="Q293" s="186">
        <f t="shared" si="30"/>
        <v>0</v>
      </c>
      <c r="R293" s="32">
        <f t="shared" si="32"/>
        <v>1068366</v>
      </c>
      <c r="S293" s="32">
        <f t="shared" si="32"/>
        <v>0</v>
      </c>
      <c r="T293" s="32">
        <v>364966</v>
      </c>
      <c r="U293" s="32">
        <f>U294</f>
        <v>0</v>
      </c>
      <c r="V293" s="32">
        <f>V294</f>
        <v>0</v>
      </c>
      <c r="W293" s="32">
        <f t="shared" si="28"/>
        <v>364966</v>
      </c>
    </row>
    <row r="294" spans="1:23" ht="12">
      <c r="A294" s="33"/>
      <c r="B294" s="33">
        <v>75818</v>
      </c>
      <c r="C294" s="36"/>
      <c r="D294" s="42" t="s">
        <v>105</v>
      </c>
      <c r="E294" s="35">
        <f>SUM(E295+E299)</f>
        <v>1094000</v>
      </c>
      <c r="F294" s="35">
        <f>SUM(F295+F299)</f>
        <v>124433</v>
      </c>
      <c r="G294" s="37">
        <f>SUM(G295+G299)</f>
        <v>0</v>
      </c>
      <c r="H294" s="37">
        <f>SUM(H295+H299)</f>
        <v>0</v>
      </c>
      <c r="I294" s="37"/>
      <c r="J294" s="37">
        <f>SUM(J295+J299)</f>
        <v>1050000</v>
      </c>
      <c r="K294" s="37">
        <f>SUM(K295+K299)</f>
        <v>0</v>
      </c>
      <c r="L294" s="37">
        <f>SUM(L295+L299)</f>
        <v>0</v>
      </c>
      <c r="M294" s="37">
        <f>SUM(M295+M299)</f>
        <v>0</v>
      </c>
      <c r="N294" s="37">
        <v>1750000</v>
      </c>
      <c r="O294" s="37">
        <v>1566980</v>
      </c>
      <c r="P294" s="37">
        <f>SUM(P295+P299)</f>
        <v>0</v>
      </c>
      <c r="Q294" s="186">
        <f t="shared" si="30"/>
        <v>0</v>
      </c>
      <c r="R294" s="37">
        <f>SUM(R295+R299)</f>
        <v>1068366</v>
      </c>
      <c r="S294" s="37">
        <f>SUM(S295+S299)</f>
        <v>0</v>
      </c>
      <c r="T294" s="37">
        <v>364966</v>
      </c>
      <c r="U294" s="37">
        <f>SUM(U295+U299)</f>
        <v>0</v>
      </c>
      <c r="V294" s="37">
        <f>SUM(V295+V299)</f>
        <v>0</v>
      </c>
      <c r="W294" s="32">
        <f t="shared" si="28"/>
        <v>364966</v>
      </c>
    </row>
    <row r="295" spans="1:23" ht="12">
      <c r="A295" s="8"/>
      <c r="B295" s="8"/>
      <c r="C295" s="26">
        <v>4810</v>
      </c>
      <c r="D295" s="27" t="s">
        <v>106</v>
      </c>
      <c r="E295" s="11">
        <v>894000</v>
      </c>
      <c r="F295" s="11">
        <f>SUM(F296:F298)</f>
        <v>62576</v>
      </c>
      <c r="G295" s="12">
        <f>SUM(G296:G298)</f>
        <v>0</v>
      </c>
      <c r="H295" s="12">
        <f>SUM(H296:H298)</f>
        <v>0</v>
      </c>
      <c r="I295" s="12"/>
      <c r="J295" s="12">
        <f>SUM(J296:J298)</f>
        <v>850000</v>
      </c>
      <c r="K295" s="12">
        <f>SUM(K296:K298)</f>
        <v>0</v>
      </c>
      <c r="L295" s="12">
        <f>SUM(L296:L298)</f>
        <v>0</v>
      </c>
      <c r="M295" s="12">
        <f>SUM(M296:M298)</f>
        <v>0</v>
      </c>
      <c r="N295" s="12">
        <v>1550000</v>
      </c>
      <c r="O295" s="12">
        <v>1509480</v>
      </c>
      <c r="P295" s="12">
        <f>SUM(P296:P298)</f>
        <v>0</v>
      </c>
      <c r="Q295" s="186">
        <f t="shared" si="30"/>
        <v>0</v>
      </c>
      <c r="R295" s="12">
        <f>SUM(R296:R298)</f>
        <v>1068366</v>
      </c>
      <c r="S295" s="12">
        <f>SUM(S296:S298)</f>
        <v>0</v>
      </c>
      <c r="T295" s="12">
        <v>364966</v>
      </c>
      <c r="U295" s="12">
        <f>SUM(U296:U298)</f>
        <v>0</v>
      </c>
      <c r="V295" s="12">
        <f>SUM(V296:V298)</f>
        <v>0</v>
      </c>
      <c r="W295" s="32">
        <f t="shared" si="28"/>
        <v>364966</v>
      </c>
    </row>
    <row r="296" spans="1:23" ht="12">
      <c r="A296" s="8"/>
      <c r="B296" s="8"/>
      <c r="C296" s="26"/>
      <c r="D296" s="27" t="s">
        <v>107</v>
      </c>
      <c r="E296" s="11">
        <v>184000</v>
      </c>
      <c r="F296" s="11">
        <v>23816</v>
      </c>
      <c r="G296" s="12"/>
      <c r="H296" s="11">
        <f>G296</f>
        <v>0</v>
      </c>
      <c r="I296" s="11"/>
      <c r="J296" s="11">
        <v>200000</v>
      </c>
      <c r="K296" s="11">
        <v>0</v>
      </c>
      <c r="L296" s="11"/>
      <c r="M296" s="11"/>
      <c r="N296" s="11">
        <v>0</v>
      </c>
      <c r="O296" s="11">
        <v>259480</v>
      </c>
      <c r="P296" s="11"/>
      <c r="Q296" s="186">
        <f t="shared" si="30"/>
        <v>0</v>
      </c>
      <c r="R296" s="11">
        <v>1068366</v>
      </c>
      <c r="S296" s="11"/>
      <c r="T296" s="11">
        <v>68164</v>
      </c>
      <c r="U296" s="11"/>
      <c r="V296" s="11"/>
      <c r="W296" s="32">
        <f t="shared" si="28"/>
        <v>68164</v>
      </c>
    </row>
    <row r="297" spans="1:23" ht="48">
      <c r="A297" s="8"/>
      <c r="B297" s="8"/>
      <c r="C297" s="26"/>
      <c r="D297" s="27" t="s">
        <v>368</v>
      </c>
      <c r="E297" s="11">
        <v>625000</v>
      </c>
      <c r="F297" s="11">
        <v>38760</v>
      </c>
      <c r="G297" s="12"/>
      <c r="H297" s="11">
        <f>G297</f>
        <v>0</v>
      </c>
      <c r="I297" s="11"/>
      <c r="J297" s="11">
        <v>600000</v>
      </c>
      <c r="K297" s="11">
        <v>0</v>
      </c>
      <c r="L297" s="11"/>
      <c r="M297" s="11"/>
      <c r="N297" s="11">
        <v>0</v>
      </c>
      <c r="O297" s="11">
        <v>1200000</v>
      </c>
      <c r="P297" s="11"/>
      <c r="Q297" s="186">
        <f t="shared" si="30"/>
        <v>0</v>
      </c>
      <c r="R297" s="11"/>
      <c r="S297" s="11"/>
      <c r="T297" s="11">
        <v>286802</v>
      </c>
      <c r="U297" s="11"/>
      <c r="V297" s="11"/>
      <c r="W297" s="32">
        <f t="shared" si="28"/>
        <v>286802</v>
      </c>
    </row>
    <row r="298" spans="1:23" ht="36">
      <c r="A298" s="8"/>
      <c r="B298" s="8"/>
      <c r="C298" s="26"/>
      <c r="D298" s="27" t="s">
        <v>108</v>
      </c>
      <c r="E298" s="11">
        <v>85000</v>
      </c>
      <c r="F298" s="11">
        <v>0</v>
      </c>
      <c r="G298" s="12"/>
      <c r="H298" s="11">
        <f>G298</f>
        <v>0</v>
      </c>
      <c r="I298" s="11"/>
      <c r="J298" s="11">
        <v>50000</v>
      </c>
      <c r="K298" s="11">
        <v>0</v>
      </c>
      <c r="L298" s="11"/>
      <c r="M298" s="11"/>
      <c r="N298" s="11">
        <v>0</v>
      </c>
      <c r="O298" s="11">
        <v>50000</v>
      </c>
      <c r="P298" s="11"/>
      <c r="Q298" s="186">
        <f t="shared" si="30"/>
        <v>0</v>
      </c>
      <c r="R298" s="11"/>
      <c r="S298" s="11"/>
      <c r="T298" s="11">
        <v>10000</v>
      </c>
      <c r="U298" s="11"/>
      <c r="V298" s="11"/>
      <c r="W298" s="32">
        <f t="shared" si="28"/>
        <v>10000</v>
      </c>
    </row>
    <row r="299" spans="1:23" ht="24" hidden="1">
      <c r="A299" s="8"/>
      <c r="B299" s="8"/>
      <c r="C299" s="26">
        <v>6800</v>
      </c>
      <c r="D299" s="27" t="s">
        <v>109</v>
      </c>
      <c r="E299" s="11">
        <v>200000</v>
      </c>
      <c r="F299" s="11">
        <v>61857</v>
      </c>
      <c r="G299" s="12"/>
      <c r="H299" s="11">
        <f>G299</f>
        <v>0</v>
      </c>
      <c r="I299" s="11"/>
      <c r="J299" s="11">
        <f>SUM(J300:J300)</f>
        <v>200000</v>
      </c>
      <c r="K299" s="11">
        <f>SUM(K300:K300)</f>
        <v>0</v>
      </c>
      <c r="L299" s="11">
        <f>SUM(L300:L300)</f>
        <v>0</v>
      </c>
      <c r="M299" s="11">
        <f>SUM(M300:M300)</f>
        <v>0</v>
      </c>
      <c r="N299" s="11">
        <v>200000</v>
      </c>
      <c r="O299" s="11">
        <v>57500</v>
      </c>
      <c r="P299" s="11">
        <f>SUM(P300)</f>
        <v>0</v>
      </c>
      <c r="Q299" s="186">
        <f t="shared" si="30"/>
        <v>0</v>
      </c>
      <c r="R299" s="11">
        <f>SUM(R300)</f>
        <v>0</v>
      </c>
      <c r="S299" s="11">
        <f>SUM(S300)</f>
        <v>0</v>
      </c>
      <c r="T299" s="11">
        <v>0</v>
      </c>
      <c r="U299" s="11">
        <f>SUM(U300)</f>
        <v>0</v>
      </c>
      <c r="V299" s="11">
        <f>SUM(V300)</f>
        <v>0</v>
      </c>
      <c r="W299" s="32">
        <f t="shared" si="28"/>
        <v>0</v>
      </c>
    </row>
    <row r="300" spans="1:23" ht="24" hidden="1">
      <c r="A300" s="8"/>
      <c r="B300" s="8"/>
      <c r="C300" s="26"/>
      <c r="D300" s="27" t="s">
        <v>109</v>
      </c>
      <c r="E300" s="11"/>
      <c r="F300" s="11"/>
      <c r="G300" s="12"/>
      <c r="H300" s="11"/>
      <c r="I300" s="11"/>
      <c r="J300" s="11">
        <v>200000</v>
      </c>
      <c r="K300" s="11">
        <v>0</v>
      </c>
      <c r="L300" s="11"/>
      <c r="M300" s="11"/>
      <c r="N300" s="11">
        <v>0</v>
      </c>
      <c r="O300" s="11">
        <v>57500</v>
      </c>
      <c r="P300" s="11"/>
      <c r="Q300" s="186">
        <f t="shared" si="30"/>
        <v>0</v>
      </c>
      <c r="R300" s="11"/>
      <c r="S300" s="11"/>
      <c r="T300" s="11">
        <v>0</v>
      </c>
      <c r="U300" s="11"/>
      <c r="V300" s="11"/>
      <c r="W300" s="32">
        <f t="shared" si="28"/>
        <v>0</v>
      </c>
    </row>
    <row r="301" spans="1:23" ht="12">
      <c r="A301" s="8">
        <v>801</v>
      </c>
      <c r="B301" s="8"/>
      <c r="C301" s="26"/>
      <c r="D301" s="43" t="s">
        <v>110</v>
      </c>
      <c r="E301" s="31">
        <f>E302+E321+E372+E405+E497+E521+E529+E551+E585</f>
        <v>10787335</v>
      </c>
      <c r="F301" s="31">
        <f>F302+F321+F372+F405+F497+F521+F529+F551+F585</f>
        <v>11060871</v>
      </c>
      <c r="G301" s="31">
        <f>G302+G321+G372+G405+G497+G521+G529+G551+G585</f>
        <v>13790524</v>
      </c>
      <c r="H301" s="31">
        <f>H302+H321+H372+H405+H497+H521+H529+H551+H585</f>
        <v>13132100</v>
      </c>
      <c r="I301" s="31"/>
      <c r="J301" s="31">
        <f>J302+J321+J372+J405+J497+J521+J529+J551+J585</f>
        <v>11907500</v>
      </c>
      <c r="K301" s="31">
        <f>K302+K321+K372+K405+K497+K521+K529+K551+K585</f>
        <v>13177199</v>
      </c>
      <c r="L301" s="31">
        <f>L302+L321+L372+L405+L497+L521+L529+L551+L585</f>
        <v>12804789</v>
      </c>
      <c r="M301" s="31">
        <f>M302+M321+M372+M405+M497+M521+M529+M551+M585</f>
        <v>17813166</v>
      </c>
      <c r="N301" s="31">
        <v>14908576</v>
      </c>
      <c r="O301" s="31">
        <v>13712967</v>
      </c>
      <c r="P301" s="31">
        <f>P302+P321+P372+P405+P497+P521+P529+P551+P585</f>
        <v>6533075</v>
      </c>
      <c r="Q301" s="186">
        <f t="shared" si="30"/>
        <v>0.4764158624461067</v>
      </c>
      <c r="R301" s="31">
        <f>R302+R321+R372+R405+R497+R521+R529+R551+R585</f>
        <v>13201035</v>
      </c>
      <c r="S301" s="31">
        <f>S302+S321+S372+S405+S497+S521+S529+S551+S585</f>
        <v>22858590</v>
      </c>
      <c r="T301" s="31">
        <v>15308625</v>
      </c>
      <c r="U301" s="31">
        <f>U302+U321+U372+U405+U497+U521+U529+U551+U585</f>
        <v>150000</v>
      </c>
      <c r="V301" s="31">
        <f>V302+V321+V372+V405+V497+V521+V529+V551+V585</f>
        <v>0</v>
      </c>
      <c r="W301" s="32">
        <f t="shared" si="28"/>
        <v>15458625</v>
      </c>
    </row>
    <row r="302" spans="1:23" ht="12">
      <c r="A302" s="8"/>
      <c r="B302" s="33">
        <v>80102</v>
      </c>
      <c r="C302" s="26"/>
      <c r="D302" s="42" t="s">
        <v>111</v>
      </c>
      <c r="E302" s="35">
        <f>SUM(E304:E310)</f>
        <v>636540</v>
      </c>
      <c r="F302" s="35">
        <f>SUM(F304:F310)</f>
        <v>666540</v>
      </c>
      <c r="G302" s="37">
        <f>SUM(G304:G310)</f>
        <v>965445</v>
      </c>
      <c r="H302" s="37">
        <f>SUM(H304:H310)</f>
        <v>816670</v>
      </c>
      <c r="I302" s="37"/>
      <c r="J302" s="37">
        <f aca="true" t="shared" si="33" ref="J302:P302">SUM(J304:J310)</f>
        <v>785980</v>
      </c>
      <c r="K302" s="37">
        <f t="shared" si="33"/>
        <v>836070</v>
      </c>
      <c r="L302" s="37">
        <f t="shared" si="33"/>
        <v>877834</v>
      </c>
      <c r="M302" s="37">
        <f t="shared" si="33"/>
        <v>1063924</v>
      </c>
      <c r="N302" s="37">
        <v>1049560</v>
      </c>
      <c r="O302" s="37">
        <v>1049560</v>
      </c>
      <c r="P302" s="37">
        <f t="shared" si="33"/>
        <v>529235</v>
      </c>
      <c r="Q302" s="186">
        <f t="shared" si="30"/>
        <v>0.5042446358474028</v>
      </c>
      <c r="R302" s="37">
        <f>SUM(R304:R310)</f>
        <v>1044465</v>
      </c>
      <c r="S302" s="37">
        <f>SUM(S304:S310)</f>
        <v>1207660</v>
      </c>
      <c r="T302" s="37">
        <v>1184848</v>
      </c>
      <c r="U302" s="37">
        <f>SUM(U304:U310)</f>
        <v>0</v>
      </c>
      <c r="V302" s="37">
        <f>SUM(V304:V310)</f>
        <v>0</v>
      </c>
      <c r="W302" s="32">
        <f t="shared" si="28"/>
        <v>1184848</v>
      </c>
    </row>
    <row r="303" spans="1:23" ht="22.5" customHeight="1">
      <c r="A303" s="8"/>
      <c r="B303" s="8"/>
      <c r="C303" s="26"/>
      <c r="D303" s="27"/>
      <c r="E303" s="55"/>
      <c r="F303" s="55"/>
      <c r="G303" s="56"/>
      <c r="H303" s="56"/>
      <c r="I303" s="56"/>
      <c r="J303" s="56"/>
      <c r="K303" s="56"/>
      <c r="L303" s="56"/>
      <c r="M303" s="56"/>
      <c r="N303" s="56">
        <v>0</v>
      </c>
      <c r="O303" s="56">
        <v>0</v>
      </c>
      <c r="P303" s="56"/>
      <c r="Q303" s="186"/>
      <c r="R303" s="56"/>
      <c r="S303" s="56"/>
      <c r="T303" s="56">
        <v>0</v>
      </c>
      <c r="U303" s="56"/>
      <c r="V303" s="56"/>
      <c r="W303" s="32">
        <f t="shared" si="28"/>
        <v>0</v>
      </c>
    </row>
    <row r="304" spans="1:23" ht="24">
      <c r="A304" s="8"/>
      <c r="B304" s="8"/>
      <c r="C304" s="26">
        <v>3020</v>
      </c>
      <c r="D304" s="27" t="s">
        <v>68</v>
      </c>
      <c r="E304" s="11">
        <v>970</v>
      </c>
      <c r="F304" s="11">
        <v>970</v>
      </c>
      <c r="G304" s="12">
        <v>1210</v>
      </c>
      <c r="H304" s="12">
        <v>1530</v>
      </c>
      <c r="I304" s="12"/>
      <c r="J304" s="12">
        <v>1530</v>
      </c>
      <c r="K304" s="12">
        <v>1530</v>
      </c>
      <c r="L304" s="12">
        <v>1530</v>
      </c>
      <c r="M304" s="12">
        <v>1676</v>
      </c>
      <c r="N304" s="12">
        <v>2090</v>
      </c>
      <c r="O304" s="12">
        <v>2090</v>
      </c>
      <c r="P304" s="12"/>
      <c r="Q304" s="186">
        <f t="shared" si="30"/>
        <v>0</v>
      </c>
      <c r="R304" s="12">
        <v>2090</v>
      </c>
      <c r="S304" s="12">
        <v>2360</v>
      </c>
      <c r="T304" s="12">
        <v>2360</v>
      </c>
      <c r="U304" s="12">
        <f>U312</f>
        <v>0</v>
      </c>
      <c r="V304" s="12"/>
      <c r="W304" s="32">
        <f t="shared" si="28"/>
        <v>2360</v>
      </c>
    </row>
    <row r="305" spans="1:23" ht="24">
      <c r="A305" s="8"/>
      <c r="B305" s="8"/>
      <c r="C305" s="26">
        <v>4010</v>
      </c>
      <c r="D305" s="27" t="s">
        <v>29</v>
      </c>
      <c r="E305" s="11">
        <v>475880</v>
      </c>
      <c r="F305" s="11">
        <v>475880</v>
      </c>
      <c r="G305" s="12">
        <v>607207</v>
      </c>
      <c r="H305" s="12">
        <v>607210</v>
      </c>
      <c r="I305" s="12">
        <v>607210</v>
      </c>
      <c r="J305" s="12">
        <v>607210</v>
      </c>
      <c r="K305" s="12">
        <v>650100</v>
      </c>
      <c r="L305" s="12">
        <v>676646</v>
      </c>
      <c r="M305" s="12">
        <v>803946</v>
      </c>
      <c r="N305" s="12">
        <v>803950</v>
      </c>
      <c r="O305" s="12">
        <v>803950</v>
      </c>
      <c r="P305" s="12">
        <v>374731</v>
      </c>
      <c r="Q305" s="186">
        <f t="shared" si="30"/>
        <v>0.46611232041793643</v>
      </c>
      <c r="R305" s="12">
        <v>798007</v>
      </c>
      <c r="S305" s="12">
        <v>925180</v>
      </c>
      <c r="T305" s="12">
        <v>899118</v>
      </c>
      <c r="U305" s="12">
        <f>U313</f>
        <v>0</v>
      </c>
      <c r="V305" s="12"/>
      <c r="W305" s="32">
        <f t="shared" si="28"/>
        <v>899118</v>
      </c>
    </row>
    <row r="306" spans="1:23" ht="12">
      <c r="A306" s="8"/>
      <c r="B306" s="8"/>
      <c r="C306" s="26">
        <v>4040</v>
      </c>
      <c r="D306" s="27" t="s">
        <v>30</v>
      </c>
      <c r="E306" s="11">
        <v>35430</v>
      </c>
      <c r="F306" s="11">
        <v>35430</v>
      </c>
      <c r="G306" s="12">
        <v>42800</v>
      </c>
      <c r="H306" s="12">
        <v>42800</v>
      </c>
      <c r="I306" s="12"/>
      <c r="J306" s="12">
        <v>42800</v>
      </c>
      <c r="K306" s="12">
        <v>42800</v>
      </c>
      <c r="L306" s="12">
        <v>41531</v>
      </c>
      <c r="M306" s="12">
        <v>55900</v>
      </c>
      <c r="N306" s="12">
        <v>55900</v>
      </c>
      <c r="O306" s="12">
        <v>55900</v>
      </c>
      <c r="P306" s="12">
        <v>54770</v>
      </c>
      <c r="Q306" s="186">
        <f t="shared" si="30"/>
        <v>0.9797853309481216</v>
      </c>
      <c r="R306" s="12">
        <v>54770</v>
      </c>
      <c r="S306" s="12">
        <v>66110</v>
      </c>
      <c r="T306" s="12">
        <v>66110</v>
      </c>
      <c r="U306" s="12">
        <f>U314</f>
        <v>0</v>
      </c>
      <c r="V306" s="12"/>
      <c r="W306" s="32">
        <f t="shared" si="28"/>
        <v>66110</v>
      </c>
    </row>
    <row r="307" spans="1:23" ht="24">
      <c r="A307" s="8"/>
      <c r="B307" s="8"/>
      <c r="C307" s="26">
        <v>4110</v>
      </c>
      <c r="D307" s="27" t="s">
        <v>113</v>
      </c>
      <c r="E307" s="11">
        <v>86310</v>
      </c>
      <c r="F307" s="11">
        <v>86310</v>
      </c>
      <c r="G307" s="12">
        <v>93720</v>
      </c>
      <c r="H307" s="12">
        <v>89960</v>
      </c>
      <c r="I307" s="12"/>
      <c r="J307" s="12">
        <v>89960</v>
      </c>
      <c r="K307" s="12">
        <v>96110</v>
      </c>
      <c r="L307" s="12">
        <v>107166</v>
      </c>
      <c r="M307" s="12">
        <v>133000</v>
      </c>
      <c r="N307" s="12">
        <v>128630</v>
      </c>
      <c r="O307" s="12">
        <v>128630</v>
      </c>
      <c r="P307" s="12">
        <v>58766</v>
      </c>
      <c r="Q307" s="186">
        <f t="shared" si="30"/>
        <v>0.456860763429993</v>
      </c>
      <c r="R307" s="12">
        <v>127571</v>
      </c>
      <c r="S307" s="12">
        <v>147600</v>
      </c>
      <c r="T307" s="12">
        <v>147600</v>
      </c>
      <c r="U307" s="12">
        <f>U315</f>
        <v>0</v>
      </c>
      <c r="V307" s="12"/>
      <c r="W307" s="32">
        <f t="shared" si="28"/>
        <v>147600</v>
      </c>
    </row>
    <row r="308" spans="1:23" ht="12">
      <c r="A308" s="8"/>
      <c r="B308" s="8"/>
      <c r="C308" s="26">
        <v>4120</v>
      </c>
      <c r="D308" s="27" t="s">
        <v>32</v>
      </c>
      <c r="E308" s="11">
        <v>12270</v>
      </c>
      <c r="F308" s="11">
        <v>12270</v>
      </c>
      <c r="G308" s="12">
        <v>14962</v>
      </c>
      <c r="H308" s="12">
        <v>15600</v>
      </c>
      <c r="I308" s="12"/>
      <c r="J308" s="12">
        <v>15600</v>
      </c>
      <c r="K308" s="12">
        <v>16650</v>
      </c>
      <c r="L308" s="12">
        <v>17019</v>
      </c>
      <c r="M308" s="12">
        <v>21030</v>
      </c>
      <c r="N308" s="12">
        <v>20640</v>
      </c>
      <c r="O308" s="12">
        <v>20640</v>
      </c>
      <c r="P308" s="12">
        <v>9535</v>
      </c>
      <c r="Q308" s="186">
        <f t="shared" si="30"/>
        <v>0.4619670542635659</v>
      </c>
      <c r="R308" s="12">
        <v>21002</v>
      </c>
      <c r="S308" s="12">
        <v>23790</v>
      </c>
      <c r="T308" s="12">
        <v>23790</v>
      </c>
      <c r="U308" s="12">
        <f>U316</f>
        <v>0</v>
      </c>
      <c r="V308" s="12"/>
      <c r="W308" s="32">
        <f t="shared" si="28"/>
        <v>23790</v>
      </c>
    </row>
    <row r="309" spans="1:23" ht="24">
      <c r="A309" s="8"/>
      <c r="B309" s="8"/>
      <c r="C309" s="26">
        <v>4249</v>
      </c>
      <c r="D309" s="27" t="s">
        <v>117</v>
      </c>
      <c r="E309" s="11">
        <v>0</v>
      </c>
      <c r="F309" s="11">
        <v>30000</v>
      </c>
      <c r="G309" s="12">
        <v>175956</v>
      </c>
      <c r="H309" s="12">
        <v>30690</v>
      </c>
      <c r="I309" s="12"/>
      <c r="J309" s="12">
        <v>0</v>
      </c>
      <c r="K309" s="12">
        <v>0</v>
      </c>
      <c r="L309" s="12">
        <v>0</v>
      </c>
      <c r="M309" s="12">
        <v>10000</v>
      </c>
      <c r="N309" s="12">
        <v>0</v>
      </c>
      <c r="O309" s="12">
        <v>0</v>
      </c>
      <c r="P309" s="12"/>
      <c r="Q309" s="186"/>
      <c r="R309" s="12">
        <v>0</v>
      </c>
      <c r="S309" s="12">
        <v>0</v>
      </c>
      <c r="T309" s="12">
        <v>3250</v>
      </c>
      <c r="U309" s="12"/>
      <c r="V309" s="12"/>
      <c r="W309" s="32">
        <f t="shared" si="28"/>
        <v>3250</v>
      </c>
    </row>
    <row r="310" spans="1:23" ht="24">
      <c r="A310" s="8"/>
      <c r="B310" s="8"/>
      <c r="C310" s="26">
        <v>4440</v>
      </c>
      <c r="D310" s="27" t="s">
        <v>44</v>
      </c>
      <c r="E310" s="11">
        <v>25680</v>
      </c>
      <c r="F310" s="11">
        <v>25680</v>
      </c>
      <c r="G310" s="12">
        <v>29590</v>
      </c>
      <c r="H310" s="12">
        <v>28880</v>
      </c>
      <c r="I310" s="12"/>
      <c r="J310" s="12">
        <v>28880</v>
      </c>
      <c r="K310" s="12">
        <v>28880</v>
      </c>
      <c r="L310" s="12">
        <v>33942</v>
      </c>
      <c r="M310" s="12">
        <v>38372</v>
      </c>
      <c r="N310" s="12">
        <v>38350</v>
      </c>
      <c r="O310" s="12">
        <v>38350</v>
      </c>
      <c r="P310" s="12">
        <v>31433</v>
      </c>
      <c r="Q310" s="186">
        <f t="shared" si="30"/>
        <v>0.8196349413298566</v>
      </c>
      <c r="R310" s="12">
        <v>41025</v>
      </c>
      <c r="S310" s="12">
        <v>42620</v>
      </c>
      <c r="T310" s="12">
        <v>42620</v>
      </c>
      <c r="U310" s="12">
        <f>U318</f>
        <v>0</v>
      </c>
      <c r="V310" s="12"/>
      <c r="W310" s="32">
        <f t="shared" si="28"/>
        <v>42620</v>
      </c>
    </row>
    <row r="311" spans="1:26" s="80" customFormat="1" ht="12">
      <c r="A311" s="8"/>
      <c r="B311" s="8"/>
      <c r="C311" s="36"/>
      <c r="D311" s="42" t="s">
        <v>112</v>
      </c>
      <c r="E311" s="35"/>
      <c r="F311" s="35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186"/>
      <c r="R311" s="37"/>
      <c r="S311" s="37"/>
      <c r="T311" s="37">
        <v>1181598</v>
      </c>
      <c r="U311" s="37">
        <f>SUM(U312:U318)</f>
        <v>0</v>
      </c>
      <c r="V311" s="37">
        <f>SUM(V312:V318)</f>
        <v>0</v>
      </c>
      <c r="W311" s="32">
        <f aca="true" t="shared" si="34" ref="W311:W318">T311+U311-V311</f>
        <v>1181598</v>
      </c>
      <c r="Y311" s="227"/>
      <c r="Z311" s="227"/>
    </row>
    <row r="312" spans="1:23" ht="24">
      <c r="A312" s="8"/>
      <c r="B312" s="8"/>
      <c r="C312" s="26">
        <v>3020</v>
      </c>
      <c r="D312" s="27" t="s">
        <v>68</v>
      </c>
      <c r="E312" s="11">
        <v>970</v>
      </c>
      <c r="F312" s="11">
        <v>970</v>
      </c>
      <c r="G312" s="12">
        <v>1210</v>
      </c>
      <c r="H312" s="12">
        <v>1530</v>
      </c>
      <c r="I312" s="12"/>
      <c r="J312" s="12">
        <v>1530</v>
      </c>
      <c r="K312" s="12">
        <v>1530</v>
      </c>
      <c r="L312" s="12">
        <v>1530</v>
      </c>
      <c r="M312" s="12">
        <v>1676</v>
      </c>
      <c r="N312" s="12">
        <v>2090</v>
      </c>
      <c r="O312" s="12">
        <v>2090</v>
      </c>
      <c r="P312" s="12"/>
      <c r="Q312" s="186">
        <f>P312/O312</f>
        <v>0</v>
      </c>
      <c r="R312" s="12">
        <v>2090</v>
      </c>
      <c r="S312" s="12">
        <v>2360</v>
      </c>
      <c r="T312" s="12">
        <v>2360</v>
      </c>
      <c r="U312" s="12"/>
      <c r="V312" s="12"/>
      <c r="W312" s="32">
        <f t="shared" si="34"/>
        <v>2360</v>
      </c>
    </row>
    <row r="313" spans="1:23" ht="24">
      <c r="A313" s="8"/>
      <c r="B313" s="8"/>
      <c r="C313" s="26">
        <v>4010</v>
      </c>
      <c r="D313" s="27" t="s">
        <v>29</v>
      </c>
      <c r="E313" s="11">
        <v>475880</v>
      </c>
      <c r="F313" s="11">
        <v>475880</v>
      </c>
      <c r="G313" s="12">
        <v>607207</v>
      </c>
      <c r="H313" s="12">
        <v>607210</v>
      </c>
      <c r="I313" s="12">
        <v>607210</v>
      </c>
      <c r="J313" s="12">
        <v>607210</v>
      </c>
      <c r="K313" s="12">
        <v>650100</v>
      </c>
      <c r="L313" s="12">
        <v>676646</v>
      </c>
      <c r="M313" s="12">
        <v>803946</v>
      </c>
      <c r="N313" s="12">
        <v>803950</v>
      </c>
      <c r="O313" s="12">
        <v>803950</v>
      </c>
      <c r="P313" s="12">
        <v>374731</v>
      </c>
      <c r="Q313" s="186">
        <f>P313/O313</f>
        <v>0.46611232041793643</v>
      </c>
      <c r="R313" s="12">
        <v>798007</v>
      </c>
      <c r="S313" s="12">
        <v>925180</v>
      </c>
      <c r="T313" s="12">
        <v>899118</v>
      </c>
      <c r="U313" s="12"/>
      <c r="V313" s="12"/>
      <c r="W313" s="32">
        <f t="shared" si="34"/>
        <v>899118</v>
      </c>
    </row>
    <row r="314" spans="1:23" ht="12">
      <c r="A314" s="8"/>
      <c r="B314" s="8"/>
      <c r="C314" s="26">
        <v>4040</v>
      </c>
      <c r="D314" s="27" t="s">
        <v>30</v>
      </c>
      <c r="E314" s="11">
        <v>35430</v>
      </c>
      <c r="F314" s="11">
        <v>35430</v>
      </c>
      <c r="G314" s="12">
        <v>42800</v>
      </c>
      <c r="H314" s="12">
        <v>42800</v>
      </c>
      <c r="I314" s="12"/>
      <c r="J314" s="12">
        <v>42800</v>
      </c>
      <c r="K314" s="12">
        <v>42800</v>
      </c>
      <c r="L314" s="12">
        <v>41531</v>
      </c>
      <c r="M314" s="12">
        <v>55900</v>
      </c>
      <c r="N314" s="12">
        <v>55900</v>
      </c>
      <c r="O314" s="12">
        <v>55900</v>
      </c>
      <c r="P314" s="12">
        <v>54770</v>
      </c>
      <c r="Q314" s="186">
        <f>P314/O314</f>
        <v>0.9797853309481216</v>
      </c>
      <c r="R314" s="12">
        <v>54770</v>
      </c>
      <c r="S314" s="12">
        <v>66110</v>
      </c>
      <c r="T314" s="12">
        <v>66110</v>
      </c>
      <c r="U314" s="12"/>
      <c r="V314" s="12"/>
      <c r="W314" s="32">
        <f t="shared" si="34"/>
        <v>66110</v>
      </c>
    </row>
    <row r="315" spans="1:23" ht="24">
      <c r="A315" s="8"/>
      <c r="B315" s="8"/>
      <c r="C315" s="26">
        <v>4110</v>
      </c>
      <c r="D315" s="27" t="s">
        <v>113</v>
      </c>
      <c r="E315" s="11">
        <v>86310</v>
      </c>
      <c r="F315" s="11">
        <v>86310</v>
      </c>
      <c r="G315" s="12">
        <v>93720</v>
      </c>
      <c r="H315" s="12">
        <v>89960</v>
      </c>
      <c r="I315" s="12"/>
      <c r="J315" s="12">
        <v>89960</v>
      </c>
      <c r="K315" s="12">
        <v>96110</v>
      </c>
      <c r="L315" s="12">
        <v>107166</v>
      </c>
      <c r="M315" s="12">
        <v>133000</v>
      </c>
      <c r="N315" s="12">
        <v>128630</v>
      </c>
      <c r="O315" s="12">
        <v>128630</v>
      </c>
      <c r="P315" s="12">
        <v>58766</v>
      </c>
      <c r="Q315" s="186">
        <f>P315/O315</f>
        <v>0.456860763429993</v>
      </c>
      <c r="R315" s="12">
        <v>127571</v>
      </c>
      <c r="S315" s="12">
        <v>147600</v>
      </c>
      <c r="T315" s="12">
        <v>147600</v>
      </c>
      <c r="U315" s="12"/>
      <c r="V315" s="12"/>
      <c r="W315" s="32">
        <f t="shared" si="34"/>
        <v>147600</v>
      </c>
    </row>
    <row r="316" spans="1:23" ht="12">
      <c r="A316" s="8"/>
      <c r="B316" s="8"/>
      <c r="C316" s="26">
        <v>4120</v>
      </c>
      <c r="D316" s="27" t="s">
        <v>32</v>
      </c>
      <c r="E316" s="11">
        <v>12270</v>
      </c>
      <c r="F316" s="11">
        <v>12270</v>
      </c>
      <c r="G316" s="12">
        <v>14962</v>
      </c>
      <c r="H316" s="12">
        <v>15600</v>
      </c>
      <c r="I316" s="12"/>
      <c r="J316" s="12">
        <v>15600</v>
      </c>
      <c r="K316" s="12">
        <v>16650</v>
      </c>
      <c r="L316" s="12">
        <v>17019</v>
      </c>
      <c r="M316" s="12">
        <v>21030</v>
      </c>
      <c r="N316" s="12">
        <v>20640</v>
      </c>
      <c r="O316" s="12">
        <v>20640</v>
      </c>
      <c r="P316" s="12">
        <v>9535</v>
      </c>
      <c r="Q316" s="186">
        <f>P316/O316</f>
        <v>0.4619670542635659</v>
      </c>
      <c r="R316" s="12">
        <v>21002</v>
      </c>
      <c r="S316" s="12">
        <v>23790</v>
      </c>
      <c r="T316" s="12">
        <v>23790</v>
      </c>
      <c r="U316" s="12"/>
      <c r="V316" s="12"/>
      <c r="W316" s="32">
        <f t="shared" si="34"/>
        <v>23790</v>
      </c>
    </row>
    <row r="317" spans="1:23" ht="24">
      <c r="A317" s="8"/>
      <c r="B317" s="8"/>
      <c r="C317" s="26">
        <v>4240</v>
      </c>
      <c r="D317" s="27" t="s">
        <v>117</v>
      </c>
      <c r="E317" s="11">
        <v>0</v>
      </c>
      <c r="F317" s="11">
        <v>30000</v>
      </c>
      <c r="G317" s="12">
        <v>175956</v>
      </c>
      <c r="H317" s="12">
        <v>30690</v>
      </c>
      <c r="I317" s="12"/>
      <c r="J317" s="12">
        <v>0</v>
      </c>
      <c r="K317" s="12">
        <v>0</v>
      </c>
      <c r="L317" s="12">
        <v>0</v>
      </c>
      <c r="M317" s="12">
        <v>10000</v>
      </c>
      <c r="N317" s="12">
        <v>0</v>
      </c>
      <c r="O317" s="12">
        <v>0</v>
      </c>
      <c r="P317" s="12"/>
      <c r="Q317" s="186"/>
      <c r="R317" s="12">
        <v>0</v>
      </c>
      <c r="S317" s="12">
        <v>0</v>
      </c>
      <c r="T317" s="12">
        <v>0</v>
      </c>
      <c r="U317" s="12"/>
      <c r="V317" s="12"/>
      <c r="W317" s="32">
        <f t="shared" si="34"/>
        <v>0</v>
      </c>
    </row>
    <row r="318" spans="1:23" ht="24">
      <c r="A318" s="8"/>
      <c r="B318" s="8"/>
      <c r="C318" s="26">
        <v>4440</v>
      </c>
      <c r="D318" s="27" t="s">
        <v>44</v>
      </c>
      <c r="E318" s="11">
        <v>25680</v>
      </c>
      <c r="F318" s="11">
        <v>25680</v>
      </c>
      <c r="G318" s="12">
        <v>29590</v>
      </c>
      <c r="H318" s="12">
        <v>28880</v>
      </c>
      <c r="I318" s="12"/>
      <c r="J318" s="12">
        <v>28880</v>
      </c>
      <c r="K318" s="12">
        <v>28880</v>
      </c>
      <c r="L318" s="12">
        <v>33942</v>
      </c>
      <c r="M318" s="12">
        <v>38372</v>
      </c>
      <c r="N318" s="12">
        <v>38350</v>
      </c>
      <c r="O318" s="12">
        <v>38350</v>
      </c>
      <c r="P318" s="12">
        <v>31433</v>
      </c>
      <c r="Q318" s="186">
        <f>P318/O318</f>
        <v>0.8196349413298566</v>
      </c>
      <c r="R318" s="12">
        <v>41025</v>
      </c>
      <c r="S318" s="12">
        <v>42620</v>
      </c>
      <c r="T318" s="12">
        <v>42620</v>
      </c>
      <c r="U318" s="12"/>
      <c r="V318" s="12"/>
      <c r="W318" s="32">
        <f t="shared" si="34"/>
        <v>42620</v>
      </c>
    </row>
    <row r="319" spans="1:26" s="80" customFormat="1" ht="12">
      <c r="A319" s="8"/>
      <c r="B319" s="8"/>
      <c r="C319" s="36"/>
      <c r="D319" s="42" t="s">
        <v>83</v>
      </c>
      <c r="E319" s="35"/>
      <c r="F319" s="35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186"/>
      <c r="R319" s="37"/>
      <c r="S319" s="37"/>
      <c r="T319" s="37">
        <v>3250</v>
      </c>
      <c r="U319" s="37">
        <f>SUM(U320)</f>
        <v>0</v>
      </c>
      <c r="V319" s="37">
        <f>SUM(V320)</f>
        <v>0</v>
      </c>
      <c r="W319" s="32">
        <f>T319+U319-V319</f>
        <v>3250</v>
      </c>
      <c r="Y319" s="227"/>
      <c r="Z319" s="227"/>
    </row>
    <row r="320" spans="1:23" ht="24">
      <c r="A320" s="8"/>
      <c r="B320" s="8"/>
      <c r="C320" s="26">
        <v>4249</v>
      </c>
      <c r="D320" s="27" t="s">
        <v>117</v>
      </c>
      <c r="E320" s="11">
        <v>0</v>
      </c>
      <c r="F320" s="11">
        <v>30000</v>
      </c>
      <c r="G320" s="12">
        <v>175956</v>
      </c>
      <c r="H320" s="12">
        <v>30690</v>
      </c>
      <c r="I320" s="12"/>
      <c r="J320" s="12">
        <v>0</v>
      </c>
      <c r="K320" s="12">
        <v>0</v>
      </c>
      <c r="L320" s="12">
        <v>0</v>
      </c>
      <c r="M320" s="12">
        <v>10000</v>
      </c>
      <c r="N320" s="12">
        <v>0</v>
      </c>
      <c r="O320" s="12">
        <v>0</v>
      </c>
      <c r="P320" s="12"/>
      <c r="Q320" s="186"/>
      <c r="R320" s="12">
        <v>0</v>
      </c>
      <c r="S320" s="12">
        <v>0</v>
      </c>
      <c r="T320" s="12">
        <v>3250</v>
      </c>
      <c r="U320" s="12"/>
      <c r="V320" s="12"/>
      <c r="W320" s="32">
        <f>T320+U320-V320</f>
        <v>3250</v>
      </c>
    </row>
    <row r="321" spans="1:23" ht="12">
      <c r="A321" s="8"/>
      <c r="B321" s="33">
        <v>80111</v>
      </c>
      <c r="C321" s="26"/>
      <c r="D321" s="42" t="s">
        <v>114</v>
      </c>
      <c r="E321" s="35">
        <f>SUM(E323:E344)</f>
        <v>800440</v>
      </c>
      <c r="F321" s="35">
        <f>SUM(F323:F344)</f>
        <v>850440</v>
      </c>
      <c r="G321" s="37">
        <f>SUM(G323:G344)</f>
        <v>1086250</v>
      </c>
      <c r="H321" s="37">
        <f>SUM(H323:H344)</f>
        <v>904860</v>
      </c>
      <c r="I321" s="37"/>
      <c r="J321" s="37">
        <f aca="true" t="shared" si="35" ref="J321:P321">SUM(J323:J344)</f>
        <v>848040</v>
      </c>
      <c r="K321" s="37">
        <f t="shared" si="35"/>
        <v>925080</v>
      </c>
      <c r="L321" s="37">
        <f t="shared" si="35"/>
        <v>809162</v>
      </c>
      <c r="M321" s="37">
        <f t="shared" si="35"/>
        <v>882757</v>
      </c>
      <c r="N321" s="37">
        <v>798720</v>
      </c>
      <c r="O321" s="37">
        <v>798720</v>
      </c>
      <c r="P321" s="37">
        <f t="shared" si="35"/>
        <v>368413</v>
      </c>
      <c r="Q321" s="186">
        <f t="shared" si="30"/>
        <v>0.46125425681089743</v>
      </c>
      <c r="R321" s="37">
        <f>SUM(R323:R344)</f>
        <v>801376</v>
      </c>
      <c r="S321" s="37">
        <f>SUM(S323:S345)</f>
        <v>1159810</v>
      </c>
      <c r="T321" s="37">
        <v>1016957</v>
      </c>
      <c r="U321" s="37">
        <f>SUM(U323:U345)</f>
        <v>0</v>
      </c>
      <c r="V321" s="37">
        <f>SUM(V323:V345)</f>
        <v>0</v>
      </c>
      <c r="W321" s="32">
        <f t="shared" si="28"/>
        <v>1016957</v>
      </c>
    </row>
    <row r="322" spans="1:23" ht="12">
      <c r="A322" s="8"/>
      <c r="B322" s="8"/>
      <c r="C322" s="26"/>
      <c r="D322" s="27"/>
      <c r="E322" s="55"/>
      <c r="F322" s="55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186"/>
      <c r="R322" s="56"/>
      <c r="S322" s="56"/>
      <c r="T322" s="56">
        <v>0</v>
      </c>
      <c r="U322" s="56"/>
      <c r="V322" s="56"/>
      <c r="W322" s="32">
        <f t="shared" si="28"/>
        <v>0</v>
      </c>
    </row>
    <row r="323" spans="1:23" ht="24">
      <c r="A323" s="8"/>
      <c r="B323" s="8"/>
      <c r="C323" s="26">
        <v>3020</v>
      </c>
      <c r="D323" s="27" t="s">
        <v>68</v>
      </c>
      <c r="E323" s="11">
        <v>6150</v>
      </c>
      <c r="F323" s="11">
        <v>6150</v>
      </c>
      <c r="G323" s="12">
        <v>7191</v>
      </c>
      <c r="H323" s="12">
        <v>6290</v>
      </c>
      <c r="I323" s="12"/>
      <c r="J323" s="12">
        <v>6290</v>
      </c>
      <c r="K323" s="12">
        <v>6290</v>
      </c>
      <c r="L323" s="12">
        <v>6290</v>
      </c>
      <c r="M323" s="12">
        <v>6472</v>
      </c>
      <c r="N323" s="12">
        <v>6470</v>
      </c>
      <c r="O323" s="12">
        <v>6470</v>
      </c>
      <c r="P323" s="12">
        <v>170</v>
      </c>
      <c r="Q323" s="186">
        <f t="shared" si="30"/>
        <v>0.02627511591962906</v>
      </c>
      <c r="R323" s="12">
        <v>6470</v>
      </c>
      <c r="S323" s="12">
        <v>6730</v>
      </c>
      <c r="T323" s="12">
        <v>6730</v>
      </c>
      <c r="U323" s="12"/>
      <c r="V323" s="12"/>
      <c r="W323" s="32">
        <f t="shared" si="28"/>
        <v>6730</v>
      </c>
    </row>
    <row r="324" spans="1:23" ht="24">
      <c r="A324" s="8"/>
      <c r="B324" s="8"/>
      <c r="C324" s="26">
        <v>4010</v>
      </c>
      <c r="D324" s="27" t="s">
        <v>29</v>
      </c>
      <c r="E324" s="11">
        <v>471470</v>
      </c>
      <c r="F324" s="11">
        <v>471470</v>
      </c>
      <c r="G324" s="12">
        <v>517300</v>
      </c>
      <c r="H324" s="12">
        <v>517300</v>
      </c>
      <c r="I324" s="12">
        <v>517300</v>
      </c>
      <c r="J324" s="12">
        <v>517300</v>
      </c>
      <c r="K324" s="12">
        <v>559730</v>
      </c>
      <c r="L324" s="12">
        <v>477738</v>
      </c>
      <c r="M324" s="12">
        <v>467973</v>
      </c>
      <c r="N324" s="12">
        <v>467980</v>
      </c>
      <c r="O324" s="12">
        <v>467980</v>
      </c>
      <c r="P324" s="12">
        <v>195515</v>
      </c>
      <c r="Q324" s="186">
        <f t="shared" si="30"/>
        <v>0.41778494807470407</v>
      </c>
      <c r="R324" s="12">
        <v>469564</v>
      </c>
      <c r="S324" s="12">
        <v>588430</v>
      </c>
      <c r="T324" s="12">
        <v>568947</v>
      </c>
      <c r="U324" s="12"/>
      <c r="V324" s="12"/>
      <c r="W324" s="32">
        <f t="shared" si="28"/>
        <v>568947</v>
      </c>
    </row>
    <row r="325" spans="1:23" ht="12">
      <c r="A325" s="8"/>
      <c r="B325" s="8"/>
      <c r="C325" s="26">
        <v>4040</v>
      </c>
      <c r="D325" s="27" t="s">
        <v>30</v>
      </c>
      <c r="E325" s="11">
        <v>35240</v>
      </c>
      <c r="F325" s="11">
        <v>35240</v>
      </c>
      <c r="G325" s="12">
        <v>38500</v>
      </c>
      <c r="H325" s="12">
        <v>38500</v>
      </c>
      <c r="I325" s="12"/>
      <c r="J325" s="12">
        <v>38500</v>
      </c>
      <c r="K325" s="12">
        <v>38500</v>
      </c>
      <c r="L325" s="12">
        <v>38330</v>
      </c>
      <c r="M325" s="12">
        <v>40608</v>
      </c>
      <c r="N325" s="12">
        <v>40610</v>
      </c>
      <c r="O325" s="12">
        <v>40610</v>
      </c>
      <c r="P325" s="12">
        <v>36338</v>
      </c>
      <c r="Q325" s="186">
        <f t="shared" si="30"/>
        <v>0.8948042354099975</v>
      </c>
      <c r="R325" s="12">
        <v>36338</v>
      </c>
      <c r="S325" s="12">
        <v>40100</v>
      </c>
      <c r="T325" s="12">
        <v>40100</v>
      </c>
      <c r="U325" s="12"/>
      <c r="V325" s="12"/>
      <c r="W325" s="32">
        <f t="shared" si="28"/>
        <v>40100</v>
      </c>
    </row>
    <row r="326" spans="1:23" ht="24">
      <c r="A326" s="8"/>
      <c r="B326" s="8"/>
      <c r="C326" s="26">
        <v>4110</v>
      </c>
      <c r="D326" s="27" t="s">
        <v>113</v>
      </c>
      <c r="E326" s="11">
        <v>85530</v>
      </c>
      <c r="F326" s="11">
        <v>85530</v>
      </c>
      <c r="G326" s="12">
        <v>85620</v>
      </c>
      <c r="H326" s="12">
        <v>76920</v>
      </c>
      <c r="I326" s="12"/>
      <c r="J326" s="12">
        <v>76920</v>
      </c>
      <c r="K326" s="12">
        <v>83000</v>
      </c>
      <c r="L326" s="12">
        <v>81000</v>
      </c>
      <c r="M326" s="12">
        <v>78800</v>
      </c>
      <c r="N326" s="12">
        <v>76090</v>
      </c>
      <c r="O326" s="12">
        <v>76090</v>
      </c>
      <c r="P326" s="12">
        <v>32268</v>
      </c>
      <c r="Q326" s="186">
        <f t="shared" si="30"/>
        <v>0.4240767512156657</v>
      </c>
      <c r="R326" s="12">
        <v>77768</v>
      </c>
      <c r="S326" s="12">
        <v>93590</v>
      </c>
      <c r="T326" s="12">
        <v>93590</v>
      </c>
      <c r="U326" s="12"/>
      <c r="V326" s="12"/>
      <c r="W326" s="32">
        <f t="shared" si="28"/>
        <v>93590</v>
      </c>
    </row>
    <row r="327" spans="1:23" ht="12">
      <c r="A327" s="8"/>
      <c r="B327" s="8"/>
      <c r="C327" s="26">
        <v>4120</v>
      </c>
      <c r="D327" s="27" t="s">
        <v>116</v>
      </c>
      <c r="E327" s="11">
        <v>12160</v>
      </c>
      <c r="F327" s="11">
        <v>12160</v>
      </c>
      <c r="G327" s="12">
        <v>13700</v>
      </c>
      <c r="H327" s="12">
        <v>13340</v>
      </c>
      <c r="I327" s="12"/>
      <c r="J327" s="12">
        <v>13340</v>
      </c>
      <c r="K327" s="12">
        <v>14380</v>
      </c>
      <c r="L327" s="12">
        <v>12700</v>
      </c>
      <c r="M327" s="12">
        <v>12500</v>
      </c>
      <c r="N327" s="12">
        <v>12210</v>
      </c>
      <c r="O327" s="12">
        <v>12210</v>
      </c>
      <c r="P327" s="12">
        <v>5106</v>
      </c>
      <c r="Q327" s="186">
        <f t="shared" si="30"/>
        <v>0.41818181818181815</v>
      </c>
      <c r="R327" s="12">
        <v>12210</v>
      </c>
      <c r="S327" s="12">
        <v>15080</v>
      </c>
      <c r="T327" s="12">
        <v>15080</v>
      </c>
      <c r="U327" s="12"/>
      <c r="V327" s="12"/>
      <c r="W327" s="32">
        <f t="shared" si="28"/>
        <v>15080</v>
      </c>
    </row>
    <row r="328" spans="1:23" ht="12">
      <c r="A328" s="8"/>
      <c r="B328" s="8"/>
      <c r="C328" s="26">
        <v>4170</v>
      </c>
      <c r="D328" s="27" t="s">
        <v>69</v>
      </c>
      <c r="E328" s="11">
        <f>510+2000</f>
        <v>2510</v>
      </c>
      <c r="F328" s="11">
        <f>510+2000</f>
        <v>2510</v>
      </c>
      <c r="G328" s="12">
        <v>4200</v>
      </c>
      <c r="H328" s="12">
        <v>2570</v>
      </c>
      <c r="I328" s="12"/>
      <c r="J328" s="12">
        <v>2570</v>
      </c>
      <c r="K328" s="12">
        <v>2570</v>
      </c>
      <c r="L328" s="12">
        <v>2570</v>
      </c>
      <c r="M328" s="12">
        <v>2625</v>
      </c>
      <c r="N328" s="12">
        <v>2630</v>
      </c>
      <c r="O328" s="12">
        <v>2630</v>
      </c>
      <c r="P328" s="12">
        <v>1109</v>
      </c>
      <c r="Q328" s="186">
        <f t="shared" si="30"/>
        <v>0.42167300380228134</v>
      </c>
      <c r="R328" s="12">
        <v>2630</v>
      </c>
      <c r="S328" s="12">
        <v>2630</v>
      </c>
      <c r="T328" s="12">
        <v>2630</v>
      </c>
      <c r="U328" s="12"/>
      <c r="V328" s="12"/>
      <c r="W328" s="32">
        <f t="shared" si="28"/>
        <v>2630</v>
      </c>
    </row>
    <row r="329" spans="1:23" ht="12">
      <c r="A329" s="8"/>
      <c r="B329" s="8"/>
      <c r="C329" s="26">
        <v>4210</v>
      </c>
      <c r="D329" s="27" t="s">
        <v>34</v>
      </c>
      <c r="E329" s="11">
        <f>21700-E344-E343</f>
        <v>17830</v>
      </c>
      <c r="F329" s="11">
        <f>21700-F344-F343</f>
        <v>17830</v>
      </c>
      <c r="G329" s="12">
        <v>40268</v>
      </c>
      <c r="H329" s="12">
        <v>18240</v>
      </c>
      <c r="I329" s="12"/>
      <c r="J329" s="12">
        <v>18240</v>
      </c>
      <c r="K329" s="12">
        <v>18240</v>
      </c>
      <c r="L329" s="12">
        <v>18240</v>
      </c>
      <c r="M329" s="12">
        <v>34838</v>
      </c>
      <c r="N329" s="12">
        <v>18200</v>
      </c>
      <c r="O329" s="12">
        <v>18200</v>
      </c>
      <c r="P329" s="12">
        <v>5293</v>
      </c>
      <c r="Q329" s="186">
        <f t="shared" si="30"/>
        <v>0.2908241758241758</v>
      </c>
      <c r="R329" s="12">
        <v>21472</v>
      </c>
      <c r="S329" s="12">
        <v>21470</v>
      </c>
      <c r="T329" s="12">
        <v>18200</v>
      </c>
      <c r="U329" s="12"/>
      <c r="V329" s="12"/>
      <c r="W329" s="32">
        <f t="shared" si="28"/>
        <v>18200</v>
      </c>
    </row>
    <row r="330" spans="1:23" ht="24" hidden="1">
      <c r="A330" s="8"/>
      <c r="B330" s="8"/>
      <c r="C330" s="26">
        <v>4240</v>
      </c>
      <c r="D330" s="27" t="s">
        <v>117</v>
      </c>
      <c r="E330" s="11">
        <v>0</v>
      </c>
      <c r="F330" s="11">
        <v>30000</v>
      </c>
      <c r="G330" s="12">
        <v>175956</v>
      </c>
      <c r="H330" s="12">
        <v>30690</v>
      </c>
      <c r="I330" s="12"/>
      <c r="J330" s="12">
        <v>0</v>
      </c>
      <c r="K330" s="12">
        <v>0</v>
      </c>
      <c r="L330" s="12">
        <v>0</v>
      </c>
      <c r="M330" s="12">
        <v>10000</v>
      </c>
      <c r="N330" s="12">
        <v>0</v>
      </c>
      <c r="O330" s="12">
        <v>0</v>
      </c>
      <c r="P330" s="12"/>
      <c r="Q330" s="186"/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32">
        <f t="shared" si="28"/>
        <v>0</v>
      </c>
    </row>
    <row r="331" spans="1:23" ht="12">
      <c r="A331" s="8"/>
      <c r="B331" s="8"/>
      <c r="C331" s="26">
        <v>4260</v>
      </c>
      <c r="D331" s="27" t="s">
        <v>35</v>
      </c>
      <c r="E331" s="11">
        <v>78000</v>
      </c>
      <c r="F331" s="11">
        <v>78000</v>
      </c>
      <c r="G331" s="12">
        <v>79794</v>
      </c>
      <c r="H331" s="12">
        <v>79800</v>
      </c>
      <c r="I331" s="12"/>
      <c r="J331" s="12">
        <v>79800</v>
      </c>
      <c r="K331" s="12">
        <v>79800</v>
      </c>
      <c r="L331" s="12">
        <v>79800</v>
      </c>
      <c r="M331" s="12">
        <v>82114</v>
      </c>
      <c r="N331" s="12">
        <v>82120</v>
      </c>
      <c r="O331" s="12">
        <v>82120</v>
      </c>
      <c r="P331" s="12">
        <v>48152</v>
      </c>
      <c r="Q331" s="186">
        <f t="shared" si="30"/>
        <v>0.5863614223088164</v>
      </c>
      <c r="R331" s="12">
        <v>82120</v>
      </c>
      <c r="S331" s="12">
        <v>86230</v>
      </c>
      <c r="T331" s="12">
        <v>86230</v>
      </c>
      <c r="U331" s="12"/>
      <c r="V331" s="12"/>
      <c r="W331" s="32">
        <f t="shared" si="28"/>
        <v>86230</v>
      </c>
    </row>
    <row r="332" spans="1:23" ht="12">
      <c r="A332" s="8"/>
      <c r="B332" s="8"/>
      <c r="C332" s="26">
        <v>4270</v>
      </c>
      <c r="D332" s="27" t="s">
        <v>53</v>
      </c>
      <c r="E332" s="11">
        <v>2600</v>
      </c>
      <c r="F332" s="11">
        <v>22600</v>
      </c>
      <c r="G332" s="12">
        <v>28826</v>
      </c>
      <c r="H332" s="12">
        <v>28830</v>
      </c>
      <c r="I332" s="12"/>
      <c r="J332" s="12">
        <v>2700</v>
      </c>
      <c r="K332" s="12">
        <v>29700</v>
      </c>
      <c r="L332" s="12">
        <v>2700</v>
      </c>
      <c r="M332" s="12">
        <v>40860</v>
      </c>
      <c r="N332" s="12">
        <v>2700</v>
      </c>
      <c r="O332" s="12">
        <v>2700</v>
      </c>
      <c r="P332" s="12">
        <v>274</v>
      </c>
      <c r="Q332" s="186">
        <f t="shared" si="30"/>
        <v>0.10148148148148148</v>
      </c>
      <c r="R332" s="12">
        <v>3700</v>
      </c>
      <c r="S332" s="12">
        <v>3700</v>
      </c>
      <c r="T332" s="12">
        <v>3700</v>
      </c>
      <c r="U332" s="12"/>
      <c r="V332" s="12"/>
      <c r="W332" s="32">
        <f t="shared" si="28"/>
        <v>3700</v>
      </c>
    </row>
    <row r="333" spans="1:23" ht="12">
      <c r="A333" s="8"/>
      <c r="B333" s="8"/>
      <c r="C333" s="26">
        <v>4280</v>
      </c>
      <c r="D333" s="27" t="s">
        <v>37</v>
      </c>
      <c r="E333" s="11">
        <v>1530</v>
      </c>
      <c r="F333" s="11">
        <v>1530</v>
      </c>
      <c r="G333" s="12">
        <v>1565</v>
      </c>
      <c r="H333" s="12">
        <v>1570</v>
      </c>
      <c r="I333" s="12"/>
      <c r="J333" s="12">
        <v>1570</v>
      </c>
      <c r="K333" s="12">
        <v>1570</v>
      </c>
      <c r="L333" s="12">
        <v>1570</v>
      </c>
      <c r="M333" s="12">
        <v>2500</v>
      </c>
      <c r="N333" s="12">
        <v>1500</v>
      </c>
      <c r="O333" s="12">
        <v>1500</v>
      </c>
      <c r="P333" s="12">
        <v>405</v>
      </c>
      <c r="Q333" s="186">
        <f t="shared" si="30"/>
        <v>0.27</v>
      </c>
      <c r="R333" s="12">
        <v>1500</v>
      </c>
      <c r="S333" s="12">
        <v>1500</v>
      </c>
      <c r="T333" s="12">
        <v>1500</v>
      </c>
      <c r="U333" s="12"/>
      <c r="V333" s="12"/>
      <c r="W333" s="32">
        <f t="shared" si="28"/>
        <v>1500</v>
      </c>
    </row>
    <row r="334" spans="1:23" ht="12">
      <c r="A334" s="8"/>
      <c r="B334" s="8"/>
      <c r="C334" s="26">
        <v>4300</v>
      </c>
      <c r="D334" s="27" t="s">
        <v>17</v>
      </c>
      <c r="E334" s="11">
        <f>43640-5610-1530+5920</f>
        <v>42420</v>
      </c>
      <c r="F334" s="11">
        <f>43640-5610-1530+5920</f>
        <v>42420</v>
      </c>
      <c r="G334" s="12">
        <v>46100</v>
      </c>
      <c r="H334" s="12">
        <v>43400</v>
      </c>
      <c r="I334" s="12"/>
      <c r="J334" s="12">
        <v>43400</v>
      </c>
      <c r="K334" s="12">
        <v>43467</v>
      </c>
      <c r="L334" s="12">
        <v>43467</v>
      </c>
      <c r="M334" s="12">
        <v>50825</v>
      </c>
      <c r="N334" s="12">
        <v>43400</v>
      </c>
      <c r="O334" s="12">
        <v>43400</v>
      </c>
      <c r="P334" s="12">
        <v>19846</v>
      </c>
      <c r="Q334" s="186">
        <f t="shared" si="30"/>
        <v>0.4572811059907834</v>
      </c>
      <c r="R334" s="12">
        <v>45400</v>
      </c>
      <c r="S334" s="12">
        <v>46220</v>
      </c>
      <c r="T334" s="12">
        <v>45220</v>
      </c>
      <c r="U334" s="12"/>
      <c r="V334" s="12"/>
      <c r="W334" s="32">
        <f t="shared" si="28"/>
        <v>45220</v>
      </c>
    </row>
    <row r="335" spans="1:23" ht="24">
      <c r="A335" s="8"/>
      <c r="B335" s="8"/>
      <c r="C335" s="26">
        <v>4350</v>
      </c>
      <c r="D335" s="27" t="s">
        <v>38</v>
      </c>
      <c r="E335" s="11">
        <v>5100</v>
      </c>
      <c r="F335" s="11">
        <v>5100</v>
      </c>
      <c r="G335" s="12">
        <v>5217</v>
      </c>
      <c r="H335" s="12">
        <v>5220</v>
      </c>
      <c r="I335" s="12"/>
      <c r="J335" s="12">
        <v>5220</v>
      </c>
      <c r="K335" s="12">
        <v>5220</v>
      </c>
      <c r="L335" s="12">
        <v>5220</v>
      </c>
      <c r="M335" s="12">
        <v>5371</v>
      </c>
      <c r="N335" s="12">
        <v>5220</v>
      </c>
      <c r="O335" s="12">
        <v>5220</v>
      </c>
      <c r="P335" s="12">
        <v>348</v>
      </c>
      <c r="Q335" s="186">
        <f t="shared" si="30"/>
        <v>0.06666666666666667</v>
      </c>
      <c r="R335" s="12">
        <v>3220</v>
      </c>
      <c r="S335" s="12">
        <v>3220</v>
      </c>
      <c r="T335" s="12">
        <v>2220</v>
      </c>
      <c r="U335" s="12"/>
      <c r="V335" s="12"/>
      <c r="W335" s="32">
        <f t="shared" si="28"/>
        <v>2220</v>
      </c>
    </row>
    <row r="336" spans="1:23" ht="36">
      <c r="A336" s="8"/>
      <c r="B336" s="8"/>
      <c r="C336" s="26">
        <v>4360</v>
      </c>
      <c r="D336" s="27" t="s">
        <v>130</v>
      </c>
      <c r="E336" s="11"/>
      <c r="F336" s="11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86"/>
      <c r="R336" s="12"/>
      <c r="S336" s="12"/>
      <c r="T336" s="12">
        <v>1000</v>
      </c>
      <c r="U336" s="12"/>
      <c r="V336" s="12"/>
      <c r="W336" s="32">
        <f t="shared" si="28"/>
        <v>1000</v>
      </c>
    </row>
    <row r="337" spans="1:23" ht="24">
      <c r="A337" s="8"/>
      <c r="B337" s="8"/>
      <c r="C337" s="26">
        <v>4370</v>
      </c>
      <c r="D337" s="27" t="s">
        <v>40</v>
      </c>
      <c r="E337" s="11">
        <v>5610</v>
      </c>
      <c r="F337" s="11">
        <v>5610</v>
      </c>
      <c r="G337" s="12">
        <v>5739</v>
      </c>
      <c r="H337" s="12">
        <v>5740</v>
      </c>
      <c r="I337" s="12"/>
      <c r="J337" s="12">
        <v>5740</v>
      </c>
      <c r="K337" s="12">
        <v>5740</v>
      </c>
      <c r="L337" s="12">
        <v>5740</v>
      </c>
      <c r="M337" s="12">
        <v>5906</v>
      </c>
      <c r="N337" s="12">
        <v>5910</v>
      </c>
      <c r="O337" s="12">
        <v>5910</v>
      </c>
      <c r="P337" s="12">
        <v>1637</v>
      </c>
      <c r="Q337" s="186">
        <f t="shared" si="30"/>
        <v>0.2769881556683587</v>
      </c>
      <c r="R337" s="12">
        <v>3910</v>
      </c>
      <c r="S337" s="12">
        <v>3910</v>
      </c>
      <c r="T337" s="12">
        <v>3910</v>
      </c>
      <c r="U337" s="12"/>
      <c r="V337" s="12"/>
      <c r="W337" s="32">
        <f t="shared" si="28"/>
        <v>3910</v>
      </c>
    </row>
    <row r="338" spans="1:23" ht="12">
      <c r="A338" s="8"/>
      <c r="B338" s="8"/>
      <c r="C338" s="26">
        <v>4410</v>
      </c>
      <c r="D338" s="27" t="s">
        <v>42</v>
      </c>
      <c r="E338" s="11">
        <v>1000</v>
      </c>
      <c r="F338" s="11">
        <v>1000</v>
      </c>
      <c r="G338" s="12">
        <v>1023</v>
      </c>
      <c r="H338" s="12">
        <v>1030</v>
      </c>
      <c r="I338" s="12"/>
      <c r="J338" s="12">
        <v>1030</v>
      </c>
      <c r="K338" s="12">
        <v>1030</v>
      </c>
      <c r="L338" s="12">
        <v>1030</v>
      </c>
      <c r="M338" s="12">
        <v>1060</v>
      </c>
      <c r="N338" s="12">
        <v>1060</v>
      </c>
      <c r="O338" s="12">
        <v>1060</v>
      </c>
      <c r="P338" s="12">
        <v>501</v>
      </c>
      <c r="Q338" s="186">
        <f t="shared" si="30"/>
        <v>0.47264150943396227</v>
      </c>
      <c r="R338" s="12">
        <v>1060</v>
      </c>
      <c r="S338" s="12">
        <v>1060</v>
      </c>
      <c r="T338" s="12">
        <v>1060</v>
      </c>
      <c r="U338" s="12"/>
      <c r="V338" s="12"/>
      <c r="W338" s="32">
        <f t="shared" si="28"/>
        <v>1060</v>
      </c>
    </row>
    <row r="339" spans="1:23" ht="12">
      <c r="A339" s="8"/>
      <c r="B339" s="8"/>
      <c r="C339" s="26">
        <v>4430</v>
      </c>
      <c r="D339" s="27" t="s">
        <v>43</v>
      </c>
      <c r="E339" s="11">
        <v>3670</v>
      </c>
      <c r="F339" s="11">
        <v>3670</v>
      </c>
      <c r="G339" s="12">
        <v>3754</v>
      </c>
      <c r="H339" s="12">
        <v>3760</v>
      </c>
      <c r="I339" s="12"/>
      <c r="J339" s="12">
        <v>3760</v>
      </c>
      <c r="K339" s="12">
        <v>3760</v>
      </c>
      <c r="L339" s="12">
        <v>3760</v>
      </c>
      <c r="M339" s="12">
        <v>3869</v>
      </c>
      <c r="N339" s="12">
        <v>3870</v>
      </c>
      <c r="O339" s="12">
        <v>3870</v>
      </c>
      <c r="P339" s="12">
        <v>2000</v>
      </c>
      <c r="Q339" s="186">
        <f t="shared" si="30"/>
        <v>0.5167958656330749</v>
      </c>
      <c r="R339" s="12">
        <v>3870</v>
      </c>
      <c r="S339" s="12">
        <v>3870</v>
      </c>
      <c r="T339" s="12">
        <v>3870</v>
      </c>
      <c r="U339" s="12"/>
      <c r="V339" s="12"/>
      <c r="W339" s="32">
        <f t="shared" si="28"/>
        <v>3870</v>
      </c>
    </row>
    <row r="340" spans="1:23" ht="24">
      <c r="A340" s="8"/>
      <c r="B340" s="8"/>
      <c r="C340" s="26">
        <v>4440</v>
      </c>
      <c r="D340" s="27" t="s">
        <v>44</v>
      </c>
      <c r="E340" s="11">
        <v>24220</v>
      </c>
      <c r="F340" s="11">
        <v>24220</v>
      </c>
      <c r="G340" s="12">
        <v>25673</v>
      </c>
      <c r="H340" s="12">
        <v>25820</v>
      </c>
      <c r="I340" s="12"/>
      <c r="J340" s="12">
        <v>25820</v>
      </c>
      <c r="K340" s="12">
        <v>25820</v>
      </c>
      <c r="L340" s="12">
        <v>23044</v>
      </c>
      <c r="M340" s="12">
        <v>27095</v>
      </c>
      <c r="N340" s="12">
        <v>23940</v>
      </c>
      <c r="O340" s="12">
        <v>23940</v>
      </c>
      <c r="P340" s="12">
        <v>17159</v>
      </c>
      <c r="Q340" s="186">
        <f t="shared" si="30"/>
        <v>0.716750208855472</v>
      </c>
      <c r="R340" s="12">
        <v>23334</v>
      </c>
      <c r="S340" s="12">
        <v>26260</v>
      </c>
      <c r="T340" s="12">
        <v>26260</v>
      </c>
      <c r="U340" s="12"/>
      <c r="V340" s="12"/>
      <c r="W340" s="32">
        <f t="shared" si="28"/>
        <v>26260</v>
      </c>
    </row>
    <row r="341" spans="1:23" ht="12">
      <c r="A341" s="8"/>
      <c r="B341" s="8"/>
      <c r="C341" s="26">
        <v>4510</v>
      </c>
      <c r="D341" s="27" t="s">
        <v>91</v>
      </c>
      <c r="E341" s="11">
        <v>0</v>
      </c>
      <c r="F341" s="11">
        <v>0</v>
      </c>
      <c r="G341" s="12">
        <v>300</v>
      </c>
      <c r="H341" s="12">
        <v>300</v>
      </c>
      <c r="I341" s="12"/>
      <c r="J341" s="12">
        <v>300</v>
      </c>
      <c r="K341" s="12">
        <v>300</v>
      </c>
      <c r="L341" s="12">
        <v>0</v>
      </c>
      <c r="M341" s="12">
        <v>310</v>
      </c>
      <c r="N341" s="12">
        <v>310</v>
      </c>
      <c r="O341" s="12">
        <v>310</v>
      </c>
      <c r="P341" s="12">
        <v>50</v>
      </c>
      <c r="Q341" s="186">
        <f t="shared" si="30"/>
        <v>0.16129032258064516</v>
      </c>
      <c r="R341" s="12">
        <v>310</v>
      </c>
      <c r="S341" s="12">
        <v>310</v>
      </c>
      <c r="T341" s="12">
        <v>310</v>
      </c>
      <c r="U341" s="12"/>
      <c r="V341" s="12"/>
      <c r="W341" s="32">
        <f t="shared" si="28"/>
        <v>310</v>
      </c>
    </row>
    <row r="342" spans="1:23" ht="36">
      <c r="A342" s="8"/>
      <c r="B342" s="8"/>
      <c r="C342" s="26">
        <v>4700</v>
      </c>
      <c r="D342" s="27" t="s">
        <v>46</v>
      </c>
      <c r="E342" s="11">
        <v>1530</v>
      </c>
      <c r="F342" s="11">
        <v>1530</v>
      </c>
      <c r="G342" s="12">
        <v>1565</v>
      </c>
      <c r="H342" s="12">
        <v>1570</v>
      </c>
      <c r="I342" s="12"/>
      <c r="J342" s="12">
        <v>1570</v>
      </c>
      <c r="K342" s="12">
        <v>1570</v>
      </c>
      <c r="L342" s="12">
        <v>1570</v>
      </c>
      <c r="M342" s="12">
        <v>1615</v>
      </c>
      <c r="N342" s="12">
        <v>1000</v>
      </c>
      <c r="O342" s="12">
        <v>1000</v>
      </c>
      <c r="P342" s="12">
        <v>585</v>
      </c>
      <c r="Q342" s="186">
        <f t="shared" si="30"/>
        <v>0.585</v>
      </c>
      <c r="R342" s="12">
        <v>1000</v>
      </c>
      <c r="S342" s="12">
        <v>1000</v>
      </c>
      <c r="T342" s="12">
        <v>2000</v>
      </c>
      <c r="U342" s="12"/>
      <c r="V342" s="12"/>
      <c r="W342" s="32">
        <f t="shared" si="28"/>
        <v>2000</v>
      </c>
    </row>
    <row r="343" spans="1:23" ht="36">
      <c r="A343" s="8"/>
      <c r="B343" s="8"/>
      <c r="C343" s="26">
        <v>4740</v>
      </c>
      <c r="D343" s="27" t="s">
        <v>73</v>
      </c>
      <c r="E343" s="11">
        <v>1530</v>
      </c>
      <c r="F343" s="11">
        <v>1530</v>
      </c>
      <c r="G343" s="12">
        <v>1565</v>
      </c>
      <c r="H343" s="12">
        <v>1570</v>
      </c>
      <c r="I343" s="12"/>
      <c r="J343" s="12">
        <v>1570</v>
      </c>
      <c r="K343" s="12">
        <v>1570</v>
      </c>
      <c r="L343" s="12">
        <v>1570</v>
      </c>
      <c r="M343" s="12">
        <v>1616</v>
      </c>
      <c r="N343" s="12">
        <v>1500</v>
      </c>
      <c r="O343" s="12">
        <v>1500</v>
      </c>
      <c r="P343" s="12">
        <v>375</v>
      </c>
      <c r="Q343" s="186">
        <f t="shared" si="30"/>
        <v>0.25</v>
      </c>
      <c r="R343" s="12">
        <v>1500</v>
      </c>
      <c r="S343" s="12">
        <v>1500</v>
      </c>
      <c r="T343" s="12">
        <v>1500</v>
      </c>
      <c r="U343" s="12"/>
      <c r="V343" s="12"/>
      <c r="W343" s="32">
        <f t="shared" si="28"/>
        <v>1500</v>
      </c>
    </row>
    <row r="344" spans="1:23" ht="24">
      <c r="A344" s="8"/>
      <c r="B344" s="8"/>
      <c r="C344" s="26">
        <v>4750</v>
      </c>
      <c r="D344" s="27" t="s">
        <v>118</v>
      </c>
      <c r="E344" s="11">
        <v>2340</v>
      </c>
      <c r="F344" s="11">
        <v>2340</v>
      </c>
      <c r="G344" s="12">
        <v>2394</v>
      </c>
      <c r="H344" s="12">
        <v>2400</v>
      </c>
      <c r="I344" s="12"/>
      <c r="J344" s="12">
        <v>2400</v>
      </c>
      <c r="K344" s="12">
        <v>2823</v>
      </c>
      <c r="L344" s="12">
        <v>2823</v>
      </c>
      <c r="M344" s="12">
        <v>5800</v>
      </c>
      <c r="N344" s="12">
        <v>2000</v>
      </c>
      <c r="O344" s="12">
        <v>2000</v>
      </c>
      <c r="P344" s="12">
        <v>1282</v>
      </c>
      <c r="Q344" s="186">
        <f t="shared" si="30"/>
        <v>0.641</v>
      </c>
      <c r="R344" s="12">
        <v>4000</v>
      </c>
      <c r="S344" s="12">
        <v>4000</v>
      </c>
      <c r="T344" s="12">
        <v>4000</v>
      </c>
      <c r="U344" s="12"/>
      <c r="V344" s="12"/>
      <c r="W344" s="32">
        <f t="shared" si="28"/>
        <v>4000</v>
      </c>
    </row>
    <row r="345" spans="1:23" ht="76.5">
      <c r="A345" s="8"/>
      <c r="B345" s="8"/>
      <c r="C345" s="26">
        <v>6300</v>
      </c>
      <c r="D345" s="243" t="s">
        <v>349</v>
      </c>
      <c r="E345" s="11"/>
      <c r="F345" s="11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86"/>
      <c r="R345" s="12"/>
      <c r="S345" s="12">
        <v>209000</v>
      </c>
      <c r="T345" s="12">
        <v>88900</v>
      </c>
      <c r="U345" s="12"/>
      <c r="V345" s="12"/>
      <c r="W345" s="32">
        <f t="shared" si="28"/>
        <v>88900</v>
      </c>
    </row>
    <row r="346" spans="1:23" ht="12.75">
      <c r="A346" s="8"/>
      <c r="B346" s="8"/>
      <c r="C346" s="26" t="s">
        <v>145</v>
      </c>
      <c r="D346" s="244"/>
      <c r="E346" s="11"/>
      <c r="F346" s="11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86"/>
      <c r="R346" s="12"/>
      <c r="S346" s="12"/>
      <c r="T346" s="12">
        <v>0</v>
      </c>
      <c r="U346" s="12"/>
      <c r="V346" s="12"/>
      <c r="W346" s="32">
        <f t="shared" si="28"/>
        <v>0</v>
      </c>
    </row>
    <row r="347" spans="1:23" ht="12">
      <c r="A347" s="8"/>
      <c r="B347" s="8"/>
      <c r="C347" s="26"/>
      <c r="D347" s="27" t="s">
        <v>115</v>
      </c>
      <c r="E347" s="55"/>
      <c r="F347" s="55"/>
      <c r="G347" s="56"/>
      <c r="H347" s="56"/>
      <c r="I347" s="56"/>
      <c r="J347" s="56"/>
      <c r="K347" s="56"/>
      <c r="L347" s="56"/>
      <c r="M347" s="56"/>
      <c r="N347" s="59">
        <f>SUM(N348:N369)</f>
        <v>798720</v>
      </c>
      <c r="O347" s="56"/>
      <c r="P347" s="56"/>
      <c r="Q347" s="186"/>
      <c r="R347" s="56"/>
      <c r="S347" s="56"/>
      <c r="T347" s="59">
        <v>928057</v>
      </c>
      <c r="U347" s="59">
        <f>SUM(U348:U369)</f>
        <v>0</v>
      </c>
      <c r="V347" s="59">
        <f>SUM(V348:V369)</f>
        <v>0</v>
      </c>
      <c r="W347" s="32">
        <f t="shared" si="28"/>
        <v>928057</v>
      </c>
    </row>
    <row r="348" spans="1:23" ht="24">
      <c r="A348" s="8"/>
      <c r="B348" s="8"/>
      <c r="C348" s="26">
        <v>3020</v>
      </c>
      <c r="D348" s="27" t="s">
        <v>68</v>
      </c>
      <c r="E348" s="11">
        <v>6150</v>
      </c>
      <c r="F348" s="11">
        <v>6150</v>
      </c>
      <c r="G348" s="12">
        <v>7191</v>
      </c>
      <c r="H348" s="12">
        <v>6290</v>
      </c>
      <c r="I348" s="12"/>
      <c r="J348" s="12">
        <v>6290</v>
      </c>
      <c r="K348" s="12">
        <v>6290</v>
      </c>
      <c r="L348" s="12">
        <v>6290</v>
      </c>
      <c r="M348" s="12">
        <v>6472</v>
      </c>
      <c r="N348" s="12">
        <v>6470</v>
      </c>
      <c r="O348" s="12">
        <v>6470</v>
      </c>
      <c r="P348" s="12">
        <v>170</v>
      </c>
      <c r="Q348" s="186">
        <f aca="true" t="shared" si="36" ref="Q348:Q354">P348/O348</f>
        <v>0.02627511591962906</v>
      </c>
      <c r="R348" s="12">
        <v>6470</v>
      </c>
      <c r="S348" s="12">
        <v>6730</v>
      </c>
      <c r="T348" s="12">
        <v>6730</v>
      </c>
      <c r="U348" s="12"/>
      <c r="V348" s="12"/>
      <c r="W348" s="32">
        <f t="shared" si="28"/>
        <v>6730</v>
      </c>
    </row>
    <row r="349" spans="1:23" ht="24">
      <c r="A349" s="8"/>
      <c r="B349" s="8"/>
      <c r="C349" s="26">
        <v>4010</v>
      </c>
      <c r="D349" s="27" t="s">
        <v>29</v>
      </c>
      <c r="E349" s="11">
        <v>471470</v>
      </c>
      <c r="F349" s="11">
        <v>471470</v>
      </c>
      <c r="G349" s="12">
        <v>517300</v>
      </c>
      <c r="H349" s="12">
        <v>517300</v>
      </c>
      <c r="I349" s="12">
        <v>517300</v>
      </c>
      <c r="J349" s="12">
        <v>517300</v>
      </c>
      <c r="K349" s="12">
        <v>559730</v>
      </c>
      <c r="L349" s="12">
        <v>477738</v>
      </c>
      <c r="M349" s="12">
        <v>467973</v>
      </c>
      <c r="N349" s="12">
        <v>467980</v>
      </c>
      <c r="O349" s="12">
        <v>467980</v>
      </c>
      <c r="P349" s="12">
        <v>195515</v>
      </c>
      <c r="Q349" s="186">
        <f t="shared" si="36"/>
        <v>0.41778494807470407</v>
      </c>
      <c r="R349" s="12">
        <v>469564</v>
      </c>
      <c r="S349" s="12">
        <v>588430</v>
      </c>
      <c r="T349" s="12">
        <v>568947</v>
      </c>
      <c r="U349" s="12"/>
      <c r="V349" s="12"/>
      <c r="W349" s="32">
        <f t="shared" si="28"/>
        <v>568947</v>
      </c>
    </row>
    <row r="350" spans="1:23" ht="12">
      <c r="A350" s="8"/>
      <c r="B350" s="8"/>
      <c r="C350" s="26">
        <v>4040</v>
      </c>
      <c r="D350" s="27" t="s">
        <v>30</v>
      </c>
      <c r="E350" s="11">
        <v>35240</v>
      </c>
      <c r="F350" s="11">
        <v>35240</v>
      </c>
      <c r="G350" s="12">
        <v>38500</v>
      </c>
      <c r="H350" s="12">
        <v>38500</v>
      </c>
      <c r="I350" s="12"/>
      <c r="J350" s="12">
        <v>38500</v>
      </c>
      <c r="K350" s="12">
        <v>38500</v>
      </c>
      <c r="L350" s="12">
        <v>38330</v>
      </c>
      <c r="M350" s="12">
        <v>40608</v>
      </c>
      <c r="N350" s="12">
        <v>40610</v>
      </c>
      <c r="O350" s="12">
        <v>40610</v>
      </c>
      <c r="P350" s="12">
        <v>36338</v>
      </c>
      <c r="Q350" s="186">
        <f t="shared" si="36"/>
        <v>0.8948042354099975</v>
      </c>
      <c r="R350" s="12">
        <v>36338</v>
      </c>
      <c r="S350" s="12">
        <v>40100</v>
      </c>
      <c r="T350" s="12">
        <v>40100</v>
      </c>
      <c r="U350" s="12"/>
      <c r="V350" s="12"/>
      <c r="W350" s="32">
        <f t="shared" si="28"/>
        <v>40100</v>
      </c>
    </row>
    <row r="351" spans="1:23" ht="24">
      <c r="A351" s="8"/>
      <c r="B351" s="8"/>
      <c r="C351" s="26">
        <v>4110</v>
      </c>
      <c r="D351" s="27" t="s">
        <v>113</v>
      </c>
      <c r="E351" s="11">
        <v>85530</v>
      </c>
      <c r="F351" s="11">
        <v>85530</v>
      </c>
      <c r="G351" s="12">
        <v>85620</v>
      </c>
      <c r="H351" s="12">
        <v>76920</v>
      </c>
      <c r="I351" s="12"/>
      <c r="J351" s="12">
        <v>76920</v>
      </c>
      <c r="K351" s="12">
        <v>83000</v>
      </c>
      <c r="L351" s="12">
        <v>81000</v>
      </c>
      <c r="M351" s="12">
        <v>78800</v>
      </c>
      <c r="N351" s="12">
        <v>76090</v>
      </c>
      <c r="O351" s="12">
        <v>76090</v>
      </c>
      <c r="P351" s="12">
        <v>32268</v>
      </c>
      <c r="Q351" s="186">
        <f t="shared" si="36"/>
        <v>0.4240767512156657</v>
      </c>
      <c r="R351" s="12">
        <v>77768</v>
      </c>
      <c r="S351" s="12">
        <v>93590</v>
      </c>
      <c r="T351" s="12">
        <v>93590</v>
      </c>
      <c r="U351" s="12"/>
      <c r="V351" s="12"/>
      <c r="W351" s="32">
        <f aca="true" t="shared" si="37" ref="W351:W415">T351+U351-V351</f>
        <v>93590</v>
      </c>
    </row>
    <row r="352" spans="1:23" ht="12">
      <c r="A352" s="8"/>
      <c r="B352" s="8"/>
      <c r="C352" s="26">
        <v>4120</v>
      </c>
      <c r="D352" s="27" t="s">
        <v>116</v>
      </c>
      <c r="E352" s="11">
        <v>12160</v>
      </c>
      <c r="F352" s="11">
        <v>12160</v>
      </c>
      <c r="G352" s="12">
        <v>13700</v>
      </c>
      <c r="H352" s="12">
        <v>13340</v>
      </c>
      <c r="I352" s="12"/>
      <c r="J352" s="12">
        <v>13340</v>
      </c>
      <c r="K352" s="12">
        <v>14380</v>
      </c>
      <c r="L352" s="12">
        <v>12700</v>
      </c>
      <c r="M352" s="12">
        <v>12500</v>
      </c>
      <c r="N352" s="12">
        <v>12210</v>
      </c>
      <c r="O352" s="12">
        <v>12210</v>
      </c>
      <c r="P352" s="12">
        <v>5106</v>
      </c>
      <c r="Q352" s="186">
        <f t="shared" si="36"/>
        <v>0.41818181818181815</v>
      </c>
      <c r="R352" s="12">
        <v>12210</v>
      </c>
      <c r="S352" s="12">
        <v>15080</v>
      </c>
      <c r="T352" s="12">
        <v>15080</v>
      </c>
      <c r="U352" s="12"/>
      <c r="V352" s="12"/>
      <c r="W352" s="32">
        <f t="shared" si="37"/>
        <v>15080</v>
      </c>
    </row>
    <row r="353" spans="1:23" ht="12">
      <c r="A353" s="8"/>
      <c r="B353" s="8"/>
      <c r="C353" s="26">
        <v>4170</v>
      </c>
      <c r="D353" s="27" t="s">
        <v>69</v>
      </c>
      <c r="E353" s="11">
        <f>510+2000</f>
        <v>2510</v>
      </c>
      <c r="F353" s="11">
        <f>510+2000</f>
        <v>2510</v>
      </c>
      <c r="G353" s="12">
        <v>4200</v>
      </c>
      <c r="H353" s="12">
        <v>2570</v>
      </c>
      <c r="I353" s="12"/>
      <c r="J353" s="12">
        <v>2570</v>
      </c>
      <c r="K353" s="12">
        <v>2570</v>
      </c>
      <c r="L353" s="12">
        <v>2570</v>
      </c>
      <c r="M353" s="12">
        <v>2625</v>
      </c>
      <c r="N353" s="12">
        <v>2630</v>
      </c>
      <c r="O353" s="12">
        <v>2630</v>
      </c>
      <c r="P353" s="12">
        <v>1109</v>
      </c>
      <c r="Q353" s="186">
        <f t="shared" si="36"/>
        <v>0.42167300380228134</v>
      </c>
      <c r="R353" s="12">
        <v>2630</v>
      </c>
      <c r="S353" s="12">
        <v>2630</v>
      </c>
      <c r="T353" s="12">
        <v>2630</v>
      </c>
      <c r="U353" s="12"/>
      <c r="V353" s="12"/>
      <c r="W353" s="32">
        <f t="shared" si="37"/>
        <v>2630</v>
      </c>
    </row>
    <row r="354" spans="1:23" ht="12">
      <c r="A354" s="8"/>
      <c r="B354" s="8"/>
      <c r="C354" s="26">
        <v>4210</v>
      </c>
      <c r="D354" s="27" t="s">
        <v>34</v>
      </c>
      <c r="E354" s="11">
        <f>21700-E369-E368</f>
        <v>17830</v>
      </c>
      <c r="F354" s="11">
        <f>21700-F369-F368</f>
        <v>17830</v>
      </c>
      <c r="G354" s="12">
        <v>40268</v>
      </c>
      <c r="H354" s="12">
        <v>18240</v>
      </c>
      <c r="I354" s="12"/>
      <c r="J354" s="12">
        <v>18240</v>
      </c>
      <c r="K354" s="12">
        <v>18240</v>
      </c>
      <c r="L354" s="12">
        <v>18240</v>
      </c>
      <c r="M354" s="12">
        <v>34838</v>
      </c>
      <c r="N354" s="12">
        <v>18200</v>
      </c>
      <c r="O354" s="12">
        <v>18200</v>
      </c>
      <c r="P354" s="12">
        <v>5293</v>
      </c>
      <c r="Q354" s="186">
        <f t="shared" si="36"/>
        <v>0.2908241758241758</v>
      </c>
      <c r="R354" s="12">
        <v>21472</v>
      </c>
      <c r="S354" s="12">
        <v>21470</v>
      </c>
      <c r="T354" s="12">
        <v>18200</v>
      </c>
      <c r="U354" s="12"/>
      <c r="V354" s="12"/>
      <c r="W354" s="32">
        <f t="shared" si="37"/>
        <v>18200</v>
      </c>
    </row>
    <row r="355" spans="1:23" ht="24">
      <c r="A355" s="8"/>
      <c r="B355" s="8"/>
      <c r="C355" s="26">
        <v>4240</v>
      </c>
      <c r="D355" s="27" t="s">
        <v>117</v>
      </c>
      <c r="E355" s="11">
        <v>0</v>
      </c>
      <c r="F355" s="11">
        <v>30000</v>
      </c>
      <c r="G355" s="12">
        <v>175956</v>
      </c>
      <c r="H355" s="12">
        <v>30690</v>
      </c>
      <c r="I355" s="12"/>
      <c r="J355" s="12">
        <v>0</v>
      </c>
      <c r="K355" s="12">
        <v>0</v>
      </c>
      <c r="L355" s="12">
        <v>0</v>
      </c>
      <c r="M355" s="12">
        <v>10000</v>
      </c>
      <c r="N355" s="12">
        <v>0</v>
      </c>
      <c r="O355" s="12">
        <v>0</v>
      </c>
      <c r="P355" s="12"/>
      <c r="Q355" s="186"/>
      <c r="R355" s="12">
        <v>0</v>
      </c>
      <c r="S355" s="12">
        <v>0</v>
      </c>
      <c r="T355" s="12">
        <v>0</v>
      </c>
      <c r="U355" s="12"/>
      <c r="V355" s="12"/>
      <c r="W355" s="32">
        <f t="shared" si="37"/>
        <v>0</v>
      </c>
    </row>
    <row r="356" spans="1:23" ht="12">
      <c r="A356" s="8"/>
      <c r="B356" s="8"/>
      <c r="C356" s="26">
        <v>4260</v>
      </c>
      <c r="D356" s="27" t="s">
        <v>35</v>
      </c>
      <c r="E356" s="11">
        <v>78000</v>
      </c>
      <c r="F356" s="11">
        <v>78000</v>
      </c>
      <c r="G356" s="12">
        <v>79794</v>
      </c>
      <c r="H356" s="12">
        <v>79800</v>
      </c>
      <c r="I356" s="12"/>
      <c r="J356" s="12">
        <v>79800</v>
      </c>
      <c r="K356" s="12">
        <v>79800</v>
      </c>
      <c r="L356" s="12">
        <v>79800</v>
      </c>
      <c r="M356" s="12">
        <v>82114</v>
      </c>
      <c r="N356" s="12">
        <v>82120</v>
      </c>
      <c r="O356" s="12">
        <v>82120</v>
      </c>
      <c r="P356" s="12">
        <v>48152</v>
      </c>
      <c r="Q356" s="186">
        <f aca="true" t="shared" si="38" ref="Q356:Q369">P356/O356</f>
        <v>0.5863614223088164</v>
      </c>
      <c r="R356" s="12">
        <v>82120</v>
      </c>
      <c r="S356" s="12">
        <v>86230</v>
      </c>
      <c r="T356" s="12">
        <v>86230</v>
      </c>
      <c r="U356" s="12"/>
      <c r="V356" s="12"/>
      <c r="W356" s="32">
        <f t="shared" si="37"/>
        <v>86230</v>
      </c>
    </row>
    <row r="357" spans="1:23" ht="12">
      <c r="A357" s="8"/>
      <c r="B357" s="8"/>
      <c r="C357" s="26">
        <v>4270</v>
      </c>
      <c r="D357" s="27" t="s">
        <v>53</v>
      </c>
      <c r="E357" s="11">
        <v>2600</v>
      </c>
      <c r="F357" s="11">
        <v>22600</v>
      </c>
      <c r="G357" s="12">
        <v>28826</v>
      </c>
      <c r="H357" s="12">
        <v>28830</v>
      </c>
      <c r="I357" s="12"/>
      <c r="J357" s="12">
        <v>2700</v>
      </c>
      <c r="K357" s="12">
        <v>29700</v>
      </c>
      <c r="L357" s="12">
        <v>2700</v>
      </c>
      <c r="M357" s="12">
        <v>40860</v>
      </c>
      <c r="N357" s="12">
        <v>2700</v>
      </c>
      <c r="O357" s="12">
        <v>2700</v>
      </c>
      <c r="P357" s="12">
        <v>274</v>
      </c>
      <c r="Q357" s="186">
        <f t="shared" si="38"/>
        <v>0.10148148148148148</v>
      </c>
      <c r="R357" s="12">
        <v>3700</v>
      </c>
      <c r="S357" s="12">
        <v>3700</v>
      </c>
      <c r="T357" s="12">
        <v>3700</v>
      </c>
      <c r="U357" s="12"/>
      <c r="V357" s="12"/>
      <c r="W357" s="32">
        <f t="shared" si="37"/>
        <v>3700</v>
      </c>
    </row>
    <row r="358" spans="1:23" ht="12">
      <c r="A358" s="8"/>
      <c r="B358" s="8"/>
      <c r="C358" s="26">
        <v>4280</v>
      </c>
      <c r="D358" s="27" t="s">
        <v>37</v>
      </c>
      <c r="E358" s="11">
        <v>1530</v>
      </c>
      <c r="F358" s="11">
        <v>1530</v>
      </c>
      <c r="G358" s="12">
        <v>1565</v>
      </c>
      <c r="H358" s="12">
        <v>1570</v>
      </c>
      <c r="I358" s="12"/>
      <c r="J358" s="12">
        <v>1570</v>
      </c>
      <c r="K358" s="12">
        <v>1570</v>
      </c>
      <c r="L358" s="12">
        <v>1570</v>
      </c>
      <c r="M358" s="12">
        <v>2500</v>
      </c>
      <c r="N358" s="12">
        <v>1500</v>
      </c>
      <c r="O358" s="12">
        <v>1500</v>
      </c>
      <c r="P358" s="12">
        <v>405</v>
      </c>
      <c r="Q358" s="186">
        <f t="shared" si="38"/>
        <v>0.27</v>
      </c>
      <c r="R358" s="12">
        <v>1500</v>
      </c>
      <c r="S358" s="12">
        <v>1500</v>
      </c>
      <c r="T358" s="12">
        <v>1500</v>
      </c>
      <c r="U358" s="12"/>
      <c r="V358" s="12"/>
      <c r="W358" s="32">
        <f t="shared" si="37"/>
        <v>1500</v>
      </c>
    </row>
    <row r="359" spans="1:23" ht="12">
      <c r="A359" s="8"/>
      <c r="B359" s="8"/>
      <c r="C359" s="26">
        <v>4300</v>
      </c>
      <c r="D359" s="27" t="s">
        <v>17</v>
      </c>
      <c r="E359" s="11">
        <f>43640-5610-1530+5920</f>
        <v>42420</v>
      </c>
      <c r="F359" s="11">
        <f>43640-5610-1530+5920</f>
        <v>42420</v>
      </c>
      <c r="G359" s="12">
        <v>46100</v>
      </c>
      <c r="H359" s="12">
        <v>43400</v>
      </c>
      <c r="I359" s="12"/>
      <c r="J359" s="12">
        <v>43400</v>
      </c>
      <c r="K359" s="12">
        <v>43467</v>
      </c>
      <c r="L359" s="12">
        <v>43467</v>
      </c>
      <c r="M359" s="12">
        <v>50825</v>
      </c>
      <c r="N359" s="12">
        <v>43400</v>
      </c>
      <c r="O359" s="12">
        <v>43400</v>
      </c>
      <c r="P359" s="12">
        <v>19846</v>
      </c>
      <c r="Q359" s="186">
        <f t="shared" si="38"/>
        <v>0.4572811059907834</v>
      </c>
      <c r="R359" s="12">
        <v>45400</v>
      </c>
      <c r="S359" s="12">
        <v>46220</v>
      </c>
      <c r="T359" s="12">
        <v>45220</v>
      </c>
      <c r="U359" s="12"/>
      <c r="V359" s="12"/>
      <c r="W359" s="32">
        <f t="shared" si="37"/>
        <v>45220</v>
      </c>
    </row>
    <row r="360" spans="1:23" ht="24">
      <c r="A360" s="8"/>
      <c r="B360" s="8"/>
      <c r="C360" s="26">
        <v>4350</v>
      </c>
      <c r="D360" s="27" t="s">
        <v>38</v>
      </c>
      <c r="E360" s="11">
        <v>5100</v>
      </c>
      <c r="F360" s="11">
        <v>5100</v>
      </c>
      <c r="G360" s="12">
        <v>5217</v>
      </c>
      <c r="H360" s="12">
        <v>5220</v>
      </c>
      <c r="I360" s="12"/>
      <c r="J360" s="12">
        <v>5220</v>
      </c>
      <c r="K360" s="12">
        <v>5220</v>
      </c>
      <c r="L360" s="12">
        <v>5220</v>
      </c>
      <c r="M360" s="12">
        <v>5371</v>
      </c>
      <c r="N360" s="12">
        <v>5220</v>
      </c>
      <c r="O360" s="12">
        <v>5220</v>
      </c>
      <c r="P360" s="12">
        <v>348</v>
      </c>
      <c r="Q360" s="186">
        <f t="shared" si="38"/>
        <v>0.06666666666666667</v>
      </c>
      <c r="R360" s="12">
        <v>3220</v>
      </c>
      <c r="S360" s="12">
        <v>3220</v>
      </c>
      <c r="T360" s="12">
        <v>2220</v>
      </c>
      <c r="U360" s="12"/>
      <c r="V360" s="12"/>
      <c r="W360" s="32">
        <f t="shared" si="37"/>
        <v>2220</v>
      </c>
    </row>
    <row r="361" spans="1:23" ht="36">
      <c r="A361" s="8"/>
      <c r="B361" s="8"/>
      <c r="C361" s="26">
        <v>4360</v>
      </c>
      <c r="D361" s="27" t="s">
        <v>130</v>
      </c>
      <c r="E361" s="11"/>
      <c r="F361" s="11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86"/>
      <c r="R361" s="12"/>
      <c r="S361" s="12"/>
      <c r="T361" s="12">
        <v>1000</v>
      </c>
      <c r="U361" s="12"/>
      <c r="V361" s="12"/>
      <c r="W361" s="32">
        <f t="shared" si="37"/>
        <v>1000</v>
      </c>
    </row>
    <row r="362" spans="1:23" ht="24">
      <c r="A362" s="8"/>
      <c r="B362" s="8"/>
      <c r="C362" s="26">
        <v>4370</v>
      </c>
      <c r="D362" s="27" t="s">
        <v>40</v>
      </c>
      <c r="E362" s="11">
        <v>5610</v>
      </c>
      <c r="F362" s="11">
        <v>5610</v>
      </c>
      <c r="G362" s="12">
        <v>5739</v>
      </c>
      <c r="H362" s="12">
        <v>5740</v>
      </c>
      <c r="I362" s="12"/>
      <c r="J362" s="12">
        <v>5740</v>
      </c>
      <c r="K362" s="12">
        <v>5740</v>
      </c>
      <c r="L362" s="12">
        <v>5740</v>
      </c>
      <c r="M362" s="12">
        <v>5906</v>
      </c>
      <c r="N362" s="12">
        <v>5910</v>
      </c>
      <c r="O362" s="12">
        <v>5910</v>
      </c>
      <c r="P362" s="12">
        <v>1637</v>
      </c>
      <c r="Q362" s="186">
        <f t="shared" si="38"/>
        <v>0.2769881556683587</v>
      </c>
      <c r="R362" s="12">
        <v>3910</v>
      </c>
      <c r="S362" s="12">
        <v>3910</v>
      </c>
      <c r="T362" s="12">
        <v>3910</v>
      </c>
      <c r="U362" s="12"/>
      <c r="V362" s="12"/>
      <c r="W362" s="32">
        <f t="shared" si="37"/>
        <v>3910</v>
      </c>
    </row>
    <row r="363" spans="1:23" ht="12">
      <c r="A363" s="8"/>
      <c r="B363" s="8"/>
      <c r="C363" s="26">
        <v>4410</v>
      </c>
      <c r="D363" s="27" t="s">
        <v>42</v>
      </c>
      <c r="E363" s="11">
        <v>1000</v>
      </c>
      <c r="F363" s="11">
        <v>1000</v>
      </c>
      <c r="G363" s="12">
        <v>1023</v>
      </c>
      <c r="H363" s="12">
        <v>1030</v>
      </c>
      <c r="I363" s="12"/>
      <c r="J363" s="12">
        <v>1030</v>
      </c>
      <c r="K363" s="12">
        <v>1030</v>
      </c>
      <c r="L363" s="12">
        <v>1030</v>
      </c>
      <c r="M363" s="12">
        <v>1060</v>
      </c>
      <c r="N363" s="12">
        <v>1060</v>
      </c>
      <c r="O363" s="12">
        <v>1060</v>
      </c>
      <c r="P363" s="12">
        <v>501</v>
      </c>
      <c r="Q363" s="186">
        <f t="shared" si="38"/>
        <v>0.47264150943396227</v>
      </c>
      <c r="R363" s="12">
        <v>1060</v>
      </c>
      <c r="S363" s="12">
        <v>1060</v>
      </c>
      <c r="T363" s="12">
        <v>1060</v>
      </c>
      <c r="U363" s="12"/>
      <c r="V363" s="12"/>
      <c r="W363" s="32">
        <f t="shared" si="37"/>
        <v>1060</v>
      </c>
    </row>
    <row r="364" spans="1:23" ht="12">
      <c r="A364" s="8"/>
      <c r="B364" s="8"/>
      <c r="C364" s="26">
        <v>4430</v>
      </c>
      <c r="D364" s="27" t="s">
        <v>43</v>
      </c>
      <c r="E364" s="11">
        <v>3670</v>
      </c>
      <c r="F364" s="11">
        <v>3670</v>
      </c>
      <c r="G364" s="12">
        <v>3754</v>
      </c>
      <c r="H364" s="12">
        <v>3760</v>
      </c>
      <c r="I364" s="12"/>
      <c r="J364" s="12">
        <v>3760</v>
      </c>
      <c r="K364" s="12">
        <v>3760</v>
      </c>
      <c r="L364" s="12">
        <v>3760</v>
      </c>
      <c r="M364" s="12">
        <v>3869</v>
      </c>
      <c r="N364" s="12">
        <v>3870</v>
      </c>
      <c r="O364" s="12">
        <v>3870</v>
      </c>
      <c r="P364" s="12">
        <v>2000</v>
      </c>
      <c r="Q364" s="186">
        <f t="shared" si="38"/>
        <v>0.5167958656330749</v>
      </c>
      <c r="R364" s="12">
        <v>3870</v>
      </c>
      <c r="S364" s="12">
        <v>3870</v>
      </c>
      <c r="T364" s="12">
        <v>3870</v>
      </c>
      <c r="U364" s="12"/>
      <c r="V364" s="12"/>
      <c r="W364" s="32">
        <f t="shared" si="37"/>
        <v>3870</v>
      </c>
    </row>
    <row r="365" spans="1:23" ht="24">
      <c r="A365" s="8"/>
      <c r="B365" s="8"/>
      <c r="C365" s="26">
        <v>4440</v>
      </c>
      <c r="D365" s="27" t="s">
        <v>44</v>
      </c>
      <c r="E365" s="11">
        <v>24220</v>
      </c>
      <c r="F365" s="11">
        <v>24220</v>
      </c>
      <c r="G365" s="12">
        <v>25673</v>
      </c>
      <c r="H365" s="12">
        <v>25820</v>
      </c>
      <c r="I365" s="12"/>
      <c r="J365" s="12">
        <v>25820</v>
      </c>
      <c r="K365" s="12">
        <v>25820</v>
      </c>
      <c r="L365" s="12">
        <v>23044</v>
      </c>
      <c r="M365" s="12">
        <v>27095</v>
      </c>
      <c r="N365" s="12">
        <v>23940</v>
      </c>
      <c r="O365" s="12">
        <v>23940</v>
      </c>
      <c r="P365" s="12">
        <v>17159</v>
      </c>
      <c r="Q365" s="186">
        <f t="shared" si="38"/>
        <v>0.716750208855472</v>
      </c>
      <c r="R365" s="12">
        <v>23334</v>
      </c>
      <c r="S365" s="12">
        <v>26260</v>
      </c>
      <c r="T365" s="12">
        <v>26260</v>
      </c>
      <c r="U365" s="12"/>
      <c r="V365" s="12"/>
      <c r="W365" s="32">
        <f t="shared" si="37"/>
        <v>26260</v>
      </c>
    </row>
    <row r="366" spans="1:23" ht="12">
      <c r="A366" s="8"/>
      <c r="B366" s="8"/>
      <c r="C366" s="26">
        <v>4510</v>
      </c>
      <c r="D366" s="27" t="s">
        <v>91</v>
      </c>
      <c r="E366" s="11">
        <v>0</v>
      </c>
      <c r="F366" s="11">
        <v>0</v>
      </c>
      <c r="G366" s="12">
        <v>300</v>
      </c>
      <c r="H366" s="12">
        <v>300</v>
      </c>
      <c r="I366" s="12"/>
      <c r="J366" s="12">
        <v>300</v>
      </c>
      <c r="K366" s="12">
        <v>300</v>
      </c>
      <c r="L366" s="12">
        <v>0</v>
      </c>
      <c r="M366" s="12">
        <v>310</v>
      </c>
      <c r="N366" s="12">
        <v>310</v>
      </c>
      <c r="O366" s="12">
        <v>310</v>
      </c>
      <c r="P366" s="12">
        <v>50</v>
      </c>
      <c r="Q366" s="186">
        <f t="shared" si="38"/>
        <v>0.16129032258064516</v>
      </c>
      <c r="R366" s="12">
        <v>310</v>
      </c>
      <c r="S366" s="12">
        <v>310</v>
      </c>
      <c r="T366" s="12">
        <v>310</v>
      </c>
      <c r="U366" s="12"/>
      <c r="V366" s="12"/>
      <c r="W366" s="32">
        <f t="shared" si="37"/>
        <v>310</v>
      </c>
    </row>
    <row r="367" spans="1:23" ht="36">
      <c r="A367" s="8"/>
      <c r="B367" s="8"/>
      <c r="C367" s="26">
        <v>4700</v>
      </c>
      <c r="D367" s="27" t="s">
        <v>46</v>
      </c>
      <c r="E367" s="11">
        <v>1530</v>
      </c>
      <c r="F367" s="11">
        <v>1530</v>
      </c>
      <c r="G367" s="12">
        <v>1565</v>
      </c>
      <c r="H367" s="12">
        <v>1570</v>
      </c>
      <c r="I367" s="12"/>
      <c r="J367" s="12">
        <v>1570</v>
      </c>
      <c r="K367" s="12">
        <v>1570</v>
      </c>
      <c r="L367" s="12">
        <v>1570</v>
      </c>
      <c r="M367" s="12">
        <v>1615</v>
      </c>
      <c r="N367" s="12">
        <v>1000</v>
      </c>
      <c r="O367" s="12">
        <v>1000</v>
      </c>
      <c r="P367" s="12">
        <v>585</v>
      </c>
      <c r="Q367" s="186">
        <f t="shared" si="38"/>
        <v>0.585</v>
      </c>
      <c r="R367" s="12">
        <v>1000</v>
      </c>
      <c r="S367" s="12">
        <v>1000</v>
      </c>
      <c r="T367" s="12">
        <v>2000</v>
      </c>
      <c r="U367" s="12"/>
      <c r="V367" s="12"/>
      <c r="W367" s="32">
        <f t="shared" si="37"/>
        <v>2000</v>
      </c>
    </row>
    <row r="368" spans="1:23" ht="36">
      <c r="A368" s="8"/>
      <c r="B368" s="8"/>
      <c r="C368" s="26">
        <v>4740</v>
      </c>
      <c r="D368" s="27" t="s">
        <v>73</v>
      </c>
      <c r="E368" s="11">
        <v>1530</v>
      </c>
      <c r="F368" s="11">
        <v>1530</v>
      </c>
      <c r="G368" s="12">
        <v>1565</v>
      </c>
      <c r="H368" s="12">
        <v>1570</v>
      </c>
      <c r="I368" s="12"/>
      <c r="J368" s="12">
        <v>1570</v>
      </c>
      <c r="K368" s="12">
        <v>1570</v>
      </c>
      <c r="L368" s="12">
        <v>1570</v>
      </c>
      <c r="M368" s="12">
        <v>1616</v>
      </c>
      <c r="N368" s="12">
        <v>1500</v>
      </c>
      <c r="O368" s="12">
        <v>1500</v>
      </c>
      <c r="P368" s="12">
        <v>375</v>
      </c>
      <c r="Q368" s="186">
        <f t="shared" si="38"/>
        <v>0.25</v>
      </c>
      <c r="R368" s="12">
        <v>1500</v>
      </c>
      <c r="S368" s="12">
        <v>1500</v>
      </c>
      <c r="T368" s="12">
        <v>1500</v>
      </c>
      <c r="U368" s="12"/>
      <c r="V368" s="12"/>
      <c r="W368" s="32">
        <f t="shared" si="37"/>
        <v>1500</v>
      </c>
    </row>
    <row r="369" spans="1:23" ht="24">
      <c r="A369" s="8"/>
      <c r="B369" s="8"/>
      <c r="C369" s="26">
        <v>4750</v>
      </c>
      <c r="D369" s="27" t="s">
        <v>118</v>
      </c>
      <c r="E369" s="11">
        <v>2340</v>
      </c>
      <c r="F369" s="11">
        <v>2340</v>
      </c>
      <c r="G369" s="12">
        <v>2394</v>
      </c>
      <c r="H369" s="12">
        <v>2400</v>
      </c>
      <c r="I369" s="12"/>
      <c r="J369" s="12">
        <v>2400</v>
      </c>
      <c r="K369" s="12">
        <v>2823</v>
      </c>
      <c r="L369" s="12">
        <v>2823</v>
      </c>
      <c r="M369" s="12">
        <v>5800</v>
      </c>
      <c r="N369" s="12">
        <v>2000</v>
      </c>
      <c r="O369" s="12">
        <v>2000</v>
      </c>
      <c r="P369" s="12">
        <v>1282</v>
      </c>
      <c r="Q369" s="186">
        <f t="shared" si="38"/>
        <v>0.641</v>
      </c>
      <c r="R369" s="12">
        <v>4000</v>
      </c>
      <c r="S369" s="12">
        <v>4000</v>
      </c>
      <c r="T369" s="12">
        <v>4000</v>
      </c>
      <c r="U369" s="12"/>
      <c r="V369" s="12"/>
      <c r="W369" s="32">
        <f t="shared" si="37"/>
        <v>4000</v>
      </c>
    </row>
    <row r="370" spans="1:23" ht="25.5">
      <c r="A370" s="8"/>
      <c r="B370" s="8"/>
      <c r="C370" s="26"/>
      <c r="D370" s="243" t="s">
        <v>350</v>
      </c>
      <c r="E370" s="11"/>
      <c r="F370" s="11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86"/>
      <c r="R370" s="12"/>
      <c r="S370" s="12"/>
      <c r="T370" s="12">
        <v>0</v>
      </c>
      <c r="U370" s="12"/>
      <c r="V370" s="12"/>
      <c r="W370" s="32">
        <f t="shared" si="37"/>
        <v>0</v>
      </c>
    </row>
    <row r="371" spans="1:23" ht="76.5">
      <c r="A371" s="8"/>
      <c r="B371" s="8"/>
      <c r="C371" s="26">
        <v>6300</v>
      </c>
      <c r="D371" s="244" t="s">
        <v>349</v>
      </c>
      <c r="E371" s="11"/>
      <c r="F371" s="11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86"/>
      <c r="R371" s="12"/>
      <c r="S371" s="12">
        <v>209000</v>
      </c>
      <c r="T371" s="12">
        <v>88900</v>
      </c>
      <c r="U371" s="12"/>
      <c r="V371" s="12"/>
      <c r="W371" s="32">
        <f t="shared" si="37"/>
        <v>88900</v>
      </c>
    </row>
    <row r="372" spans="1:23" ht="12">
      <c r="A372" s="8"/>
      <c r="B372" s="33">
        <v>80120</v>
      </c>
      <c r="C372" s="26"/>
      <c r="D372" s="42" t="s">
        <v>119</v>
      </c>
      <c r="E372" s="35">
        <f>SUM(E374:E383)</f>
        <v>2016480</v>
      </c>
      <c r="F372" s="35">
        <f>SUM(F374:F383)</f>
        <v>2016480</v>
      </c>
      <c r="G372" s="37">
        <f>SUM(G374:G383)</f>
        <v>1918095</v>
      </c>
      <c r="H372" s="37">
        <f>SUM(H374:H383)</f>
        <v>1920710</v>
      </c>
      <c r="I372" s="37"/>
      <c r="J372" s="37">
        <f aca="true" t="shared" si="39" ref="J372:P372">SUM(J374:J383)</f>
        <v>1920710</v>
      </c>
      <c r="K372" s="37">
        <f t="shared" si="39"/>
        <v>2062481</v>
      </c>
      <c r="L372" s="37">
        <f t="shared" si="39"/>
        <v>1974575</v>
      </c>
      <c r="M372" s="37">
        <f t="shared" si="39"/>
        <v>2160996</v>
      </c>
      <c r="N372" s="37">
        <v>2142860</v>
      </c>
      <c r="O372" s="37">
        <v>2142860</v>
      </c>
      <c r="P372" s="37">
        <f t="shared" si="39"/>
        <v>1059615</v>
      </c>
      <c r="Q372" s="186">
        <f t="shared" si="30"/>
        <v>0.49448634068487907</v>
      </c>
      <c r="R372" s="37">
        <f>SUM(R374:R383)</f>
        <v>2139432</v>
      </c>
      <c r="S372" s="37">
        <f>SUM(S373:S383)</f>
        <v>2493790</v>
      </c>
      <c r="T372" s="37">
        <v>2386360</v>
      </c>
      <c r="U372" s="37">
        <f>SUM(U373:U383)</f>
        <v>0</v>
      </c>
      <c r="V372" s="37">
        <f>SUM(V373:V383)</f>
        <v>0</v>
      </c>
      <c r="W372" s="32">
        <f t="shared" si="37"/>
        <v>2386360</v>
      </c>
    </row>
    <row r="373" spans="1:23" ht="100.5" customHeight="1">
      <c r="A373" s="8"/>
      <c r="B373" s="33"/>
      <c r="C373" s="26">
        <v>2540</v>
      </c>
      <c r="D373" s="27" t="s">
        <v>335</v>
      </c>
      <c r="E373" s="35"/>
      <c r="F373" s="35"/>
      <c r="G373" s="37"/>
      <c r="H373" s="37"/>
      <c r="I373" s="37"/>
      <c r="J373" s="37"/>
      <c r="K373" s="37"/>
      <c r="L373" s="37"/>
      <c r="M373" s="37"/>
      <c r="N373" s="37">
        <v>0</v>
      </c>
      <c r="O373" s="37">
        <v>0</v>
      </c>
      <c r="P373" s="37">
        <v>0</v>
      </c>
      <c r="Q373" s="186">
        <v>0</v>
      </c>
      <c r="R373" s="37">
        <v>0</v>
      </c>
      <c r="S373" s="37">
        <v>53860</v>
      </c>
      <c r="T373" s="37">
        <v>0</v>
      </c>
      <c r="U373" s="37">
        <f>U403</f>
        <v>0</v>
      </c>
      <c r="V373" s="37">
        <f>V403</f>
        <v>0</v>
      </c>
      <c r="W373" s="32">
        <f t="shared" si="37"/>
        <v>0</v>
      </c>
    </row>
    <row r="374" spans="1:23" ht="48">
      <c r="A374" s="8"/>
      <c r="B374" s="8"/>
      <c r="C374" s="26">
        <v>2540</v>
      </c>
      <c r="D374" s="27" t="s">
        <v>120</v>
      </c>
      <c r="E374" s="11">
        <v>95000</v>
      </c>
      <c r="F374" s="11">
        <v>95000</v>
      </c>
      <c r="G374" s="12">
        <v>77000</v>
      </c>
      <c r="H374" s="12">
        <v>77000</v>
      </c>
      <c r="I374" s="12"/>
      <c r="J374" s="12">
        <v>77000</v>
      </c>
      <c r="K374" s="12">
        <v>77000</v>
      </c>
      <c r="L374" s="12">
        <v>77000</v>
      </c>
      <c r="M374" s="12">
        <v>64100</v>
      </c>
      <c r="N374" s="12">
        <v>64100</v>
      </c>
      <c r="O374" s="12">
        <v>64100</v>
      </c>
      <c r="P374" s="12">
        <v>10791</v>
      </c>
      <c r="Q374" s="186">
        <f t="shared" si="30"/>
        <v>0.16834633385335412</v>
      </c>
      <c r="R374" s="12">
        <v>10791</v>
      </c>
      <c r="S374" s="12">
        <v>0</v>
      </c>
      <c r="T374" s="12">
        <v>0</v>
      </c>
      <c r="U374" s="12">
        <v>0</v>
      </c>
      <c r="V374" s="12">
        <v>0</v>
      </c>
      <c r="W374" s="32">
        <f t="shared" si="37"/>
        <v>0</v>
      </c>
    </row>
    <row r="375" spans="1:23" ht="24">
      <c r="A375" s="8"/>
      <c r="B375" s="8"/>
      <c r="C375" s="26">
        <v>3020</v>
      </c>
      <c r="D375" s="27" t="s">
        <v>68</v>
      </c>
      <c r="E375" s="11">
        <v>47170</v>
      </c>
      <c r="F375" s="11">
        <v>47170</v>
      </c>
      <c r="G375" s="12">
        <v>48650</v>
      </c>
      <c r="H375" s="12">
        <v>49000</v>
      </c>
      <c r="I375" s="12"/>
      <c r="J375" s="12">
        <v>49000</v>
      </c>
      <c r="K375" s="12">
        <v>53380</v>
      </c>
      <c r="L375" s="12">
        <v>53735</v>
      </c>
      <c r="M375" s="12">
        <v>56686</v>
      </c>
      <c r="N375" s="12">
        <v>56680</v>
      </c>
      <c r="O375" s="12">
        <v>56680</v>
      </c>
      <c r="P375" s="12">
        <v>30013</v>
      </c>
      <c r="Q375" s="186">
        <f t="shared" si="30"/>
        <v>0.5295165843330981</v>
      </c>
      <c r="R375" s="12">
        <f>2250+59655</f>
        <v>61905</v>
      </c>
      <c r="S375" s="12">
        <f>64200+2740</f>
        <v>66940</v>
      </c>
      <c r="T375" s="12">
        <v>66940</v>
      </c>
      <c r="U375" s="12">
        <f aca="true" t="shared" si="40" ref="U375:V379">U386+U394</f>
        <v>0</v>
      </c>
      <c r="V375" s="12">
        <f t="shared" si="40"/>
        <v>0</v>
      </c>
      <c r="W375" s="32">
        <f t="shared" si="37"/>
        <v>66940</v>
      </c>
    </row>
    <row r="376" spans="1:23" ht="24">
      <c r="A376" s="8"/>
      <c r="B376" s="8"/>
      <c r="C376" s="26">
        <v>4010</v>
      </c>
      <c r="D376" s="27" t="s">
        <v>29</v>
      </c>
      <c r="E376" s="11">
        <v>1378130</v>
      </c>
      <c r="F376" s="11">
        <v>1378130</v>
      </c>
      <c r="G376" s="12">
        <v>1317590</v>
      </c>
      <c r="H376" s="12">
        <v>1326690</v>
      </c>
      <c r="I376" s="12">
        <v>1326690</v>
      </c>
      <c r="J376" s="12">
        <v>1326690</v>
      </c>
      <c r="K376" s="12">
        <v>1443371</v>
      </c>
      <c r="L376" s="12">
        <v>1362522</v>
      </c>
      <c r="M376" s="12">
        <v>1488103</v>
      </c>
      <c r="N376" s="12">
        <v>1488100</v>
      </c>
      <c r="O376" s="12">
        <v>1488100</v>
      </c>
      <c r="P376" s="12">
        <v>698098</v>
      </c>
      <c r="Q376" s="186">
        <f t="shared" si="30"/>
        <v>0.4691203548148646</v>
      </c>
      <c r="R376" s="12">
        <f>769059+761900</f>
        <v>1530959</v>
      </c>
      <c r="S376" s="12">
        <f>857470+913620</f>
        <v>1771090</v>
      </c>
      <c r="T376" s="12">
        <v>1717520</v>
      </c>
      <c r="U376" s="12">
        <f t="shared" si="40"/>
        <v>0</v>
      </c>
      <c r="V376" s="12">
        <f t="shared" si="40"/>
        <v>0</v>
      </c>
      <c r="W376" s="32">
        <f t="shared" si="37"/>
        <v>1717520</v>
      </c>
    </row>
    <row r="377" spans="1:23" ht="12">
      <c r="A377" s="8"/>
      <c r="B377" s="8"/>
      <c r="C377" s="26">
        <v>4040</v>
      </c>
      <c r="D377" s="27" t="s">
        <v>30</v>
      </c>
      <c r="E377" s="11">
        <v>99840</v>
      </c>
      <c r="F377" s="11">
        <v>99840</v>
      </c>
      <c r="G377" s="12">
        <v>111117</v>
      </c>
      <c r="H377" s="12">
        <v>111120</v>
      </c>
      <c r="I377" s="12"/>
      <c r="J377" s="12">
        <v>111120</v>
      </c>
      <c r="K377" s="12">
        <v>111120</v>
      </c>
      <c r="L377" s="12">
        <v>97063</v>
      </c>
      <c r="M377" s="12">
        <v>114657</v>
      </c>
      <c r="N377" s="12">
        <v>114660</v>
      </c>
      <c r="O377" s="12">
        <v>114660</v>
      </c>
      <c r="P377" s="12">
        <v>104591</v>
      </c>
      <c r="Q377" s="186">
        <f t="shared" si="30"/>
        <v>0.9121838478981336</v>
      </c>
      <c r="R377" s="12">
        <f>54829+49762</f>
        <v>104591</v>
      </c>
      <c r="S377" s="12">
        <f>62890+64780</f>
        <v>127670</v>
      </c>
      <c r="T377" s="12">
        <v>127670</v>
      </c>
      <c r="U377" s="12">
        <f t="shared" si="40"/>
        <v>0</v>
      </c>
      <c r="V377" s="12">
        <f t="shared" si="40"/>
        <v>0</v>
      </c>
      <c r="W377" s="32">
        <f t="shared" si="37"/>
        <v>127670</v>
      </c>
    </row>
    <row r="378" spans="1:23" ht="24">
      <c r="A378" s="8"/>
      <c r="B378" s="8"/>
      <c r="C378" s="26">
        <v>4110</v>
      </c>
      <c r="D378" s="27" t="s">
        <v>113</v>
      </c>
      <c r="E378" s="11">
        <v>249480</v>
      </c>
      <c r="F378" s="11">
        <v>249480</v>
      </c>
      <c r="G378" s="12">
        <v>216670</v>
      </c>
      <c r="H378" s="12">
        <v>209310</v>
      </c>
      <c r="I378" s="12"/>
      <c r="J378" s="12">
        <v>209310</v>
      </c>
      <c r="K378" s="12">
        <v>227200</v>
      </c>
      <c r="L378" s="12">
        <v>227900</v>
      </c>
      <c r="M378" s="12">
        <v>256791</v>
      </c>
      <c r="N378" s="12">
        <v>240760</v>
      </c>
      <c r="O378" s="12">
        <v>240760</v>
      </c>
      <c r="P378" s="12">
        <v>113080</v>
      </c>
      <c r="Q378" s="186">
        <f t="shared" si="30"/>
        <v>0.4696793487290248</v>
      </c>
      <c r="R378" s="12">
        <f>128253+129800</f>
        <v>258053</v>
      </c>
      <c r="S378" s="12">
        <f>136580+150280</f>
        <v>286860</v>
      </c>
      <c r="T378" s="12">
        <v>286860</v>
      </c>
      <c r="U378" s="12">
        <f t="shared" si="40"/>
        <v>0</v>
      </c>
      <c r="V378" s="12">
        <f t="shared" si="40"/>
        <v>0</v>
      </c>
      <c r="W378" s="32">
        <f t="shared" si="37"/>
        <v>286860</v>
      </c>
    </row>
    <row r="379" spans="1:23" ht="12">
      <c r="A379" s="8"/>
      <c r="B379" s="8"/>
      <c r="C379" s="26">
        <v>4120</v>
      </c>
      <c r="D379" s="27" t="s">
        <v>32</v>
      </c>
      <c r="E379" s="11">
        <v>35470</v>
      </c>
      <c r="F379" s="11">
        <v>35470</v>
      </c>
      <c r="G379" s="12">
        <v>34400</v>
      </c>
      <c r="H379" s="12">
        <v>34510</v>
      </c>
      <c r="I379" s="12"/>
      <c r="J379" s="12">
        <v>34510</v>
      </c>
      <c r="K379" s="12">
        <v>37330</v>
      </c>
      <c r="L379" s="12">
        <v>36047</v>
      </c>
      <c r="M379" s="12">
        <v>40538</v>
      </c>
      <c r="N379" s="12">
        <v>38460</v>
      </c>
      <c r="O379" s="12">
        <v>38460</v>
      </c>
      <c r="P379" s="12">
        <v>17709</v>
      </c>
      <c r="Q379" s="186">
        <f t="shared" si="30"/>
        <v>0.4604524180967239</v>
      </c>
      <c r="R379" s="12">
        <f>20116+20190</f>
        <v>40306</v>
      </c>
      <c r="S379" s="12">
        <f>22090+23480</f>
        <v>45570</v>
      </c>
      <c r="T379" s="12">
        <v>45570</v>
      </c>
      <c r="U379" s="12">
        <f t="shared" si="40"/>
        <v>0</v>
      </c>
      <c r="V379" s="12">
        <f t="shared" si="40"/>
        <v>0</v>
      </c>
      <c r="W379" s="32">
        <f t="shared" si="37"/>
        <v>45570</v>
      </c>
    </row>
    <row r="380" spans="1:23" ht="12">
      <c r="A380" s="8"/>
      <c r="B380" s="8"/>
      <c r="C380" s="26">
        <v>4210</v>
      </c>
      <c r="D380" s="27" t="s">
        <v>34</v>
      </c>
      <c r="E380" s="11">
        <v>9310</v>
      </c>
      <c r="F380" s="11">
        <v>9310</v>
      </c>
      <c r="G380" s="12">
        <v>9524</v>
      </c>
      <c r="H380" s="12">
        <v>9530</v>
      </c>
      <c r="I380" s="12"/>
      <c r="J380" s="12">
        <v>9530</v>
      </c>
      <c r="K380" s="12">
        <v>9530</v>
      </c>
      <c r="L380" s="12">
        <v>9530</v>
      </c>
      <c r="M380" s="12">
        <v>9806</v>
      </c>
      <c r="N380" s="12">
        <v>9810</v>
      </c>
      <c r="O380" s="12">
        <v>9810</v>
      </c>
      <c r="P380" s="12">
        <v>3950</v>
      </c>
      <c r="Q380" s="186">
        <f aca="true" t="shared" si="41" ref="Q380:Q444">P380/O380</f>
        <v>0.4026503567787971</v>
      </c>
      <c r="R380" s="12">
        <v>9810</v>
      </c>
      <c r="S380" s="12">
        <v>10300</v>
      </c>
      <c r="T380" s="12">
        <v>10300</v>
      </c>
      <c r="U380" s="12">
        <f>U399</f>
        <v>0</v>
      </c>
      <c r="V380" s="12">
        <f>V399</f>
        <v>0</v>
      </c>
      <c r="W380" s="32">
        <f t="shared" si="37"/>
        <v>10300</v>
      </c>
    </row>
    <row r="381" spans="1:23" ht="12">
      <c r="A381" s="8"/>
      <c r="B381" s="8"/>
      <c r="C381" s="26">
        <v>4260</v>
      </c>
      <c r="D381" s="27" t="s">
        <v>35</v>
      </c>
      <c r="E381" s="11">
        <v>5180</v>
      </c>
      <c r="F381" s="11">
        <v>5180</v>
      </c>
      <c r="G381" s="12">
        <v>5299</v>
      </c>
      <c r="H381" s="12">
        <v>5300</v>
      </c>
      <c r="I381" s="12"/>
      <c r="J381" s="12">
        <v>5300</v>
      </c>
      <c r="K381" s="12">
        <v>5300</v>
      </c>
      <c r="L381" s="12">
        <v>5300</v>
      </c>
      <c r="M381" s="12">
        <v>5454</v>
      </c>
      <c r="N381" s="12">
        <v>5450</v>
      </c>
      <c r="O381" s="12">
        <v>5450</v>
      </c>
      <c r="P381" s="12">
        <v>2750</v>
      </c>
      <c r="Q381" s="186">
        <f t="shared" si="41"/>
        <v>0.5045871559633027</v>
      </c>
      <c r="R381" s="12">
        <v>5450</v>
      </c>
      <c r="S381" s="12">
        <v>5720</v>
      </c>
      <c r="T381" s="12">
        <v>5720</v>
      </c>
      <c r="U381" s="12">
        <f>U400</f>
        <v>0</v>
      </c>
      <c r="V381" s="12">
        <f>V400</f>
        <v>0</v>
      </c>
      <c r="W381" s="32">
        <f t="shared" si="37"/>
        <v>5720</v>
      </c>
    </row>
    <row r="382" spans="1:23" ht="12">
      <c r="A382" s="8"/>
      <c r="B382" s="8"/>
      <c r="C382" s="26">
        <v>4300</v>
      </c>
      <c r="D382" s="27" t="s">
        <v>17</v>
      </c>
      <c r="E382" s="55">
        <v>11680</v>
      </c>
      <c r="F382" s="55">
        <v>11680</v>
      </c>
      <c r="G382" s="56">
        <v>12960</v>
      </c>
      <c r="H382" s="56">
        <v>12960</v>
      </c>
      <c r="I382" s="56"/>
      <c r="J382" s="56">
        <v>12960</v>
      </c>
      <c r="K382" s="56">
        <v>12960</v>
      </c>
      <c r="L382" s="56">
        <v>12960</v>
      </c>
      <c r="M382" s="56">
        <v>21600</v>
      </c>
      <c r="N382" s="56">
        <v>21600</v>
      </c>
      <c r="O382" s="56">
        <v>21600</v>
      </c>
      <c r="P382" s="56">
        <v>7860</v>
      </c>
      <c r="Q382" s="186">
        <f t="shared" si="41"/>
        <v>0.3638888888888889</v>
      </c>
      <c r="R382" s="56">
        <v>21600</v>
      </c>
      <c r="S382" s="56">
        <v>21600</v>
      </c>
      <c r="T382" s="56">
        <v>21600</v>
      </c>
      <c r="U382" s="12">
        <f>U391</f>
        <v>0</v>
      </c>
      <c r="V382" s="12">
        <f>V391</f>
        <v>0</v>
      </c>
      <c r="W382" s="32">
        <f t="shared" si="37"/>
        <v>21600</v>
      </c>
    </row>
    <row r="383" spans="1:23" ht="24">
      <c r="A383" s="8"/>
      <c r="B383" s="8"/>
      <c r="C383" s="26">
        <v>4440</v>
      </c>
      <c r="D383" s="27" t="s">
        <v>44</v>
      </c>
      <c r="E383" s="11">
        <v>85220</v>
      </c>
      <c r="F383" s="11">
        <v>85220</v>
      </c>
      <c r="G383" s="12">
        <v>84885</v>
      </c>
      <c r="H383" s="12">
        <v>85290</v>
      </c>
      <c r="I383" s="12"/>
      <c r="J383" s="12">
        <v>85290</v>
      </c>
      <c r="K383" s="12">
        <v>85290</v>
      </c>
      <c r="L383" s="12">
        <v>92518</v>
      </c>
      <c r="M383" s="12">
        <v>103261</v>
      </c>
      <c r="N383" s="12">
        <v>103240</v>
      </c>
      <c r="O383" s="12">
        <v>103240</v>
      </c>
      <c r="P383" s="12">
        <v>70773</v>
      </c>
      <c r="Q383" s="186">
        <f t="shared" si="41"/>
        <v>0.6855191786129408</v>
      </c>
      <c r="R383" s="12">
        <f>50476+45491</f>
        <v>95967</v>
      </c>
      <c r="S383" s="12">
        <f>49400+54780</f>
        <v>104180</v>
      </c>
      <c r="T383" s="12">
        <v>104180</v>
      </c>
      <c r="U383" s="12">
        <f>U392+U401</f>
        <v>0</v>
      </c>
      <c r="V383" s="12">
        <f>V392+V401</f>
        <v>0</v>
      </c>
      <c r="W383" s="32">
        <f t="shared" si="37"/>
        <v>104180</v>
      </c>
    </row>
    <row r="384" spans="1:23" ht="12">
      <c r="A384" s="8"/>
      <c r="B384" s="8"/>
      <c r="C384" s="25" t="s">
        <v>121</v>
      </c>
      <c r="D384" s="27"/>
      <c r="E384" s="55"/>
      <c r="F384" s="55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186"/>
      <c r="R384" s="56"/>
      <c r="S384" s="56"/>
      <c r="T384" s="56">
        <v>0</v>
      </c>
      <c r="U384" s="56"/>
      <c r="V384" s="56"/>
      <c r="W384" s="32">
        <f t="shared" si="37"/>
        <v>0</v>
      </c>
    </row>
    <row r="385" spans="1:23" ht="12">
      <c r="A385" s="8"/>
      <c r="B385" s="9"/>
      <c r="C385" s="26"/>
      <c r="D385" s="42" t="s">
        <v>122</v>
      </c>
      <c r="E385" s="11">
        <f>SUM(E386:E392)</f>
        <v>912400</v>
      </c>
      <c r="F385" s="11">
        <f>SUM(F386:F392)</f>
        <v>912400</v>
      </c>
      <c r="G385" s="12">
        <f>SUM(G386:G392)</f>
        <v>801929</v>
      </c>
      <c r="H385" s="12">
        <f>SUM(H386:H392)</f>
        <v>798960</v>
      </c>
      <c r="I385" s="12"/>
      <c r="J385" s="12">
        <f aca="true" t="shared" si="42" ref="J385:P385">SUM(J386:J392)</f>
        <v>798960</v>
      </c>
      <c r="K385" s="12">
        <f t="shared" si="42"/>
        <v>867401</v>
      </c>
      <c r="L385" s="12">
        <f t="shared" si="42"/>
        <v>901555</v>
      </c>
      <c r="M385" s="12">
        <f t="shared" si="42"/>
        <v>1043455</v>
      </c>
      <c r="N385" s="12">
        <v>1033290</v>
      </c>
      <c r="O385" s="12">
        <v>1033290</v>
      </c>
      <c r="P385" s="12">
        <f t="shared" si="42"/>
        <v>519576</v>
      </c>
      <c r="Q385" s="186">
        <f t="shared" si="41"/>
        <v>0.5028365705658624</v>
      </c>
      <c r="R385" s="12">
        <f>SUM(R386:R392)</f>
        <v>1046583</v>
      </c>
      <c r="S385" s="12">
        <f>SUM(S386:S392)</f>
        <v>1231280</v>
      </c>
      <c r="T385" s="12">
        <v>1192298</v>
      </c>
      <c r="U385" s="12">
        <f>SUM(U386:U392)</f>
        <v>0</v>
      </c>
      <c r="V385" s="12">
        <f>SUM(V386:V392)</f>
        <v>0</v>
      </c>
      <c r="W385" s="32">
        <f t="shared" si="37"/>
        <v>1192298</v>
      </c>
    </row>
    <row r="386" spans="1:23" ht="24">
      <c r="A386" s="8"/>
      <c r="B386" s="8"/>
      <c r="C386" s="26">
        <v>3020</v>
      </c>
      <c r="D386" s="27" t="s">
        <v>68</v>
      </c>
      <c r="E386" s="11">
        <v>1630</v>
      </c>
      <c r="F386" s="11">
        <v>1630</v>
      </c>
      <c r="G386" s="12">
        <v>1400</v>
      </c>
      <c r="H386" s="12">
        <v>1750</v>
      </c>
      <c r="I386" s="12"/>
      <c r="J386" s="12">
        <v>1750</v>
      </c>
      <c r="K386" s="12">
        <v>1750</v>
      </c>
      <c r="L386" s="12">
        <v>1750</v>
      </c>
      <c r="M386" s="12">
        <v>2246</v>
      </c>
      <c r="N386" s="12">
        <v>2250</v>
      </c>
      <c r="O386" s="12">
        <v>2250</v>
      </c>
      <c r="P386" s="12">
        <v>2250</v>
      </c>
      <c r="Q386" s="186">
        <f t="shared" si="41"/>
        <v>1</v>
      </c>
      <c r="R386" s="12">
        <v>2250</v>
      </c>
      <c r="S386" s="12">
        <v>2740</v>
      </c>
      <c r="T386" s="12">
        <v>2740</v>
      </c>
      <c r="U386" s="12"/>
      <c r="V386" s="12"/>
      <c r="W386" s="32">
        <f t="shared" si="37"/>
        <v>2740</v>
      </c>
    </row>
    <row r="387" spans="1:23" ht="24">
      <c r="A387" s="8"/>
      <c r="B387" s="8"/>
      <c r="C387" s="26">
        <v>4010</v>
      </c>
      <c r="D387" s="27" t="s">
        <v>29</v>
      </c>
      <c r="E387" s="11">
        <v>667160</v>
      </c>
      <c r="F387" s="11">
        <v>667160</v>
      </c>
      <c r="G387" s="12">
        <v>582164</v>
      </c>
      <c r="H387" s="12">
        <v>582160</v>
      </c>
      <c r="I387" s="12"/>
      <c r="J387" s="12">
        <v>582160</v>
      </c>
      <c r="K387" s="12">
        <v>640961</v>
      </c>
      <c r="L387" s="12">
        <v>664548</v>
      </c>
      <c r="M387" s="12">
        <v>751569</v>
      </c>
      <c r="N387" s="12">
        <v>751570</v>
      </c>
      <c r="O387" s="12">
        <v>751570</v>
      </c>
      <c r="P387" s="12">
        <v>352279</v>
      </c>
      <c r="Q387" s="186">
        <f t="shared" si="41"/>
        <v>0.4687241374722248</v>
      </c>
      <c r="R387" s="12">
        <v>769059</v>
      </c>
      <c r="S387" s="12">
        <v>913620</v>
      </c>
      <c r="T387" s="12">
        <v>874638</v>
      </c>
      <c r="U387" s="12"/>
      <c r="V387" s="12"/>
      <c r="W387" s="32">
        <f t="shared" si="37"/>
        <v>874638</v>
      </c>
    </row>
    <row r="388" spans="1:23" ht="12">
      <c r="A388" s="8"/>
      <c r="B388" s="8"/>
      <c r="C388" s="26">
        <v>4040</v>
      </c>
      <c r="D388" s="27" t="s">
        <v>30</v>
      </c>
      <c r="E388" s="11">
        <v>47020</v>
      </c>
      <c r="F388" s="11">
        <v>47020</v>
      </c>
      <c r="G388" s="12">
        <v>52000</v>
      </c>
      <c r="H388" s="12">
        <v>52000</v>
      </c>
      <c r="I388" s="12"/>
      <c r="J388" s="12">
        <v>52000</v>
      </c>
      <c r="K388" s="12">
        <v>52000</v>
      </c>
      <c r="L388" s="12">
        <v>48332</v>
      </c>
      <c r="M388" s="12">
        <v>57300</v>
      </c>
      <c r="N388" s="12">
        <v>57300</v>
      </c>
      <c r="O388" s="12">
        <v>57300</v>
      </c>
      <c r="P388" s="12">
        <v>54829</v>
      </c>
      <c r="Q388" s="186">
        <f t="shared" si="41"/>
        <v>0.9568760907504363</v>
      </c>
      <c r="R388" s="12">
        <v>54829</v>
      </c>
      <c r="S388" s="12">
        <v>64780</v>
      </c>
      <c r="T388" s="12">
        <v>64780</v>
      </c>
      <c r="U388" s="12"/>
      <c r="V388" s="12"/>
      <c r="W388" s="32">
        <f t="shared" si="37"/>
        <v>64780</v>
      </c>
    </row>
    <row r="389" spans="1:23" ht="24">
      <c r="A389" s="8"/>
      <c r="B389" s="8"/>
      <c r="C389" s="26">
        <v>4110</v>
      </c>
      <c r="D389" s="27" t="s">
        <v>113</v>
      </c>
      <c r="E389" s="11">
        <v>120550</v>
      </c>
      <c r="F389" s="11">
        <v>120550</v>
      </c>
      <c r="G389" s="12">
        <v>94000</v>
      </c>
      <c r="H389" s="12">
        <v>90050</v>
      </c>
      <c r="I389" s="12"/>
      <c r="J389" s="12">
        <v>90050</v>
      </c>
      <c r="K389" s="12">
        <v>98390</v>
      </c>
      <c r="L389" s="12">
        <v>107950</v>
      </c>
      <c r="M389" s="12">
        <v>131931</v>
      </c>
      <c r="N389" s="12">
        <v>122950</v>
      </c>
      <c r="O389" s="12">
        <v>122950</v>
      </c>
      <c r="P389" s="12">
        <v>56815</v>
      </c>
      <c r="Q389" s="186">
        <f t="shared" si="41"/>
        <v>0.4620984139894266</v>
      </c>
      <c r="R389" s="12">
        <v>128253</v>
      </c>
      <c r="S389" s="12">
        <v>150280</v>
      </c>
      <c r="T389" s="12">
        <v>150280</v>
      </c>
      <c r="U389" s="12"/>
      <c r="V389" s="12"/>
      <c r="W389" s="32">
        <f t="shared" si="37"/>
        <v>150280</v>
      </c>
    </row>
    <row r="390" spans="1:23" ht="12">
      <c r="A390" s="8"/>
      <c r="B390" s="8"/>
      <c r="C390" s="26">
        <v>4120</v>
      </c>
      <c r="D390" s="27" t="s">
        <v>32</v>
      </c>
      <c r="E390" s="11">
        <v>17140</v>
      </c>
      <c r="F390" s="11">
        <v>17140</v>
      </c>
      <c r="G390" s="12">
        <v>14800</v>
      </c>
      <c r="H390" s="12">
        <v>15220</v>
      </c>
      <c r="I390" s="12"/>
      <c r="J390" s="12">
        <v>15220</v>
      </c>
      <c r="K390" s="12">
        <v>16520</v>
      </c>
      <c r="L390" s="12">
        <v>16847</v>
      </c>
      <c r="M390" s="12">
        <v>20588</v>
      </c>
      <c r="N390" s="12">
        <v>19410</v>
      </c>
      <c r="O390" s="12">
        <v>19410</v>
      </c>
      <c r="P390" s="12">
        <v>8890</v>
      </c>
      <c r="Q390" s="186">
        <f t="shared" si="41"/>
        <v>0.45801133436373004</v>
      </c>
      <c r="R390" s="12">
        <v>20116</v>
      </c>
      <c r="S390" s="12">
        <v>23480</v>
      </c>
      <c r="T390" s="12">
        <v>23480</v>
      </c>
      <c r="U390" s="12"/>
      <c r="V390" s="12"/>
      <c r="W390" s="32">
        <f t="shared" si="37"/>
        <v>23480</v>
      </c>
    </row>
    <row r="391" spans="1:23" ht="12">
      <c r="A391" s="8"/>
      <c r="B391" s="8"/>
      <c r="C391" s="26">
        <v>4300</v>
      </c>
      <c r="D391" s="27" t="s">
        <v>17</v>
      </c>
      <c r="E391" s="55">
        <v>11680</v>
      </c>
      <c r="F391" s="55">
        <v>11680</v>
      </c>
      <c r="G391" s="56">
        <v>12960</v>
      </c>
      <c r="H391" s="56">
        <v>12960</v>
      </c>
      <c r="I391" s="56"/>
      <c r="J391" s="56">
        <v>12960</v>
      </c>
      <c r="K391" s="56">
        <v>12960</v>
      </c>
      <c r="L391" s="12">
        <v>12960</v>
      </c>
      <c r="M391" s="56">
        <v>21600</v>
      </c>
      <c r="N391" s="56">
        <v>21600</v>
      </c>
      <c r="O391" s="56">
        <v>21600</v>
      </c>
      <c r="P391" s="56">
        <v>7860</v>
      </c>
      <c r="Q391" s="186">
        <f t="shared" si="41"/>
        <v>0.3638888888888889</v>
      </c>
      <c r="R391" s="56">
        <v>21600</v>
      </c>
      <c r="S391" s="56">
        <v>21600</v>
      </c>
      <c r="T391" s="56">
        <v>21600</v>
      </c>
      <c r="U391" s="56"/>
      <c r="V391" s="56"/>
      <c r="W391" s="32">
        <f t="shared" si="37"/>
        <v>21600</v>
      </c>
    </row>
    <row r="392" spans="1:23" ht="24">
      <c r="A392" s="8"/>
      <c r="B392" s="8"/>
      <c r="C392" s="26">
        <v>4440</v>
      </c>
      <c r="D392" s="27" t="s">
        <v>44</v>
      </c>
      <c r="E392" s="11">
        <v>47220</v>
      </c>
      <c r="F392" s="11">
        <v>47220</v>
      </c>
      <c r="G392" s="12">
        <v>44605</v>
      </c>
      <c r="H392" s="12">
        <v>44820</v>
      </c>
      <c r="I392" s="12"/>
      <c r="J392" s="12">
        <v>44820</v>
      </c>
      <c r="K392" s="12">
        <v>44820</v>
      </c>
      <c r="L392" s="12">
        <v>49168</v>
      </c>
      <c r="M392" s="12">
        <v>58221</v>
      </c>
      <c r="N392" s="12">
        <v>58210</v>
      </c>
      <c r="O392" s="12">
        <v>58210</v>
      </c>
      <c r="P392" s="12">
        <v>36653</v>
      </c>
      <c r="Q392" s="186">
        <f t="shared" si="41"/>
        <v>0.6296684418484796</v>
      </c>
      <c r="R392" s="12">
        <v>50476</v>
      </c>
      <c r="S392" s="12">
        <v>54780</v>
      </c>
      <c r="T392" s="12">
        <v>54780</v>
      </c>
      <c r="U392" s="12"/>
      <c r="V392" s="12"/>
      <c r="W392" s="32">
        <f t="shared" si="37"/>
        <v>54780</v>
      </c>
    </row>
    <row r="393" spans="1:23" ht="12">
      <c r="A393" s="8"/>
      <c r="B393" s="8"/>
      <c r="C393" s="26"/>
      <c r="D393" s="42" t="s">
        <v>123</v>
      </c>
      <c r="E393" s="11">
        <f>SUM(E394:E401)</f>
        <v>1009080</v>
      </c>
      <c r="F393" s="11">
        <f>SUM(F394:F401)</f>
        <v>1009080</v>
      </c>
      <c r="G393" s="12">
        <f>SUM(G394:G401)</f>
        <v>1039166</v>
      </c>
      <c r="H393" s="12">
        <f>SUM(H394:H401)</f>
        <v>1044750</v>
      </c>
      <c r="I393" s="12"/>
      <c r="J393" s="12">
        <f aca="true" t="shared" si="43" ref="J393:P393">SUM(J394:J401)</f>
        <v>1044750</v>
      </c>
      <c r="K393" s="12">
        <f t="shared" si="43"/>
        <v>1118080</v>
      </c>
      <c r="L393" s="12">
        <f t="shared" si="43"/>
        <v>996020</v>
      </c>
      <c r="M393" s="12">
        <f t="shared" si="43"/>
        <v>1053441</v>
      </c>
      <c r="N393" s="12">
        <v>1045470</v>
      </c>
      <c r="O393" s="12">
        <v>1045470</v>
      </c>
      <c r="P393" s="12">
        <f t="shared" si="43"/>
        <v>529248</v>
      </c>
      <c r="Q393" s="186">
        <f t="shared" si="41"/>
        <v>0.5062297339952366</v>
      </c>
      <c r="R393" s="12">
        <f>SUM(R394:R401)</f>
        <v>1082058</v>
      </c>
      <c r="S393" s="12">
        <f>SUM(S394:S401)</f>
        <v>1208650</v>
      </c>
      <c r="T393" s="12">
        <v>1194062</v>
      </c>
      <c r="U393" s="12">
        <f>SUM(U394:U401)</f>
        <v>0</v>
      </c>
      <c r="V393" s="12">
        <f>SUM(V394:V401)</f>
        <v>0</v>
      </c>
      <c r="W393" s="32">
        <f t="shared" si="37"/>
        <v>1194062</v>
      </c>
    </row>
    <row r="394" spans="1:23" ht="24">
      <c r="A394" s="8"/>
      <c r="B394" s="8"/>
      <c r="C394" s="26">
        <v>3020</v>
      </c>
      <c r="D394" s="27" t="s">
        <v>124</v>
      </c>
      <c r="E394" s="11">
        <v>45540</v>
      </c>
      <c r="F394" s="11">
        <v>45540</v>
      </c>
      <c r="G394" s="12">
        <v>47250</v>
      </c>
      <c r="H394" s="12">
        <v>47250</v>
      </c>
      <c r="I394" s="12"/>
      <c r="J394" s="12">
        <v>47250</v>
      </c>
      <c r="K394" s="12">
        <v>51630</v>
      </c>
      <c r="L394" s="12">
        <v>51985</v>
      </c>
      <c r="M394" s="12">
        <v>54440</v>
      </c>
      <c r="N394" s="12">
        <v>54430</v>
      </c>
      <c r="O394" s="12">
        <v>54430</v>
      </c>
      <c r="P394" s="12">
        <v>27763</v>
      </c>
      <c r="Q394" s="186">
        <f t="shared" si="41"/>
        <v>0.5100679772184457</v>
      </c>
      <c r="R394" s="12">
        <v>59655</v>
      </c>
      <c r="S394" s="12">
        <v>64200</v>
      </c>
      <c r="T394" s="12">
        <v>64200</v>
      </c>
      <c r="U394" s="12"/>
      <c r="V394" s="12"/>
      <c r="W394" s="32">
        <f t="shared" si="37"/>
        <v>64200</v>
      </c>
    </row>
    <row r="395" spans="1:23" ht="24">
      <c r="A395" s="8"/>
      <c r="B395" s="8"/>
      <c r="C395" s="26">
        <v>4010</v>
      </c>
      <c r="D395" s="27" t="s">
        <v>29</v>
      </c>
      <c r="E395" s="11">
        <v>710970</v>
      </c>
      <c r="F395" s="11">
        <v>710970</v>
      </c>
      <c r="G395" s="12">
        <v>735426</v>
      </c>
      <c r="H395" s="12">
        <v>744530</v>
      </c>
      <c r="I395" s="12"/>
      <c r="J395" s="12">
        <v>744530</v>
      </c>
      <c r="K395" s="12">
        <v>802410</v>
      </c>
      <c r="L395" s="12">
        <v>697974</v>
      </c>
      <c r="M395" s="12">
        <v>736534</v>
      </c>
      <c r="N395" s="12">
        <v>736530</v>
      </c>
      <c r="O395" s="12">
        <v>736530</v>
      </c>
      <c r="P395" s="12">
        <v>345819</v>
      </c>
      <c r="Q395" s="186">
        <f t="shared" si="41"/>
        <v>0.4695246629465195</v>
      </c>
      <c r="R395" s="12">
        <v>761900</v>
      </c>
      <c r="S395" s="12">
        <v>857470</v>
      </c>
      <c r="T395" s="12">
        <v>842882</v>
      </c>
      <c r="U395" s="12"/>
      <c r="V395" s="12"/>
      <c r="W395" s="32">
        <f t="shared" si="37"/>
        <v>842882</v>
      </c>
    </row>
    <row r="396" spans="1:23" ht="12">
      <c r="A396" s="8"/>
      <c r="B396" s="8"/>
      <c r="C396" s="26">
        <v>4040</v>
      </c>
      <c r="D396" s="27" t="s">
        <v>30</v>
      </c>
      <c r="E396" s="11">
        <v>52820</v>
      </c>
      <c r="F396" s="11">
        <v>52820</v>
      </c>
      <c r="G396" s="12">
        <v>59117</v>
      </c>
      <c r="H396" s="12">
        <v>59120</v>
      </c>
      <c r="I396" s="12"/>
      <c r="J396" s="12">
        <v>59120</v>
      </c>
      <c r="K396" s="12">
        <v>59120</v>
      </c>
      <c r="L396" s="12">
        <v>48731</v>
      </c>
      <c r="M396" s="12">
        <v>57357</v>
      </c>
      <c r="N396" s="12">
        <v>57360</v>
      </c>
      <c r="O396" s="12">
        <v>57360</v>
      </c>
      <c r="P396" s="12">
        <v>49762</v>
      </c>
      <c r="Q396" s="186">
        <f t="shared" si="41"/>
        <v>0.8675383542538354</v>
      </c>
      <c r="R396" s="12">
        <v>49762</v>
      </c>
      <c r="S396" s="12">
        <v>62890</v>
      </c>
      <c r="T396" s="12">
        <v>62890</v>
      </c>
      <c r="U396" s="12"/>
      <c r="V396" s="12"/>
      <c r="W396" s="32">
        <f t="shared" si="37"/>
        <v>62890</v>
      </c>
    </row>
    <row r="397" spans="1:23" ht="24">
      <c r="A397" s="8"/>
      <c r="B397" s="8"/>
      <c r="C397" s="26">
        <v>4110</v>
      </c>
      <c r="D397" s="27" t="s">
        <v>113</v>
      </c>
      <c r="E397" s="11">
        <v>128930</v>
      </c>
      <c r="F397" s="11">
        <v>128930</v>
      </c>
      <c r="G397" s="12">
        <v>122670</v>
      </c>
      <c r="H397" s="12">
        <v>119260</v>
      </c>
      <c r="I397" s="12"/>
      <c r="J397" s="12">
        <v>119260</v>
      </c>
      <c r="K397" s="12">
        <v>128810</v>
      </c>
      <c r="L397" s="12">
        <v>119950</v>
      </c>
      <c r="M397" s="12">
        <v>124860</v>
      </c>
      <c r="N397" s="12">
        <v>117810</v>
      </c>
      <c r="O397" s="12">
        <v>117810</v>
      </c>
      <c r="P397" s="12">
        <v>56265</v>
      </c>
      <c r="Q397" s="186">
        <f t="shared" si="41"/>
        <v>0.47759103641456585</v>
      </c>
      <c r="R397" s="12">
        <v>129800</v>
      </c>
      <c r="S397" s="12">
        <v>136580</v>
      </c>
      <c r="T397" s="12">
        <v>136580</v>
      </c>
      <c r="U397" s="12"/>
      <c r="V397" s="12"/>
      <c r="W397" s="32">
        <f t="shared" si="37"/>
        <v>136580</v>
      </c>
    </row>
    <row r="398" spans="1:23" ht="12">
      <c r="A398" s="8"/>
      <c r="B398" s="8"/>
      <c r="C398" s="26">
        <v>4120</v>
      </c>
      <c r="D398" s="27" t="s">
        <v>32</v>
      </c>
      <c r="E398" s="11">
        <v>18330</v>
      </c>
      <c r="F398" s="11">
        <v>18330</v>
      </c>
      <c r="G398" s="12">
        <v>19600</v>
      </c>
      <c r="H398" s="12">
        <v>19290</v>
      </c>
      <c r="I398" s="12"/>
      <c r="J398" s="12">
        <v>19290</v>
      </c>
      <c r="K398" s="12">
        <v>20810</v>
      </c>
      <c r="L398" s="12">
        <v>19200</v>
      </c>
      <c r="M398" s="12">
        <v>19950</v>
      </c>
      <c r="N398" s="12">
        <v>19050</v>
      </c>
      <c r="O398" s="12">
        <v>19050</v>
      </c>
      <c r="P398" s="12">
        <v>8819</v>
      </c>
      <c r="Q398" s="186">
        <f t="shared" si="41"/>
        <v>0.46293963254593173</v>
      </c>
      <c r="R398" s="12">
        <v>20190</v>
      </c>
      <c r="S398" s="12">
        <v>22090</v>
      </c>
      <c r="T398" s="12">
        <v>22090</v>
      </c>
      <c r="U398" s="12"/>
      <c r="V398" s="12"/>
      <c r="W398" s="32">
        <f t="shared" si="37"/>
        <v>22090</v>
      </c>
    </row>
    <row r="399" spans="1:23" ht="12">
      <c r="A399" s="8"/>
      <c r="B399" s="8"/>
      <c r="C399" s="26">
        <v>4210</v>
      </c>
      <c r="D399" s="27" t="s">
        <v>34</v>
      </c>
      <c r="E399" s="11">
        <v>9310</v>
      </c>
      <c r="F399" s="11">
        <v>9310</v>
      </c>
      <c r="G399" s="12">
        <v>9524</v>
      </c>
      <c r="H399" s="12">
        <v>9530</v>
      </c>
      <c r="I399" s="12"/>
      <c r="J399" s="12">
        <v>9530</v>
      </c>
      <c r="K399" s="12">
        <v>9530</v>
      </c>
      <c r="L399" s="12">
        <v>9530</v>
      </c>
      <c r="M399" s="12">
        <v>9806</v>
      </c>
      <c r="N399" s="12">
        <v>9810</v>
      </c>
      <c r="O399" s="12">
        <v>9810</v>
      </c>
      <c r="P399" s="12">
        <v>3950</v>
      </c>
      <c r="Q399" s="186">
        <f t="shared" si="41"/>
        <v>0.4026503567787971</v>
      </c>
      <c r="R399" s="12">
        <v>9810</v>
      </c>
      <c r="S399" s="12">
        <v>10300</v>
      </c>
      <c r="T399" s="12">
        <v>10300</v>
      </c>
      <c r="U399" s="12"/>
      <c r="V399" s="12"/>
      <c r="W399" s="32">
        <f t="shared" si="37"/>
        <v>10300</v>
      </c>
    </row>
    <row r="400" spans="1:23" ht="12">
      <c r="A400" s="8"/>
      <c r="B400" s="8"/>
      <c r="C400" s="26">
        <v>4260</v>
      </c>
      <c r="D400" s="27" t="s">
        <v>35</v>
      </c>
      <c r="E400" s="11">
        <v>5180</v>
      </c>
      <c r="F400" s="11">
        <v>5180</v>
      </c>
      <c r="G400" s="12">
        <v>5299</v>
      </c>
      <c r="H400" s="12">
        <v>5300</v>
      </c>
      <c r="I400" s="12"/>
      <c r="J400" s="12">
        <v>5300</v>
      </c>
      <c r="K400" s="12">
        <v>5300</v>
      </c>
      <c r="L400" s="12">
        <v>5300</v>
      </c>
      <c r="M400" s="12">
        <v>5454</v>
      </c>
      <c r="N400" s="12">
        <v>5450</v>
      </c>
      <c r="O400" s="12">
        <v>5450</v>
      </c>
      <c r="P400" s="12">
        <v>2750</v>
      </c>
      <c r="Q400" s="186">
        <f t="shared" si="41"/>
        <v>0.5045871559633027</v>
      </c>
      <c r="R400" s="12">
        <v>5450</v>
      </c>
      <c r="S400" s="12">
        <v>5720</v>
      </c>
      <c r="T400" s="12">
        <v>5720</v>
      </c>
      <c r="U400" s="12"/>
      <c r="V400" s="12"/>
      <c r="W400" s="32">
        <f t="shared" si="37"/>
        <v>5720</v>
      </c>
    </row>
    <row r="401" spans="1:23" ht="24">
      <c r="A401" s="8"/>
      <c r="B401" s="8"/>
      <c r="C401" s="26">
        <v>4440</v>
      </c>
      <c r="D401" s="27" t="s">
        <v>44</v>
      </c>
      <c r="E401" s="11">
        <v>38000</v>
      </c>
      <c r="F401" s="11">
        <v>38000</v>
      </c>
      <c r="G401" s="12">
        <v>40280</v>
      </c>
      <c r="H401" s="12">
        <v>40470</v>
      </c>
      <c r="I401" s="12"/>
      <c r="J401" s="12">
        <v>40470</v>
      </c>
      <c r="K401" s="12">
        <v>40470</v>
      </c>
      <c r="L401" s="12">
        <v>43350</v>
      </c>
      <c r="M401" s="12">
        <v>45040</v>
      </c>
      <c r="N401" s="12">
        <v>45030</v>
      </c>
      <c r="O401" s="12">
        <v>45030</v>
      </c>
      <c r="P401" s="12">
        <v>34120</v>
      </c>
      <c r="Q401" s="186">
        <f t="shared" si="41"/>
        <v>0.7577170775038863</v>
      </c>
      <c r="R401" s="12">
        <v>45491</v>
      </c>
      <c r="S401" s="12">
        <v>49400</v>
      </c>
      <c r="T401" s="12">
        <v>49400</v>
      </c>
      <c r="U401" s="12"/>
      <c r="V401" s="12"/>
      <c r="W401" s="32">
        <f t="shared" si="37"/>
        <v>49400</v>
      </c>
    </row>
    <row r="402" spans="1:23" ht="36">
      <c r="A402" s="8"/>
      <c r="B402" s="8"/>
      <c r="C402" s="26"/>
      <c r="D402" s="42" t="s">
        <v>125</v>
      </c>
      <c r="E402" s="11">
        <f>SUM(E404)</f>
        <v>95000</v>
      </c>
      <c r="F402" s="11">
        <f>SUM(F404)</f>
        <v>95000</v>
      </c>
      <c r="G402" s="12">
        <f>SUM(G404)</f>
        <v>77000</v>
      </c>
      <c r="H402" s="12">
        <f>SUM(H404)</f>
        <v>77000</v>
      </c>
      <c r="I402" s="12"/>
      <c r="J402" s="12">
        <f>SUM(J404)</f>
        <v>77000</v>
      </c>
      <c r="K402" s="12">
        <f>SUM(K404)</f>
        <v>77000</v>
      </c>
      <c r="L402" s="12">
        <f>L404</f>
        <v>77000</v>
      </c>
      <c r="M402" s="12">
        <f>SUM(M404)</f>
        <v>64100</v>
      </c>
      <c r="N402" s="12">
        <v>64100</v>
      </c>
      <c r="O402" s="12">
        <v>64100</v>
      </c>
      <c r="P402" s="12">
        <f>SUM(P404)</f>
        <v>10791</v>
      </c>
      <c r="Q402" s="186">
        <f t="shared" si="41"/>
        <v>0.16834633385335412</v>
      </c>
      <c r="R402" s="12">
        <f>R404</f>
        <v>10791</v>
      </c>
      <c r="S402" s="12">
        <f>SUM(S403,S404)</f>
        <v>53860</v>
      </c>
      <c r="T402" s="12">
        <v>0</v>
      </c>
      <c r="U402" s="12">
        <f>SUM(U403,U404)</f>
        <v>0</v>
      </c>
      <c r="V402" s="12">
        <f>SUM(V403,V404)</f>
        <v>0</v>
      </c>
      <c r="W402" s="32">
        <f t="shared" si="37"/>
        <v>0</v>
      </c>
    </row>
    <row r="403" spans="1:23" ht="60">
      <c r="A403" s="8"/>
      <c r="B403" s="8"/>
      <c r="C403" s="26">
        <v>2540</v>
      </c>
      <c r="D403" s="27" t="s">
        <v>335</v>
      </c>
      <c r="E403" s="11"/>
      <c r="F403" s="11"/>
      <c r="G403" s="12"/>
      <c r="H403" s="12"/>
      <c r="I403" s="12"/>
      <c r="J403" s="12"/>
      <c r="K403" s="12"/>
      <c r="L403" s="12"/>
      <c r="M403" s="12"/>
      <c r="N403" s="12">
        <v>0</v>
      </c>
      <c r="O403" s="12">
        <v>0</v>
      </c>
      <c r="P403" s="12">
        <v>0</v>
      </c>
      <c r="Q403" s="186">
        <v>0</v>
      </c>
      <c r="R403" s="12">
        <v>0</v>
      </c>
      <c r="S403" s="12">
        <v>53860</v>
      </c>
      <c r="T403" s="12">
        <v>0</v>
      </c>
      <c r="U403" s="12"/>
      <c r="V403" s="12"/>
      <c r="W403" s="32">
        <f t="shared" si="37"/>
        <v>0</v>
      </c>
    </row>
    <row r="404" spans="1:23" ht="48">
      <c r="A404" s="8"/>
      <c r="B404" s="8"/>
      <c r="C404" s="26">
        <v>2540</v>
      </c>
      <c r="D404" s="27" t="s">
        <v>120</v>
      </c>
      <c r="E404" s="11">
        <v>95000</v>
      </c>
      <c r="F404" s="11">
        <v>95000</v>
      </c>
      <c r="G404" s="12">
        <v>77000</v>
      </c>
      <c r="H404" s="12">
        <v>77000</v>
      </c>
      <c r="I404" s="12"/>
      <c r="J404" s="12">
        <v>77000</v>
      </c>
      <c r="K404" s="12">
        <v>77000</v>
      </c>
      <c r="L404" s="12">
        <v>77000</v>
      </c>
      <c r="M404" s="12">
        <v>64100</v>
      </c>
      <c r="N404" s="12">
        <v>64100</v>
      </c>
      <c r="O404" s="12">
        <v>64100</v>
      </c>
      <c r="P404" s="12">
        <v>10791</v>
      </c>
      <c r="Q404" s="186">
        <f t="shared" si="41"/>
        <v>0.16834633385335412</v>
      </c>
      <c r="R404" s="12">
        <v>10791</v>
      </c>
      <c r="S404" s="12">
        <v>0</v>
      </c>
      <c r="T404" s="12">
        <v>0</v>
      </c>
      <c r="U404" s="12">
        <v>0</v>
      </c>
      <c r="V404" s="12">
        <v>0</v>
      </c>
      <c r="W404" s="32">
        <f t="shared" si="37"/>
        <v>0</v>
      </c>
    </row>
    <row r="405" spans="1:23" ht="12">
      <c r="A405" s="8"/>
      <c r="B405" s="33">
        <v>80130</v>
      </c>
      <c r="C405" s="26"/>
      <c r="D405" s="42" t="s">
        <v>126</v>
      </c>
      <c r="E405" s="35">
        <f>SUM(E406:E435)</f>
        <v>5790505</v>
      </c>
      <c r="F405" s="35">
        <f>SUM(F406:F435)</f>
        <v>5917831</v>
      </c>
      <c r="G405" s="35">
        <f>SUM(G406:G435)</f>
        <v>7518659</v>
      </c>
      <c r="H405" s="35">
        <f>SUM(H406:H435)</f>
        <v>7366370</v>
      </c>
      <c r="I405" s="35"/>
      <c r="J405" s="35">
        <f>SUM(J406:J435)</f>
        <v>6221240</v>
      </c>
      <c r="K405" s="35">
        <f>SUM(K406:K435)</f>
        <v>6980708</v>
      </c>
      <c r="L405" s="35">
        <f>SUM(L406:L436)</f>
        <v>6710048</v>
      </c>
      <c r="M405" s="35">
        <f>SUM(M406:M436)</f>
        <v>10921058</v>
      </c>
      <c r="N405" s="35">
        <v>7124370</v>
      </c>
      <c r="O405" s="35">
        <v>7137327</v>
      </c>
      <c r="P405" s="35">
        <f>SUM(P406:P436)</f>
        <v>3267104</v>
      </c>
      <c r="Q405" s="186">
        <f t="shared" si="41"/>
        <v>0.4577489583985713</v>
      </c>
      <c r="R405" s="35">
        <f>SUM(R406:R436)</f>
        <v>6885941</v>
      </c>
      <c r="S405" s="35">
        <f>SUM(S406:S436)</f>
        <v>14885700</v>
      </c>
      <c r="T405" s="35">
        <v>7719386</v>
      </c>
      <c r="U405" s="35">
        <f>SUM(U406:U436)</f>
        <v>0</v>
      </c>
      <c r="V405" s="35">
        <f>SUM(V406:V436)</f>
        <v>0</v>
      </c>
      <c r="W405" s="32">
        <f t="shared" si="37"/>
        <v>7719386</v>
      </c>
    </row>
    <row r="406" spans="1:23" ht="72">
      <c r="A406" s="8"/>
      <c r="B406" s="8"/>
      <c r="C406" s="26">
        <v>2320</v>
      </c>
      <c r="D406" s="46" t="s">
        <v>100</v>
      </c>
      <c r="E406" s="11"/>
      <c r="F406" s="11"/>
      <c r="G406" s="12"/>
      <c r="H406" s="12"/>
      <c r="I406" s="12"/>
      <c r="J406" s="12"/>
      <c r="K406" s="12"/>
      <c r="L406" s="12"/>
      <c r="M406" s="12"/>
      <c r="N406" s="12">
        <v>0</v>
      </c>
      <c r="O406" s="12">
        <v>4000</v>
      </c>
      <c r="P406" s="12">
        <v>810</v>
      </c>
      <c r="Q406" s="186">
        <f>P406/O406</f>
        <v>0.2025</v>
      </c>
      <c r="R406" s="12">
        <v>4000</v>
      </c>
      <c r="S406" s="12">
        <v>10000</v>
      </c>
      <c r="T406" s="12">
        <v>10000</v>
      </c>
      <c r="U406" s="12">
        <f>U493</f>
        <v>0</v>
      </c>
      <c r="V406" s="12">
        <f>V493</f>
        <v>0</v>
      </c>
      <c r="W406" s="32">
        <f t="shared" si="37"/>
        <v>10000</v>
      </c>
    </row>
    <row r="407" spans="1:23" ht="72">
      <c r="A407" s="8"/>
      <c r="B407" s="8"/>
      <c r="C407" s="26">
        <v>2330</v>
      </c>
      <c r="D407" s="27" t="s">
        <v>127</v>
      </c>
      <c r="E407" s="11">
        <v>34765</v>
      </c>
      <c r="F407" s="11">
        <v>34765</v>
      </c>
      <c r="G407" s="12">
        <v>30000</v>
      </c>
      <c r="H407" s="12">
        <v>30000</v>
      </c>
      <c r="I407" s="12"/>
      <c r="J407" s="12">
        <v>30000</v>
      </c>
      <c r="K407" s="12">
        <v>30000</v>
      </c>
      <c r="L407" s="12">
        <v>30000</v>
      </c>
      <c r="M407" s="12">
        <v>30000</v>
      </c>
      <c r="N407" s="12">
        <v>30000</v>
      </c>
      <c r="O407" s="12">
        <v>26000</v>
      </c>
      <c r="P407" s="12">
        <v>12180</v>
      </c>
      <c r="Q407" s="186">
        <f>P407/O407</f>
        <v>0.4684615384615385</v>
      </c>
      <c r="R407" s="12">
        <v>26000</v>
      </c>
      <c r="S407" s="12">
        <v>30000</v>
      </c>
      <c r="T407" s="12">
        <v>30000</v>
      </c>
      <c r="U407" s="12">
        <f>U494</f>
        <v>0</v>
      </c>
      <c r="V407" s="12">
        <f>V494</f>
        <v>0</v>
      </c>
      <c r="W407" s="32">
        <f t="shared" si="37"/>
        <v>30000</v>
      </c>
    </row>
    <row r="408" spans="1:23" ht="24">
      <c r="A408" s="8"/>
      <c r="B408" s="8"/>
      <c r="C408" s="26">
        <v>3020</v>
      </c>
      <c r="D408" s="27" t="s">
        <v>68</v>
      </c>
      <c r="E408" s="11">
        <v>191970</v>
      </c>
      <c r="F408" s="11">
        <v>188340</v>
      </c>
      <c r="G408" s="12">
        <v>194440</v>
      </c>
      <c r="H408" s="12">
        <v>192670</v>
      </c>
      <c r="I408" s="12"/>
      <c r="J408" s="12">
        <v>192670</v>
      </c>
      <c r="K408" s="12">
        <v>206710</v>
      </c>
      <c r="L408" s="12">
        <v>220110</v>
      </c>
      <c r="M408" s="12">
        <v>233873</v>
      </c>
      <c r="N408" s="12">
        <v>233870</v>
      </c>
      <c r="O408" s="12">
        <v>233870</v>
      </c>
      <c r="P408" s="12">
        <v>101987</v>
      </c>
      <c r="Q408" s="186">
        <f t="shared" si="41"/>
        <v>0.4360841493137213</v>
      </c>
      <c r="R408" s="12">
        <f>230250+12870</f>
        <v>243120</v>
      </c>
      <c r="S408" s="12">
        <f>248200+13290</f>
        <v>261490</v>
      </c>
      <c r="T408" s="12">
        <v>261490</v>
      </c>
      <c r="U408" s="12">
        <f aca="true" t="shared" si="44" ref="U408:U415">U438+U465</f>
        <v>0</v>
      </c>
      <c r="V408" s="12">
        <f aca="true" t="shared" si="45" ref="V408:V415">V438+V465</f>
        <v>0</v>
      </c>
      <c r="W408" s="32">
        <f t="shared" si="37"/>
        <v>261490</v>
      </c>
    </row>
    <row r="409" spans="1:23" ht="24">
      <c r="A409" s="8"/>
      <c r="B409" s="8"/>
      <c r="C409" s="26">
        <v>4010</v>
      </c>
      <c r="D409" s="27" t="s">
        <v>29</v>
      </c>
      <c r="E409" s="11">
        <v>3318550</v>
      </c>
      <c r="F409" s="11">
        <v>3318550</v>
      </c>
      <c r="G409" s="12">
        <v>3625440</v>
      </c>
      <c r="H409" s="12">
        <v>3653650</v>
      </c>
      <c r="I409" s="12">
        <v>3653650</v>
      </c>
      <c r="J409" s="12">
        <v>3653650</v>
      </c>
      <c r="K409" s="12">
        <v>3882620</v>
      </c>
      <c r="L409" s="12">
        <v>3693111</v>
      </c>
      <c r="M409" s="12">
        <v>3984902</v>
      </c>
      <c r="N409" s="12">
        <v>3984910</v>
      </c>
      <c r="O409" s="12">
        <v>3984910</v>
      </c>
      <c r="P409" s="12">
        <v>1825298</v>
      </c>
      <c r="Q409" s="186">
        <f t="shared" si="41"/>
        <v>0.45805250306782336</v>
      </c>
      <c r="R409" s="12">
        <f>3187025+809862</f>
        <v>3996887</v>
      </c>
      <c r="S409" s="12">
        <f>3588190+902270</f>
        <v>4490460</v>
      </c>
      <c r="T409" s="12">
        <v>4356330</v>
      </c>
      <c r="U409" s="12">
        <f t="shared" si="44"/>
        <v>0</v>
      </c>
      <c r="V409" s="12">
        <f t="shared" si="45"/>
        <v>0</v>
      </c>
      <c r="W409" s="32">
        <f t="shared" si="37"/>
        <v>4356330</v>
      </c>
    </row>
    <row r="410" spans="1:23" ht="12">
      <c r="A410" s="8"/>
      <c r="B410" s="8"/>
      <c r="C410" s="26">
        <v>4040</v>
      </c>
      <c r="D410" s="27" t="s">
        <v>30</v>
      </c>
      <c r="E410" s="11">
        <v>280040</v>
      </c>
      <c r="F410" s="11">
        <v>280040</v>
      </c>
      <c r="G410" s="12">
        <v>290184</v>
      </c>
      <c r="H410" s="12">
        <v>290180</v>
      </c>
      <c r="I410" s="12"/>
      <c r="J410" s="12">
        <v>290180</v>
      </c>
      <c r="K410" s="12">
        <v>290180</v>
      </c>
      <c r="L410" s="12">
        <v>251014</v>
      </c>
      <c r="M410" s="12">
        <v>306216</v>
      </c>
      <c r="N410" s="12">
        <v>306220</v>
      </c>
      <c r="O410" s="12">
        <v>298665</v>
      </c>
      <c r="P410" s="12">
        <v>296355</v>
      </c>
      <c r="Q410" s="186">
        <f t="shared" si="41"/>
        <v>0.9922655818391843</v>
      </c>
      <c r="R410" s="12">
        <f>242490+53865</f>
        <v>296355</v>
      </c>
      <c r="S410" s="12">
        <f>265990+68800</f>
        <v>334790</v>
      </c>
      <c r="T410" s="12">
        <v>315556</v>
      </c>
      <c r="U410" s="12">
        <f t="shared" si="44"/>
        <v>0</v>
      </c>
      <c r="V410" s="12">
        <f t="shared" si="45"/>
        <v>0</v>
      </c>
      <c r="W410" s="32">
        <f t="shared" si="37"/>
        <v>315556</v>
      </c>
    </row>
    <row r="411" spans="1:23" ht="24">
      <c r="A411" s="8"/>
      <c r="B411" s="8"/>
      <c r="C411" s="26">
        <v>4110</v>
      </c>
      <c r="D411" s="27" t="s">
        <v>113</v>
      </c>
      <c r="E411" s="11">
        <v>607440</v>
      </c>
      <c r="F411" s="11">
        <v>607440</v>
      </c>
      <c r="G411" s="12">
        <v>617936</v>
      </c>
      <c r="H411" s="12">
        <v>580130</v>
      </c>
      <c r="I411" s="12"/>
      <c r="J411" s="12">
        <v>580130</v>
      </c>
      <c r="K411" s="12">
        <v>618534</v>
      </c>
      <c r="L411" s="12">
        <v>641567</v>
      </c>
      <c r="M411" s="12">
        <v>699665</v>
      </c>
      <c r="N411" s="12">
        <v>640210</v>
      </c>
      <c r="O411" s="12">
        <v>640210</v>
      </c>
      <c r="P411" s="12">
        <v>296085</v>
      </c>
      <c r="Q411" s="186">
        <f t="shared" si="41"/>
        <v>0.46248106090189156</v>
      </c>
      <c r="R411" s="12">
        <f>524100+132269</f>
        <v>656369</v>
      </c>
      <c r="S411" s="12">
        <f>571960+149160</f>
        <v>721120</v>
      </c>
      <c r="T411" s="12">
        <v>721120</v>
      </c>
      <c r="U411" s="12">
        <f t="shared" si="44"/>
        <v>0</v>
      </c>
      <c r="V411" s="12">
        <f t="shared" si="45"/>
        <v>0</v>
      </c>
      <c r="W411" s="32">
        <f t="shared" si="37"/>
        <v>721120</v>
      </c>
    </row>
    <row r="412" spans="1:23" ht="12">
      <c r="A412" s="8"/>
      <c r="B412" s="8"/>
      <c r="C412" s="26">
        <v>4120</v>
      </c>
      <c r="D412" s="27" t="s">
        <v>32</v>
      </c>
      <c r="E412" s="11">
        <v>85610</v>
      </c>
      <c r="F412" s="11">
        <v>85610</v>
      </c>
      <c r="G412" s="12">
        <v>98808</v>
      </c>
      <c r="H412" s="12">
        <v>94650</v>
      </c>
      <c r="I412" s="12"/>
      <c r="J412" s="12">
        <v>94650</v>
      </c>
      <c r="K412" s="12">
        <v>100770</v>
      </c>
      <c r="L412" s="12">
        <v>102055</v>
      </c>
      <c r="M412" s="12">
        <v>111182</v>
      </c>
      <c r="N412" s="12">
        <v>102990</v>
      </c>
      <c r="O412" s="12">
        <v>102990</v>
      </c>
      <c r="P412" s="12">
        <v>46279</v>
      </c>
      <c r="Q412" s="186">
        <f t="shared" si="41"/>
        <v>0.4493543062433246</v>
      </c>
      <c r="R412" s="12">
        <f>86030+21444</f>
        <v>107474</v>
      </c>
      <c r="S412" s="12">
        <f>92500+23310</f>
        <v>115810</v>
      </c>
      <c r="T412" s="12">
        <v>115810</v>
      </c>
      <c r="U412" s="12">
        <f t="shared" si="44"/>
        <v>0</v>
      </c>
      <c r="V412" s="12">
        <f t="shared" si="45"/>
        <v>0</v>
      </c>
      <c r="W412" s="32">
        <f t="shared" si="37"/>
        <v>115810</v>
      </c>
    </row>
    <row r="413" spans="1:23" ht="12">
      <c r="A413" s="8"/>
      <c r="B413" s="8"/>
      <c r="C413" s="26">
        <v>4140</v>
      </c>
      <c r="D413" s="27" t="s">
        <v>128</v>
      </c>
      <c r="E413" s="11">
        <f>1760+10000</f>
        <v>11760</v>
      </c>
      <c r="F413" s="11">
        <f>1760+10000</f>
        <v>11760</v>
      </c>
      <c r="G413" s="12">
        <v>93600</v>
      </c>
      <c r="H413" s="12">
        <v>93600</v>
      </c>
      <c r="I413" s="12"/>
      <c r="J413" s="12">
        <v>93600</v>
      </c>
      <c r="K413" s="12">
        <v>91600</v>
      </c>
      <c r="L413" s="12">
        <v>14199</v>
      </c>
      <c r="M413" s="12">
        <v>16400</v>
      </c>
      <c r="N413" s="12">
        <v>16400</v>
      </c>
      <c r="O413" s="12">
        <v>16400</v>
      </c>
      <c r="P413" s="12"/>
      <c r="Q413" s="186">
        <f t="shared" si="41"/>
        <v>0</v>
      </c>
      <c r="R413" s="12">
        <v>0</v>
      </c>
      <c r="S413" s="12">
        <v>2000</v>
      </c>
      <c r="T413" s="12">
        <v>2000</v>
      </c>
      <c r="U413" s="12">
        <f t="shared" si="44"/>
        <v>0</v>
      </c>
      <c r="V413" s="12">
        <f t="shared" si="45"/>
        <v>0</v>
      </c>
      <c r="W413" s="32">
        <f t="shared" si="37"/>
        <v>2000</v>
      </c>
    </row>
    <row r="414" spans="1:23" ht="12">
      <c r="A414" s="8"/>
      <c r="B414" s="8"/>
      <c r="C414" s="26">
        <v>4170</v>
      </c>
      <c r="D414" s="27" t="s">
        <v>69</v>
      </c>
      <c r="E414" s="11">
        <f>101240+2000</f>
        <v>103240</v>
      </c>
      <c r="F414" s="11">
        <f>101240+2000</f>
        <v>103240</v>
      </c>
      <c r="G414" s="12">
        <v>130080</v>
      </c>
      <c r="H414" s="12">
        <v>124800</v>
      </c>
      <c r="I414" s="12"/>
      <c r="J414" s="12">
        <v>124800</v>
      </c>
      <c r="K414" s="12">
        <v>135367</v>
      </c>
      <c r="L414" s="12">
        <v>135367</v>
      </c>
      <c r="M414" s="12">
        <v>142541</v>
      </c>
      <c r="N414" s="12">
        <v>142540</v>
      </c>
      <c r="O414" s="12">
        <v>131933</v>
      </c>
      <c r="P414" s="12">
        <v>17579</v>
      </c>
      <c r="Q414" s="186">
        <f t="shared" si="41"/>
        <v>0.13324187276875385</v>
      </c>
      <c r="R414" s="12">
        <f>77543+12890</f>
        <v>90433</v>
      </c>
      <c r="S414" s="12">
        <f>77540+12890</f>
        <v>90430</v>
      </c>
      <c r="T414" s="12">
        <v>90430</v>
      </c>
      <c r="U414" s="12">
        <f t="shared" si="44"/>
        <v>0</v>
      </c>
      <c r="V414" s="12">
        <f t="shared" si="45"/>
        <v>0</v>
      </c>
      <c r="W414" s="32">
        <f t="shared" si="37"/>
        <v>90430</v>
      </c>
    </row>
    <row r="415" spans="1:23" ht="12">
      <c r="A415" s="8"/>
      <c r="B415" s="8"/>
      <c r="C415" s="26">
        <v>4210</v>
      </c>
      <c r="D415" s="27" t="s">
        <v>34</v>
      </c>
      <c r="E415" s="11">
        <v>357690</v>
      </c>
      <c r="F415" s="11">
        <v>374090</v>
      </c>
      <c r="G415" s="12">
        <v>409295</v>
      </c>
      <c r="H415" s="12">
        <v>382700</v>
      </c>
      <c r="I415" s="12"/>
      <c r="J415" s="12">
        <v>365920</v>
      </c>
      <c r="K415" s="12">
        <v>374076</v>
      </c>
      <c r="L415" s="12">
        <v>374076</v>
      </c>
      <c r="M415" s="12">
        <v>425196</v>
      </c>
      <c r="N415" s="12">
        <v>383900</v>
      </c>
      <c r="O415" s="12">
        <v>399300</v>
      </c>
      <c r="P415" s="12">
        <v>100684</v>
      </c>
      <c r="Q415" s="186">
        <f t="shared" si="41"/>
        <v>0.25215126471324817</v>
      </c>
      <c r="R415" s="12">
        <f>352400+46600</f>
        <v>399000</v>
      </c>
      <c r="S415" s="12">
        <f>362900+46600</f>
        <v>409500</v>
      </c>
      <c r="T415" s="12">
        <v>409500</v>
      </c>
      <c r="U415" s="12">
        <f t="shared" si="44"/>
        <v>0</v>
      </c>
      <c r="V415" s="12">
        <f t="shared" si="45"/>
        <v>0</v>
      </c>
      <c r="W415" s="32">
        <f t="shared" si="37"/>
        <v>409500</v>
      </c>
    </row>
    <row r="416" spans="1:23" ht="36.75" customHeight="1" hidden="1">
      <c r="A416" s="8"/>
      <c r="B416" s="8"/>
      <c r="C416" s="26">
        <v>4240</v>
      </c>
      <c r="D416" s="27" t="s">
        <v>129</v>
      </c>
      <c r="E416" s="11"/>
      <c r="F416" s="11"/>
      <c r="G416" s="12"/>
      <c r="H416" s="12"/>
      <c r="I416" s="12"/>
      <c r="J416" s="12"/>
      <c r="K416" s="12">
        <v>30400</v>
      </c>
      <c r="L416" s="12">
        <v>30400</v>
      </c>
      <c r="M416" s="12">
        <v>52908</v>
      </c>
      <c r="N416" s="12">
        <v>0</v>
      </c>
      <c r="O416" s="12">
        <v>0</v>
      </c>
      <c r="P416" s="12"/>
      <c r="Q416" s="186"/>
      <c r="R416" s="12">
        <v>15000</v>
      </c>
      <c r="S416" s="12">
        <v>15000</v>
      </c>
      <c r="T416" s="12">
        <v>0</v>
      </c>
      <c r="U416" s="12"/>
      <c r="V416" s="12"/>
      <c r="W416" s="32">
        <f aca="true" t="shared" si="46" ref="W416:W479">T416+U416-V416</f>
        <v>0</v>
      </c>
    </row>
    <row r="417" spans="1:23" ht="12">
      <c r="A417" s="8"/>
      <c r="B417" s="8"/>
      <c r="C417" s="26">
        <v>4260</v>
      </c>
      <c r="D417" s="27" t="s">
        <v>35</v>
      </c>
      <c r="E417" s="11">
        <f>ROUND(167751*101.9%,-1)</f>
        <v>170940</v>
      </c>
      <c r="F417" s="11">
        <f>ROUND(167751*101.9%,-1)</f>
        <v>170940</v>
      </c>
      <c r="G417" s="12">
        <v>188479</v>
      </c>
      <c r="H417" s="12">
        <v>174870</v>
      </c>
      <c r="I417" s="12"/>
      <c r="J417" s="12">
        <v>174870</v>
      </c>
      <c r="K417" s="12">
        <v>194870</v>
      </c>
      <c r="L417" s="12">
        <v>194870</v>
      </c>
      <c r="M417" s="12">
        <v>200522</v>
      </c>
      <c r="N417" s="12">
        <v>200520</v>
      </c>
      <c r="O417" s="12">
        <v>200520</v>
      </c>
      <c r="P417" s="12">
        <v>118320</v>
      </c>
      <c r="Q417" s="186">
        <f t="shared" si="41"/>
        <v>0.590065828845003</v>
      </c>
      <c r="R417" s="12">
        <f>71340+129180</f>
        <v>200520</v>
      </c>
      <c r="S417" s="12">
        <f>74910+135640</f>
        <v>210550</v>
      </c>
      <c r="T417" s="12">
        <v>210550</v>
      </c>
      <c r="U417" s="12">
        <f aca="true" t="shared" si="47" ref="U417:V421">U447+U474</f>
        <v>0</v>
      </c>
      <c r="V417" s="12">
        <f t="shared" si="47"/>
        <v>0</v>
      </c>
      <c r="W417" s="32">
        <f t="shared" si="46"/>
        <v>210550</v>
      </c>
    </row>
    <row r="418" spans="1:23" ht="12">
      <c r="A418" s="8"/>
      <c r="B418" s="8"/>
      <c r="C418" s="26">
        <v>4270</v>
      </c>
      <c r="D418" s="27" t="s">
        <v>36</v>
      </c>
      <c r="E418" s="11">
        <v>8870</v>
      </c>
      <c r="F418" s="11">
        <v>47626</v>
      </c>
      <c r="G418" s="12">
        <v>98253</v>
      </c>
      <c r="H418" s="12">
        <v>48720</v>
      </c>
      <c r="I418" s="12"/>
      <c r="J418" s="12">
        <v>17910</v>
      </c>
      <c r="K418" s="12">
        <v>211470</v>
      </c>
      <c r="L418" s="12">
        <v>212470</v>
      </c>
      <c r="M418" s="12">
        <v>189135</v>
      </c>
      <c r="N418" s="12">
        <v>74000</v>
      </c>
      <c r="O418" s="12">
        <v>41858</v>
      </c>
      <c r="P418" s="12">
        <v>21596</v>
      </c>
      <c r="Q418" s="186">
        <f t="shared" si="41"/>
        <v>0.5159348272731616</v>
      </c>
      <c r="R418" s="12">
        <f>62358+14500</f>
        <v>76858</v>
      </c>
      <c r="S418" s="12">
        <f>29360+14500</f>
        <v>43860</v>
      </c>
      <c r="T418" s="12">
        <v>213910</v>
      </c>
      <c r="U418" s="12">
        <f>U448+U475+U495</f>
        <v>0</v>
      </c>
      <c r="V418" s="12">
        <f>V448+V475+V495</f>
        <v>0</v>
      </c>
      <c r="W418" s="32">
        <f t="shared" si="46"/>
        <v>213910</v>
      </c>
    </row>
    <row r="419" spans="1:23" ht="12">
      <c r="A419" s="8"/>
      <c r="B419" s="8"/>
      <c r="C419" s="26">
        <v>4280</v>
      </c>
      <c r="D419" s="27" t="s">
        <v>37</v>
      </c>
      <c r="E419" s="11">
        <v>8600</v>
      </c>
      <c r="F419" s="11">
        <v>8600</v>
      </c>
      <c r="G419" s="12">
        <v>8797</v>
      </c>
      <c r="H419" s="12">
        <v>8800</v>
      </c>
      <c r="I419" s="12"/>
      <c r="J419" s="12">
        <v>8800</v>
      </c>
      <c r="K419" s="12">
        <v>8800</v>
      </c>
      <c r="L419" s="12">
        <v>8800</v>
      </c>
      <c r="M419" s="12">
        <v>9055</v>
      </c>
      <c r="N419" s="12">
        <v>9050</v>
      </c>
      <c r="O419" s="12">
        <v>9050</v>
      </c>
      <c r="P419" s="12">
        <v>1324</v>
      </c>
      <c r="Q419" s="186">
        <f t="shared" si="41"/>
        <v>0.14629834254143648</v>
      </c>
      <c r="R419" s="12">
        <f>4370+3680</f>
        <v>8050</v>
      </c>
      <c r="S419" s="12">
        <f>4370+3680</f>
        <v>8050</v>
      </c>
      <c r="T419" s="12">
        <v>8050</v>
      </c>
      <c r="U419" s="12">
        <f t="shared" si="47"/>
        <v>0</v>
      </c>
      <c r="V419" s="12">
        <f t="shared" si="47"/>
        <v>0</v>
      </c>
      <c r="W419" s="32">
        <f t="shared" si="46"/>
        <v>8050</v>
      </c>
    </row>
    <row r="420" spans="1:23" ht="12">
      <c r="A420" s="8"/>
      <c r="B420" s="8"/>
      <c r="C420" s="26">
        <v>4300</v>
      </c>
      <c r="D420" s="27" t="s">
        <v>81</v>
      </c>
      <c r="E420" s="11">
        <v>124310</v>
      </c>
      <c r="F420" s="11">
        <v>115310</v>
      </c>
      <c r="G420" s="12">
        <v>115662</v>
      </c>
      <c r="H420" s="12">
        <v>115660</v>
      </c>
      <c r="I420" s="12"/>
      <c r="J420" s="12">
        <v>115660</v>
      </c>
      <c r="K420" s="12">
        <v>107963</v>
      </c>
      <c r="L420" s="12">
        <v>106963</v>
      </c>
      <c r="M420" s="12">
        <v>110064</v>
      </c>
      <c r="N420" s="12">
        <v>110060</v>
      </c>
      <c r="O420" s="12">
        <v>110060</v>
      </c>
      <c r="P420" s="12">
        <v>60761</v>
      </c>
      <c r="Q420" s="186">
        <f t="shared" si="41"/>
        <v>0.5520715973105579</v>
      </c>
      <c r="R420" s="12">
        <f>70660+43400</f>
        <v>114060</v>
      </c>
      <c r="S420" s="12">
        <f>78660+63000</f>
        <v>141660</v>
      </c>
      <c r="T420" s="12">
        <v>150260</v>
      </c>
      <c r="U420" s="12">
        <f t="shared" si="47"/>
        <v>0</v>
      </c>
      <c r="V420" s="12">
        <f t="shared" si="47"/>
        <v>0</v>
      </c>
      <c r="W420" s="32">
        <f t="shared" si="46"/>
        <v>150260</v>
      </c>
    </row>
    <row r="421" spans="1:23" ht="24">
      <c r="A421" s="8"/>
      <c r="B421" s="8"/>
      <c r="C421" s="26">
        <v>4350</v>
      </c>
      <c r="D421" s="27" t="s">
        <v>38</v>
      </c>
      <c r="E421" s="11">
        <v>8760</v>
      </c>
      <c r="F421" s="11">
        <v>8760</v>
      </c>
      <c r="G421" s="12">
        <v>8962</v>
      </c>
      <c r="H421" s="12">
        <v>8960</v>
      </c>
      <c r="I421" s="12"/>
      <c r="J421" s="12">
        <v>8960</v>
      </c>
      <c r="K421" s="12">
        <v>7487</v>
      </c>
      <c r="L421" s="12">
        <v>7487</v>
      </c>
      <c r="M421" s="12">
        <v>7705</v>
      </c>
      <c r="N421" s="12">
        <v>7710</v>
      </c>
      <c r="O421" s="12">
        <v>7710</v>
      </c>
      <c r="P421" s="12">
        <v>3360</v>
      </c>
      <c r="Q421" s="186">
        <f t="shared" si="41"/>
        <v>0.4357976653696498</v>
      </c>
      <c r="R421" s="12">
        <f>3920+3511</f>
        <v>7431</v>
      </c>
      <c r="S421" s="12">
        <f>3920+3510</f>
        <v>7430</v>
      </c>
      <c r="T421" s="12">
        <v>7430</v>
      </c>
      <c r="U421" s="12">
        <f t="shared" si="47"/>
        <v>0</v>
      </c>
      <c r="V421" s="12">
        <f t="shared" si="47"/>
        <v>0</v>
      </c>
      <c r="W421" s="32">
        <f t="shared" si="46"/>
        <v>7430</v>
      </c>
    </row>
    <row r="422" spans="1:23" ht="36">
      <c r="A422" s="8"/>
      <c r="B422" s="8"/>
      <c r="C422" s="26">
        <v>4360</v>
      </c>
      <c r="D422" s="27" t="s">
        <v>130</v>
      </c>
      <c r="E422" s="11">
        <v>5000</v>
      </c>
      <c r="F422" s="11">
        <v>5000</v>
      </c>
      <c r="G422" s="12">
        <v>5115</v>
      </c>
      <c r="H422" s="12">
        <v>5120</v>
      </c>
      <c r="I422" s="12"/>
      <c r="J422" s="12">
        <v>5120</v>
      </c>
      <c r="K422" s="12">
        <v>5120</v>
      </c>
      <c r="L422" s="12">
        <v>5120</v>
      </c>
      <c r="M422" s="12">
        <v>5268</v>
      </c>
      <c r="N422" s="12">
        <v>5270</v>
      </c>
      <c r="O422" s="12">
        <v>5270</v>
      </c>
      <c r="P422" s="12">
        <v>2870</v>
      </c>
      <c r="Q422" s="186">
        <f t="shared" si="41"/>
        <v>0.5445920303605313</v>
      </c>
      <c r="R422" s="12">
        <v>6770</v>
      </c>
      <c r="S422" s="12">
        <v>6770</v>
      </c>
      <c r="T422" s="12">
        <v>9770</v>
      </c>
      <c r="U422" s="12">
        <f>U479</f>
        <v>0</v>
      </c>
      <c r="V422" s="12">
        <f>V479</f>
        <v>0</v>
      </c>
      <c r="W422" s="32">
        <f t="shared" si="46"/>
        <v>9770</v>
      </c>
    </row>
    <row r="423" spans="1:23" ht="36">
      <c r="A423" s="8"/>
      <c r="B423" s="8"/>
      <c r="C423" s="26">
        <v>4370</v>
      </c>
      <c r="D423" s="27" t="s">
        <v>131</v>
      </c>
      <c r="E423" s="11">
        <v>26000</v>
      </c>
      <c r="F423" s="11">
        <v>26000</v>
      </c>
      <c r="G423" s="12">
        <v>26598</v>
      </c>
      <c r="H423" s="12">
        <v>26600</v>
      </c>
      <c r="I423" s="12"/>
      <c r="J423" s="12">
        <v>26600</v>
      </c>
      <c r="K423" s="12">
        <v>26100</v>
      </c>
      <c r="L423" s="12">
        <v>26100</v>
      </c>
      <c r="M423" s="12">
        <v>26856</v>
      </c>
      <c r="N423" s="12">
        <v>26850</v>
      </c>
      <c r="O423" s="12">
        <v>26850</v>
      </c>
      <c r="P423" s="12">
        <v>8772</v>
      </c>
      <c r="Q423" s="186">
        <f t="shared" si="41"/>
        <v>0.32670391061452514</v>
      </c>
      <c r="R423" s="12">
        <f>15080+7179</f>
        <v>22259</v>
      </c>
      <c r="S423" s="12">
        <f>15080+7180</f>
        <v>22260</v>
      </c>
      <c r="T423" s="12">
        <v>18260</v>
      </c>
      <c r="U423" s="12">
        <f>U452+U480</f>
        <v>0</v>
      </c>
      <c r="V423" s="12">
        <f>V452+V480</f>
        <v>0</v>
      </c>
      <c r="W423" s="32">
        <f t="shared" si="46"/>
        <v>18260</v>
      </c>
    </row>
    <row r="424" spans="1:23" ht="12">
      <c r="A424" s="8"/>
      <c r="B424" s="8"/>
      <c r="C424" s="26">
        <v>4410</v>
      </c>
      <c r="D424" s="27" t="s">
        <v>42</v>
      </c>
      <c r="E424" s="11">
        <v>7720</v>
      </c>
      <c r="F424" s="11">
        <v>8720</v>
      </c>
      <c r="G424" s="12">
        <v>12138</v>
      </c>
      <c r="H424" s="12">
        <v>8920</v>
      </c>
      <c r="I424" s="12"/>
      <c r="J424" s="12">
        <v>8920</v>
      </c>
      <c r="K424" s="12">
        <v>9920</v>
      </c>
      <c r="L424" s="12">
        <v>9920</v>
      </c>
      <c r="M424" s="12">
        <v>12707</v>
      </c>
      <c r="N424" s="12">
        <v>12710</v>
      </c>
      <c r="O424" s="12">
        <v>12710</v>
      </c>
      <c r="P424" s="12">
        <v>7326</v>
      </c>
      <c r="Q424" s="186">
        <f t="shared" si="41"/>
        <v>0.57639653815893</v>
      </c>
      <c r="R424" s="12">
        <f>7350+5360</f>
        <v>12710</v>
      </c>
      <c r="S424" s="12">
        <f>7350+5360</f>
        <v>12710</v>
      </c>
      <c r="T424" s="12">
        <v>12710</v>
      </c>
      <c r="U424" s="12">
        <f>U453+U481</f>
        <v>0</v>
      </c>
      <c r="V424" s="12">
        <f>V453+V481</f>
        <v>0</v>
      </c>
      <c r="W424" s="32">
        <f t="shared" si="46"/>
        <v>12710</v>
      </c>
    </row>
    <row r="425" spans="1:23" ht="12" hidden="1">
      <c r="A425" s="8"/>
      <c r="B425" s="8"/>
      <c r="C425" s="26">
        <v>4420</v>
      </c>
      <c r="D425" s="27" t="s">
        <v>90</v>
      </c>
      <c r="E425" s="11">
        <v>5000</v>
      </c>
      <c r="F425" s="11">
        <v>6000</v>
      </c>
      <c r="G425" s="12">
        <v>6138</v>
      </c>
      <c r="H425" s="12">
        <v>6140</v>
      </c>
      <c r="I425" s="12"/>
      <c r="J425" s="12">
        <v>6140</v>
      </c>
      <c r="K425" s="12">
        <v>7140</v>
      </c>
      <c r="L425" s="12">
        <v>7140</v>
      </c>
      <c r="M425" s="12">
        <v>7347</v>
      </c>
      <c r="N425" s="12">
        <v>4700</v>
      </c>
      <c r="O425" s="12">
        <v>5307</v>
      </c>
      <c r="P425" s="12">
        <v>5307</v>
      </c>
      <c r="Q425" s="186">
        <f t="shared" si="41"/>
        <v>1</v>
      </c>
      <c r="R425" s="12">
        <v>5307</v>
      </c>
      <c r="S425" s="12"/>
      <c r="T425" s="12">
        <v>0</v>
      </c>
      <c r="U425" s="12"/>
      <c r="V425" s="12"/>
      <c r="W425" s="32">
        <f t="shared" si="46"/>
        <v>0</v>
      </c>
    </row>
    <row r="426" spans="1:23" ht="12">
      <c r="A426" s="8"/>
      <c r="B426" s="8"/>
      <c r="C426" s="26">
        <v>4430</v>
      </c>
      <c r="D426" s="27" t="s">
        <v>43</v>
      </c>
      <c r="E426" s="11">
        <v>23950</v>
      </c>
      <c r="F426" s="11">
        <v>22950</v>
      </c>
      <c r="G426" s="12">
        <v>23478</v>
      </c>
      <c r="H426" s="12">
        <v>23480</v>
      </c>
      <c r="I426" s="12"/>
      <c r="J426" s="12">
        <v>23480</v>
      </c>
      <c r="K426" s="12">
        <v>25703</v>
      </c>
      <c r="L426" s="12">
        <v>23703</v>
      </c>
      <c r="M426" s="12">
        <v>24391</v>
      </c>
      <c r="N426" s="12">
        <v>24390</v>
      </c>
      <c r="O426" s="12">
        <v>29669</v>
      </c>
      <c r="P426" s="12">
        <v>25951</v>
      </c>
      <c r="Q426" s="186">
        <f t="shared" si="41"/>
        <v>0.8746840136169065</v>
      </c>
      <c r="R426" s="12">
        <f>28740+2929</f>
        <v>31669</v>
      </c>
      <c r="S426" s="12">
        <f>28740+2930</f>
        <v>31670</v>
      </c>
      <c r="T426" s="12">
        <v>31670</v>
      </c>
      <c r="U426" s="12">
        <f aca="true" t="shared" si="48" ref="U426:V428">U454+U483</f>
        <v>0</v>
      </c>
      <c r="V426" s="12">
        <f t="shared" si="48"/>
        <v>0</v>
      </c>
      <c r="W426" s="32">
        <f t="shared" si="46"/>
        <v>31670</v>
      </c>
    </row>
    <row r="427" spans="1:23" ht="24">
      <c r="A427" s="8"/>
      <c r="B427" s="8"/>
      <c r="C427" s="26">
        <v>4440</v>
      </c>
      <c r="D427" s="27" t="s">
        <v>44</v>
      </c>
      <c r="E427" s="11">
        <v>214480</v>
      </c>
      <c r="F427" s="11">
        <v>214480</v>
      </c>
      <c r="G427" s="12">
        <v>248562</v>
      </c>
      <c r="H427" s="12">
        <v>211250</v>
      </c>
      <c r="I427" s="12"/>
      <c r="J427" s="12">
        <v>211250</v>
      </c>
      <c r="K427" s="12">
        <v>211250</v>
      </c>
      <c r="L427" s="12">
        <v>210948</v>
      </c>
      <c r="M427" s="12">
        <v>221247</v>
      </c>
      <c r="N427" s="12">
        <v>228290</v>
      </c>
      <c r="O427" s="12">
        <v>228290</v>
      </c>
      <c r="P427" s="12">
        <v>182075</v>
      </c>
      <c r="Q427" s="186">
        <f t="shared" si="41"/>
        <v>0.7975601208988568</v>
      </c>
      <c r="R427" s="12">
        <f>190478+52911</f>
        <v>243389</v>
      </c>
      <c r="S427" s="12">
        <f>201090+52720</f>
        <v>253810</v>
      </c>
      <c r="T427" s="12">
        <v>253810</v>
      </c>
      <c r="U427" s="12">
        <f t="shared" si="48"/>
        <v>0</v>
      </c>
      <c r="V427" s="12">
        <f t="shared" si="48"/>
        <v>0</v>
      </c>
      <c r="W427" s="32">
        <f t="shared" si="46"/>
        <v>253810</v>
      </c>
    </row>
    <row r="428" spans="1:23" ht="23.25" customHeight="1">
      <c r="A428" s="8"/>
      <c r="B428" s="8"/>
      <c r="C428" s="26">
        <v>4480</v>
      </c>
      <c r="D428" s="27" t="s">
        <v>132</v>
      </c>
      <c r="E428" s="83">
        <v>2000</v>
      </c>
      <c r="F428" s="83">
        <v>3000</v>
      </c>
      <c r="G428" s="84">
        <v>3126</v>
      </c>
      <c r="H428" s="84">
        <v>3130</v>
      </c>
      <c r="I428" s="84"/>
      <c r="J428" s="84">
        <v>3130</v>
      </c>
      <c r="K428" s="84">
        <v>2907</v>
      </c>
      <c r="L428" s="84">
        <v>2907</v>
      </c>
      <c r="M428" s="84">
        <v>2991</v>
      </c>
      <c r="N428" s="84">
        <v>2990</v>
      </c>
      <c r="O428" s="84">
        <v>2365</v>
      </c>
      <c r="P428" s="84">
        <v>1249</v>
      </c>
      <c r="Q428" s="186">
        <f t="shared" si="41"/>
        <v>0.5281183932346724</v>
      </c>
      <c r="R428" s="84">
        <f>1110+1255</f>
        <v>2365</v>
      </c>
      <c r="S428" s="84">
        <f>1110+1260</f>
        <v>2370</v>
      </c>
      <c r="T428" s="84">
        <v>2370</v>
      </c>
      <c r="U428" s="12">
        <f t="shared" si="48"/>
        <v>0</v>
      </c>
      <c r="V428" s="12">
        <f t="shared" si="48"/>
        <v>0</v>
      </c>
      <c r="W428" s="32">
        <f t="shared" si="46"/>
        <v>2370</v>
      </c>
    </row>
    <row r="429" spans="1:26" ht="36">
      <c r="A429" s="8"/>
      <c r="B429" s="8"/>
      <c r="C429" s="216">
        <v>4500</v>
      </c>
      <c r="D429" s="217" t="s">
        <v>133</v>
      </c>
      <c r="E429" s="218"/>
      <c r="F429" s="218"/>
      <c r="G429" s="219"/>
      <c r="H429" s="219"/>
      <c r="I429" s="219"/>
      <c r="J429" s="219"/>
      <c r="K429" s="219">
        <v>758</v>
      </c>
      <c r="L429" s="219">
        <v>758</v>
      </c>
      <c r="M429" s="219">
        <v>780</v>
      </c>
      <c r="N429" s="219">
        <v>780</v>
      </c>
      <c r="O429" s="219">
        <v>780</v>
      </c>
      <c r="P429" s="219">
        <v>525</v>
      </c>
      <c r="Q429" s="220">
        <f t="shared" si="41"/>
        <v>0.6730769230769231</v>
      </c>
      <c r="R429" s="219">
        <f>1050+820</f>
        <v>1870</v>
      </c>
      <c r="S429" s="219">
        <v>1050</v>
      </c>
      <c r="T429" s="219">
        <v>1050</v>
      </c>
      <c r="U429" s="221">
        <f>U486</f>
        <v>0</v>
      </c>
      <c r="V429" s="221">
        <f>V486</f>
        <v>0</v>
      </c>
      <c r="W429" s="222">
        <f t="shared" si="46"/>
        <v>1050</v>
      </c>
      <c r="Y429" s="228">
        <f>Y486</f>
        <v>0</v>
      </c>
      <c r="Z429" s="228">
        <f>Z486</f>
        <v>0</v>
      </c>
    </row>
    <row r="430" spans="1:26" ht="12">
      <c r="A430" s="8"/>
      <c r="B430" s="8"/>
      <c r="C430" s="26">
        <v>4510</v>
      </c>
      <c r="D430" s="27" t="s">
        <v>91</v>
      </c>
      <c r="E430" s="83"/>
      <c r="F430" s="83"/>
      <c r="G430" s="84">
        <v>500</v>
      </c>
      <c r="H430" s="84">
        <v>500</v>
      </c>
      <c r="I430" s="84"/>
      <c r="J430" s="84">
        <v>500</v>
      </c>
      <c r="K430" s="84">
        <v>500</v>
      </c>
      <c r="L430" s="84">
        <v>500</v>
      </c>
      <c r="M430" s="84">
        <v>515</v>
      </c>
      <c r="N430" s="84">
        <v>520</v>
      </c>
      <c r="O430" s="84">
        <v>520</v>
      </c>
      <c r="P430" s="84">
        <v>100</v>
      </c>
      <c r="Q430" s="186">
        <f t="shared" si="41"/>
        <v>0.19230769230769232</v>
      </c>
      <c r="R430" s="84">
        <v>0</v>
      </c>
      <c r="S430" s="84">
        <v>820</v>
      </c>
      <c r="T430" s="84">
        <v>820</v>
      </c>
      <c r="U430" s="84">
        <f>U457</f>
        <v>0</v>
      </c>
      <c r="V430" s="84">
        <f>V457</f>
        <v>0</v>
      </c>
      <c r="W430" s="32">
        <f t="shared" si="46"/>
        <v>820</v>
      </c>
      <c r="Y430" s="229"/>
      <c r="Z430" s="229"/>
    </row>
    <row r="431" spans="1:26" ht="36">
      <c r="A431" s="8"/>
      <c r="B431" s="8"/>
      <c r="C431" s="216">
        <v>4700</v>
      </c>
      <c r="D431" s="217" t="s">
        <v>46</v>
      </c>
      <c r="E431" s="218">
        <v>4900</v>
      </c>
      <c r="F431" s="218">
        <v>7900</v>
      </c>
      <c r="G431" s="219">
        <v>7969</v>
      </c>
      <c r="H431" s="219">
        <v>7970</v>
      </c>
      <c r="I431" s="219"/>
      <c r="J431" s="219">
        <v>7970</v>
      </c>
      <c r="K431" s="219">
        <v>7970</v>
      </c>
      <c r="L431" s="219">
        <v>7970</v>
      </c>
      <c r="M431" s="219">
        <v>8201</v>
      </c>
      <c r="N431" s="219">
        <v>8200</v>
      </c>
      <c r="O431" s="219">
        <v>8200</v>
      </c>
      <c r="P431" s="219">
        <v>2632</v>
      </c>
      <c r="Q431" s="220">
        <f t="shared" si="41"/>
        <v>0.32097560975609757</v>
      </c>
      <c r="R431" s="219">
        <f>3160+5040</f>
        <v>8200</v>
      </c>
      <c r="S431" s="219">
        <f>3160+5040</f>
        <v>8200</v>
      </c>
      <c r="T431" s="219">
        <v>9200</v>
      </c>
      <c r="U431" s="219">
        <f>U458+U487</f>
        <v>0</v>
      </c>
      <c r="V431" s="219">
        <f aca="true" t="shared" si="49" ref="U431:V433">V458+V487</f>
        <v>0</v>
      </c>
      <c r="W431" s="222">
        <f t="shared" si="46"/>
        <v>9200</v>
      </c>
      <c r="Y431" s="229">
        <f>Y458+Y487</f>
        <v>0</v>
      </c>
      <c r="Z431" s="229">
        <f>Z458+Z487</f>
        <v>0</v>
      </c>
    </row>
    <row r="432" spans="1:23" ht="36">
      <c r="A432" s="8"/>
      <c r="B432" s="8"/>
      <c r="C432" s="26">
        <v>4740</v>
      </c>
      <c r="D432" s="27" t="s">
        <v>73</v>
      </c>
      <c r="E432" s="83">
        <v>2500</v>
      </c>
      <c r="F432" s="83">
        <v>10500</v>
      </c>
      <c r="G432" s="84">
        <v>10784</v>
      </c>
      <c r="H432" s="84">
        <v>10790</v>
      </c>
      <c r="I432" s="84"/>
      <c r="J432" s="84">
        <v>10750</v>
      </c>
      <c r="K432" s="84">
        <v>9750</v>
      </c>
      <c r="L432" s="84">
        <v>9750</v>
      </c>
      <c r="M432" s="84">
        <v>10033</v>
      </c>
      <c r="N432" s="84">
        <v>10030</v>
      </c>
      <c r="O432" s="84">
        <v>10030</v>
      </c>
      <c r="P432" s="84">
        <v>4664</v>
      </c>
      <c r="Q432" s="186">
        <f t="shared" si="41"/>
        <v>0.4650049850448654</v>
      </c>
      <c r="R432" s="84">
        <f>7400+2630</f>
        <v>10030</v>
      </c>
      <c r="S432" s="84">
        <f>7400+2630</f>
        <v>10030</v>
      </c>
      <c r="T432" s="84">
        <v>10030</v>
      </c>
      <c r="U432" s="84">
        <f t="shared" si="49"/>
        <v>0</v>
      </c>
      <c r="V432" s="84">
        <f t="shared" si="49"/>
        <v>0</v>
      </c>
      <c r="W432" s="32">
        <f t="shared" si="46"/>
        <v>10030</v>
      </c>
    </row>
    <row r="433" spans="1:23" ht="24">
      <c r="A433" s="8"/>
      <c r="B433" s="8"/>
      <c r="C433" s="26">
        <v>4750</v>
      </c>
      <c r="D433" s="27" t="s">
        <v>118</v>
      </c>
      <c r="E433" s="83">
        <v>10220</v>
      </c>
      <c r="F433" s="83">
        <v>15220</v>
      </c>
      <c r="G433" s="84">
        <v>16815</v>
      </c>
      <c r="H433" s="84">
        <v>15580</v>
      </c>
      <c r="I433" s="84"/>
      <c r="J433" s="84">
        <v>15580</v>
      </c>
      <c r="K433" s="84">
        <v>26003</v>
      </c>
      <c r="L433" s="84">
        <v>26003</v>
      </c>
      <c r="M433" s="84">
        <v>27258</v>
      </c>
      <c r="N433" s="84">
        <v>27260</v>
      </c>
      <c r="O433" s="84">
        <v>27260</v>
      </c>
      <c r="P433" s="84">
        <v>13060</v>
      </c>
      <c r="Q433" s="186">
        <f t="shared" si="41"/>
        <v>0.47909024211298606</v>
      </c>
      <c r="R433" s="84">
        <f>15560+11700</f>
        <v>27260</v>
      </c>
      <c r="S433" s="84">
        <f>15560+11700</f>
        <v>27260</v>
      </c>
      <c r="T433" s="84">
        <v>27260</v>
      </c>
      <c r="U433" s="84">
        <f t="shared" si="49"/>
        <v>0</v>
      </c>
      <c r="V433" s="84">
        <f t="shared" si="49"/>
        <v>0</v>
      </c>
      <c r="W433" s="32">
        <f t="shared" si="46"/>
        <v>27260</v>
      </c>
    </row>
    <row r="434" spans="1:23" ht="36.75" customHeight="1" hidden="1">
      <c r="A434" s="8"/>
      <c r="B434" s="8"/>
      <c r="C434" s="26">
        <v>4610</v>
      </c>
      <c r="D434" s="27" t="s">
        <v>56</v>
      </c>
      <c r="E434" s="11"/>
      <c r="F434" s="11"/>
      <c r="G434" s="12"/>
      <c r="H434" s="12"/>
      <c r="I434" s="12"/>
      <c r="J434" s="12"/>
      <c r="K434" s="12">
        <v>1740</v>
      </c>
      <c r="L434" s="12">
        <v>1740</v>
      </c>
      <c r="M434" s="12">
        <v>0</v>
      </c>
      <c r="N434" s="12">
        <v>0</v>
      </c>
      <c r="O434" s="12">
        <v>0</v>
      </c>
      <c r="P434" s="12">
        <v>0</v>
      </c>
      <c r="Q434" s="186"/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32">
        <f t="shared" si="46"/>
        <v>0</v>
      </c>
    </row>
    <row r="435" spans="1:23" ht="24">
      <c r="A435" s="8"/>
      <c r="B435" s="8"/>
      <c r="C435" s="9">
        <v>6050</v>
      </c>
      <c r="D435" s="10" t="s">
        <v>49</v>
      </c>
      <c r="E435" s="83">
        <v>176190</v>
      </c>
      <c r="F435" s="83">
        <v>242990</v>
      </c>
      <c r="G435" s="84">
        <v>1247500</v>
      </c>
      <c r="H435" s="84">
        <v>1247500</v>
      </c>
      <c r="I435" s="84"/>
      <c r="J435" s="84">
        <v>150000</v>
      </c>
      <c r="K435" s="84">
        <v>355000</v>
      </c>
      <c r="L435" s="84">
        <v>355000</v>
      </c>
      <c r="M435" s="84">
        <v>3436000</v>
      </c>
      <c r="N435" s="84">
        <v>530000</v>
      </c>
      <c r="O435" s="84">
        <v>562600</v>
      </c>
      <c r="P435" s="84">
        <v>100000</v>
      </c>
      <c r="Q435" s="186">
        <f t="shared" si="41"/>
        <v>0.17774617845716317</v>
      </c>
      <c r="R435" s="84">
        <f>214600+48000</f>
        <v>262600</v>
      </c>
      <c r="S435" s="84">
        <v>6522500</v>
      </c>
      <c r="T435" s="84">
        <v>440000</v>
      </c>
      <c r="U435" s="84">
        <f>U496</f>
        <v>0</v>
      </c>
      <c r="V435" s="84">
        <f>V496</f>
        <v>0</v>
      </c>
      <c r="W435" s="32">
        <f t="shared" si="46"/>
        <v>440000</v>
      </c>
    </row>
    <row r="436" spans="1:23" ht="24" hidden="1">
      <c r="A436" s="8"/>
      <c r="B436" s="8"/>
      <c r="C436" s="9">
        <v>6060</v>
      </c>
      <c r="D436" s="10" t="s">
        <v>50</v>
      </c>
      <c r="E436" s="83"/>
      <c r="F436" s="83"/>
      <c r="G436" s="84"/>
      <c r="H436" s="84"/>
      <c r="I436" s="84"/>
      <c r="J436" s="84">
        <v>0</v>
      </c>
      <c r="K436" s="84">
        <v>0</v>
      </c>
      <c r="L436" s="84">
        <v>0</v>
      </c>
      <c r="M436" s="84">
        <v>618100</v>
      </c>
      <c r="N436" s="84">
        <v>0</v>
      </c>
      <c r="O436" s="84">
        <v>10000</v>
      </c>
      <c r="P436" s="84">
        <v>9955</v>
      </c>
      <c r="Q436" s="186">
        <f t="shared" si="41"/>
        <v>0.9955</v>
      </c>
      <c r="R436" s="84">
        <v>9955</v>
      </c>
      <c r="S436" s="84">
        <f>164100+930000</f>
        <v>1094100</v>
      </c>
      <c r="T436" s="84">
        <v>0</v>
      </c>
      <c r="U436" s="84"/>
      <c r="V436" s="84"/>
      <c r="W436" s="32">
        <f t="shared" si="46"/>
        <v>0</v>
      </c>
    </row>
    <row r="437" spans="1:23" ht="12">
      <c r="A437" s="8"/>
      <c r="B437" s="56"/>
      <c r="C437" s="25" t="s">
        <v>121</v>
      </c>
      <c r="D437" s="42" t="s">
        <v>134</v>
      </c>
      <c r="E437" s="11">
        <f>SUM(E438:E461)</f>
        <v>1240360</v>
      </c>
      <c r="F437" s="11">
        <f>SUM(F438:F461)</f>
        <v>1320486</v>
      </c>
      <c r="G437" s="11">
        <f>SUM(G438:G461)</f>
        <v>1615684</v>
      </c>
      <c r="H437" s="11">
        <f>SUM(H438:H461)</f>
        <v>1322620</v>
      </c>
      <c r="I437" s="11"/>
      <c r="J437" s="11">
        <f>SUM(J438:J461)</f>
        <v>1411080</v>
      </c>
      <c r="K437" s="11">
        <f>SUM(K438:K461)</f>
        <v>1322574</v>
      </c>
      <c r="L437" s="11">
        <f>SUM(L438:L462)</f>
        <v>1232712</v>
      </c>
      <c r="M437" s="11">
        <f>SUM(M438:M462)</f>
        <v>2785772</v>
      </c>
      <c r="N437" s="11">
        <v>1501240</v>
      </c>
      <c r="O437" s="11">
        <v>1493339</v>
      </c>
      <c r="P437" s="11">
        <f>SUM(P438:P463)</f>
        <v>685665</v>
      </c>
      <c r="Q437" s="186">
        <f t="shared" si="41"/>
        <v>0.4591489273366597</v>
      </c>
      <c r="R437" s="11">
        <f>SUM(R438:R463)</f>
        <v>1421895</v>
      </c>
      <c r="S437" s="11">
        <f>SUM(S438:S463)</f>
        <v>2458290</v>
      </c>
      <c r="T437" s="11">
        <v>1633067</v>
      </c>
      <c r="U437" s="11">
        <f>SUM(U438:U463)</f>
        <v>0</v>
      </c>
      <c r="V437" s="11">
        <f>SUM(V438:V463)</f>
        <v>0</v>
      </c>
      <c r="W437" s="32">
        <f t="shared" si="46"/>
        <v>1633067</v>
      </c>
    </row>
    <row r="438" spans="1:23" ht="24">
      <c r="A438" s="8"/>
      <c r="B438" s="8"/>
      <c r="C438" s="26">
        <v>3020</v>
      </c>
      <c r="D438" s="27" t="s">
        <v>68</v>
      </c>
      <c r="E438" s="11">
        <v>12230</v>
      </c>
      <c r="F438" s="11">
        <v>12230</v>
      </c>
      <c r="G438" s="12">
        <v>14280</v>
      </c>
      <c r="H438" s="12">
        <v>12510</v>
      </c>
      <c r="I438" s="12"/>
      <c r="J438" s="12">
        <v>12510</v>
      </c>
      <c r="K438" s="12">
        <v>12510</v>
      </c>
      <c r="L438" s="12">
        <v>12510</v>
      </c>
      <c r="M438" s="12">
        <v>12873</v>
      </c>
      <c r="N438" s="12">
        <v>12870</v>
      </c>
      <c r="O438" s="12">
        <v>12870</v>
      </c>
      <c r="P438" s="12">
        <v>7009</v>
      </c>
      <c r="Q438" s="186">
        <f t="shared" si="41"/>
        <v>0.5445998445998446</v>
      </c>
      <c r="R438" s="12">
        <v>12870</v>
      </c>
      <c r="S438" s="12">
        <v>13290</v>
      </c>
      <c r="T438" s="12">
        <v>13290</v>
      </c>
      <c r="U438" s="12"/>
      <c r="V438" s="12"/>
      <c r="W438" s="32">
        <f t="shared" si="46"/>
        <v>13290</v>
      </c>
    </row>
    <row r="439" spans="1:23" ht="24">
      <c r="A439" s="8"/>
      <c r="B439" s="8"/>
      <c r="C439" s="26">
        <v>4010</v>
      </c>
      <c r="D439" s="27" t="s">
        <v>29</v>
      </c>
      <c r="E439" s="11">
        <v>677880</v>
      </c>
      <c r="F439" s="11">
        <v>677880</v>
      </c>
      <c r="G439" s="12">
        <v>745401</v>
      </c>
      <c r="H439" s="12">
        <v>745400</v>
      </c>
      <c r="I439" s="12"/>
      <c r="J439" s="12">
        <v>745400</v>
      </c>
      <c r="K439" s="12">
        <v>786350</v>
      </c>
      <c r="L439" s="12">
        <v>717704</v>
      </c>
      <c r="M439" s="12">
        <v>883417</v>
      </c>
      <c r="N439" s="12">
        <v>883420</v>
      </c>
      <c r="O439" s="12">
        <v>883420</v>
      </c>
      <c r="P439" s="12">
        <v>386686</v>
      </c>
      <c r="Q439" s="186">
        <f t="shared" si="41"/>
        <v>0.4377147902469946</v>
      </c>
      <c r="R439" s="12">
        <v>809862</v>
      </c>
      <c r="S439" s="12">
        <v>902270</v>
      </c>
      <c r="T439" s="12">
        <v>878397</v>
      </c>
      <c r="U439" s="12"/>
      <c r="V439" s="12"/>
      <c r="W439" s="32">
        <f t="shared" si="46"/>
        <v>878397</v>
      </c>
    </row>
    <row r="440" spans="1:23" ht="12">
      <c r="A440" s="8"/>
      <c r="B440" s="8"/>
      <c r="C440" s="26">
        <v>4040</v>
      </c>
      <c r="D440" s="27" t="s">
        <v>30</v>
      </c>
      <c r="E440" s="11">
        <v>76760</v>
      </c>
      <c r="F440" s="11">
        <v>76760</v>
      </c>
      <c r="G440" s="12">
        <v>57422</v>
      </c>
      <c r="H440" s="12">
        <v>57420</v>
      </c>
      <c r="I440" s="12"/>
      <c r="J440" s="12">
        <v>57420</v>
      </c>
      <c r="K440" s="12">
        <v>57420</v>
      </c>
      <c r="L440" s="12">
        <v>52555</v>
      </c>
      <c r="M440" s="12">
        <v>61416</v>
      </c>
      <c r="N440" s="12">
        <v>61420</v>
      </c>
      <c r="O440" s="12">
        <v>53865</v>
      </c>
      <c r="P440" s="12">
        <v>53865</v>
      </c>
      <c r="Q440" s="186">
        <f t="shared" si="41"/>
        <v>1</v>
      </c>
      <c r="R440" s="12">
        <v>53865</v>
      </c>
      <c r="S440" s="12">
        <v>68800</v>
      </c>
      <c r="T440" s="12">
        <v>68800</v>
      </c>
      <c r="U440" s="12"/>
      <c r="V440" s="12"/>
      <c r="W440" s="32">
        <f t="shared" si="46"/>
        <v>68800</v>
      </c>
    </row>
    <row r="441" spans="1:23" ht="24">
      <c r="A441" s="8"/>
      <c r="B441" s="8"/>
      <c r="C441" s="26">
        <v>4110</v>
      </c>
      <c r="D441" s="27" t="s">
        <v>113</v>
      </c>
      <c r="E441" s="11">
        <v>127380</v>
      </c>
      <c r="F441" s="11">
        <v>127380</v>
      </c>
      <c r="G441" s="12">
        <v>123140</v>
      </c>
      <c r="H441" s="12">
        <v>114000</v>
      </c>
      <c r="I441" s="12"/>
      <c r="J441" s="12">
        <v>114000</v>
      </c>
      <c r="K441" s="12">
        <v>120100</v>
      </c>
      <c r="L441" s="12">
        <v>113517</v>
      </c>
      <c r="M441" s="12">
        <v>154065</v>
      </c>
      <c r="N441" s="12">
        <v>143620</v>
      </c>
      <c r="O441" s="12">
        <v>143620</v>
      </c>
      <c r="P441" s="12">
        <v>61138</v>
      </c>
      <c r="Q441" s="186">
        <f t="shared" si="41"/>
        <v>0.4256928004456204</v>
      </c>
      <c r="R441" s="12">
        <v>132269</v>
      </c>
      <c r="S441" s="12">
        <v>149160</v>
      </c>
      <c r="T441" s="12">
        <v>149160</v>
      </c>
      <c r="U441" s="12"/>
      <c r="V441" s="12"/>
      <c r="W441" s="32">
        <f t="shared" si="46"/>
        <v>149160</v>
      </c>
    </row>
    <row r="442" spans="1:23" ht="12">
      <c r="A442" s="8"/>
      <c r="B442" s="8"/>
      <c r="C442" s="26">
        <v>4120</v>
      </c>
      <c r="D442" s="27" t="s">
        <v>32</v>
      </c>
      <c r="E442" s="11">
        <v>17360</v>
      </c>
      <c r="F442" s="11">
        <v>17360</v>
      </c>
      <c r="G442" s="12">
        <v>19108</v>
      </c>
      <c r="H442" s="12">
        <v>19270</v>
      </c>
      <c r="I442" s="12"/>
      <c r="J442" s="12">
        <v>19270</v>
      </c>
      <c r="K442" s="12">
        <v>20230</v>
      </c>
      <c r="L442" s="12">
        <v>17715</v>
      </c>
      <c r="M442" s="12">
        <v>24042</v>
      </c>
      <c r="N442" s="12">
        <v>22680</v>
      </c>
      <c r="O442" s="12">
        <v>22680</v>
      </c>
      <c r="P442" s="12">
        <v>9502</v>
      </c>
      <c r="Q442" s="186">
        <f t="shared" si="41"/>
        <v>0.4189594356261023</v>
      </c>
      <c r="R442" s="12">
        <v>21444</v>
      </c>
      <c r="S442" s="12">
        <v>23310</v>
      </c>
      <c r="T442" s="12">
        <v>23310</v>
      </c>
      <c r="U442" s="12"/>
      <c r="V442" s="12"/>
      <c r="W442" s="32">
        <f t="shared" si="46"/>
        <v>23310</v>
      </c>
    </row>
    <row r="443" spans="1:23" ht="12">
      <c r="A443" s="8"/>
      <c r="B443" s="8"/>
      <c r="C443" s="26">
        <v>4140</v>
      </c>
      <c r="D443" s="27" t="s">
        <v>128</v>
      </c>
      <c r="E443" s="11">
        <v>0</v>
      </c>
      <c r="F443" s="11">
        <v>0</v>
      </c>
      <c r="G443" s="12">
        <v>6000</v>
      </c>
      <c r="H443" s="12">
        <v>6000</v>
      </c>
      <c r="I443" s="12"/>
      <c r="J443" s="12">
        <v>6000</v>
      </c>
      <c r="K443" s="12">
        <v>6000</v>
      </c>
      <c r="L443" s="12">
        <v>199</v>
      </c>
      <c r="M443" s="12">
        <v>2000</v>
      </c>
      <c r="N443" s="12">
        <v>2000</v>
      </c>
      <c r="O443" s="12">
        <v>2000</v>
      </c>
      <c r="P443" s="12"/>
      <c r="Q443" s="186">
        <f t="shared" si="41"/>
        <v>0</v>
      </c>
      <c r="R443" s="12">
        <v>0</v>
      </c>
      <c r="S443" s="12">
        <v>2000</v>
      </c>
      <c r="T443" s="12">
        <v>2000</v>
      </c>
      <c r="U443" s="12"/>
      <c r="V443" s="12"/>
      <c r="W443" s="32">
        <f t="shared" si="46"/>
        <v>2000</v>
      </c>
    </row>
    <row r="444" spans="1:23" ht="12">
      <c r="A444" s="8"/>
      <c r="B444" s="8"/>
      <c r="C444" s="26">
        <v>4170</v>
      </c>
      <c r="D444" s="27" t="s">
        <v>69</v>
      </c>
      <c r="E444" s="11">
        <f>5200+2000</f>
        <v>7200</v>
      </c>
      <c r="F444" s="11">
        <f>5200+2000</f>
        <v>7200</v>
      </c>
      <c r="G444" s="12">
        <v>12655</v>
      </c>
      <c r="H444" s="12">
        <v>7370</v>
      </c>
      <c r="I444" s="12"/>
      <c r="J444" s="12">
        <v>7370</v>
      </c>
      <c r="K444" s="12">
        <v>9370</v>
      </c>
      <c r="L444" s="12">
        <v>9370</v>
      </c>
      <c r="M444" s="12">
        <v>12890</v>
      </c>
      <c r="N444" s="12">
        <v>12890</v>
      </c>
      <c r="O444" s="12">
        <v>12890</v>
      </c>
      <c r="P444" s="12">
        <v>3334</v>
      </c>
      <c r="Q444" s="186">
        <f t="shared" si="41"/>
        <v>0.25865011636927854</v>
      </c>
      <c r="R444" s="12">
        <v>12890</v>
      </c>
      <c r="S444" s="12">
        <v>12890</v>
      </c>
      <c r="T444" s="12">
        <v>12890</v>
      </c>
      <c r="U444" s="12"/>
      <c r="V444" s="12"/>
      <c r="W444" s="32">
        <f t="shared" si="46"/>
        <v>12890</v>
      </c>
    </row>
    <row r="445" spans="1:23" ht="12">
      <c r="A445" s="8"/>
      <c r="B445" s="8"/>
      <c r="C445" s="26">
        <v>4210</v>
      </c>
      <c r="D445" s="27" t="s">
        <v>34</v>
      </c>
      <c r="E445" s="11">
        <f>ROUND(56220*101.9%,-1)-12720</f>
        <v>44570</v>
      </c>
      <c r="F445" s="11">
        <f>ROUND(56220*101.9%,-1)-12720</f>
        <v>44570</v>
      </c>
      <c r="G445" s="12">
        <v>72196</v>
      </c>
      <c r="H445" s="12">
        <v>45600</v>
      </c>
      <c r="I445" s="12"/>
      <c r="J445" s="12">
        <v>45600</v>
      </c>
      <c r="K445" s="12">
        <v>45600</v>
      </c>
      <c r="L445" s="12">
        <v>45600</v>
      </c>
      <c r="M445" s="12">
        <v>84796</v>
      </c>
      <c r="N445" s="12">
        <v>46900</v>
      </c>
      <c r="O445" s="12">
        <v>46900</v>
      </c>
      <c r="P445" s="12">
        <v>8393</v>
      </c>
      <c r="Q445" s="186">
        <f aca="true" t="shared" si="50" ref="Q445:Q509">P445/O445</f>
        <v>0.178955223880597</v>
      </c>
      <c r="R445" s="12">
        <v>46600</v>
      </c>
      <c r="S445" s="12">
        <v>46600</v>
      </c>
      <c r="T445" s="12">
        <v>46600</v>
      </c>
      <c r="U445" s="12"/>
      <c r="V445" s="12"/>
      <c r="W445" s="32">
        <f t="shared" si="46"/>
        <v>46600</v>
      </c>
    </row>
    <row r="446" spans="1:23" ht="28.5" customHeight="1" hidden="1">
      <c r="A446" s="8"/>
      <c r="B446" s="8"/>
      <c r="C446" s="26">
        <v>4240</v>
      </c>
      <c r="D446" s="27" t="s">
        <v>117</v>
      </c>
      <c r="E446" s="11">
        <v>0</v>
      </c>
      <c r="F446" s="11">
        <v>30000</v>
      </c>
      <c r="G446" s="12">
        <v>175956</v>
      </c>
      <c r="H446" s="12">
        <v>30690</v>
      </c>
      <c r="I446" s="12"/>
      <c r="J446" s="12"/>
      <c r="K446" s="12">
        <v>6000</v>
      </c>
      <c r="L446" s="12">
        <v>6000</v>
      </c>
      <c r="M446" s="12">
        <v>27800</v>
      </c>
      <c r="N446" s="12">
        <v>0</v>
      </c>
      <c r="O446" s="12">
        <v>0</v>
      </c>
      <c r="P446" s="12"/>
      <c r="Q446" s="186"/>
      <c r="R446" s="12">
        <v>0</v>
      </c>
      <c r="S446" s="12"/>
      <c r="T446" s="12">
        <v>0</v>
      </c>
      <c r="U446" s="12"/>
      <c r="V446" s="12"/>
      <c r="W446" s="32">
        <f t="shared" si="46"/>
        <v>0</v>
      </c>
    </row>
    <row r="447" spans="1:23" ht="12">
      <c r="A447" s="8"/>
      <c r="B447" s="8"/>
      <c r="C447" s="26">
        <v>4260</v>
      </c>
      <c r="D447" s="27" t="s">
        <v>35</v>
      </c>
      <c r="E447" s="11">
        <v>122720</v>
      </c>
      <c r="F447" s="11">
        <v>122720</v>
      </c>
      <c r="G447" s="12">
        <v>139150</v>
      </c>
      <c r="H447" s="12">
        <v>125540</v>
      </c>
      <c r="I447" s="12"/>
      <c r="J447" s="12">
        <v>125540</v>
      </c>
      <c r="K447" s="12">
        <v>125540</v>
      </c>
      <c r="L447" s="12">
        <v>125540</v>
      </c>
      <c r="M447" s="12">
        <v>129181</v>
      </c>
      <c r="N447" s="12">
        <v>129180</v>
      </c>
      <c r="O447" s="12">
        <v>129180</v>
      </c>
      <c r="P447" s="12">
        <v>80705</v>
      </c>
      <c r="Q447" s="186">
        <f t="shared" si="50"/>
        <v>0.6247484130670382</v>
      </c>
      <c r="R447" s="12">
        <v>129180</v>
      </c>
      <c r="S447" s="12">
        <v>135640</v>
      </c>
      <c r="T447" s="12">
        <v>135640</v>
      </c>
      <c r="U447" s="12"/>
      <c r="V447" s="12"/>
      <c r="W447" s="32">
        <f t="shared" si="46"/>
        <v>135640</v>
      </c>
    </row>
    <row r="448" spans="1:23" ht="12">
      <c r="A448" s="8"/>
      <c r="B448" s="8"/>
      <c r="C448" s="26">
        <v>4270</v>
      </c>
      <c r="D448" s="27" t="s">
        <v>36</v>
      </c>
      <c r="E448" s="11">
        <v>6500</v>
      </c>
      <c r="F448" s="11">
        <v>36626</v>
      </c>
      <c r="G448" s="12">
        <v>87000</v>
      </c>
      <c r="H448" s="12">
        <v>37470</v>
      </c>
      <c r="I448" s="12"/>
      <c r="J448" s="12">
        <v>6660</v>
      </c>
      <c r="K448" s="12">
        <v>11660</v>
      </c>
      <c r="L448" s="12">
        <v>11660</v>
      </c>
      <c r="M448" s="12">
        <v>132500</v>
      </c>
      <c r="N448" s="12">
        <v>62500</v>
      </c>
      <c r="O448" s="12">
        <v>14500</v>
      </c>
      <c r="P448" s="12">
        <v>1293</v>
      </c>
      <c r="Q448" s="186">
        <f t="shared" si="50"/>
        <v>0.08917241379310345</v>
      </c>
      <c r="R448" s="12">
        <v>14500</v>
      </c>
      <c r="S448" s="12">
        <v>14500</v>
      </c>
      <c r="T448" s="12">
        <v>134550</v>
      </c>
      <c r="U448" s="12"/>
      <c r="V448" s="12"/>
      <c r="W448" s="32">
        <f t="shared" si="46"/>
        <v>134550</v>
      </c>
    </row>
    <row r="449" spans="1:23" ht="12">
      <c r="A449" s="8"/>
      <c r="B449" s="8"/>
      <c r="C449" s="26">
        <v>4280</v>
      </c>
      <c r="D449" s="27" t="s">
        <v>37</v>
      </c>
      <c r="E449" s="11">
        <v>3500</v>
      </c>
      <c r="F449" s="11">
        <v>3500</v>
      </c>
      <c r="G449" s="12">
        <v>3580</v>
      </c>
      <c r="H449" s="12">
        <v>3580</v>
      </c>
      <c r="I449" s="12"/>
      <c r="J449" s="12">
        <v>3580</v>
      </c>
      <c r="K449" s="12">
        <v>3580</v>
      </c>
      <c r="L449" s="12">
        <v>3580</v>
      </c>
      <c r="M449" s="12">
        <v>3684</v>
      </c>
      <c r="N449" s="12">
        <v>3680</v>
      </c>
      <c r="O449" s="12">
        <v>3680</v>
      </c>
      <c r="P449" s="12">
        <v>895</v>
      </c>
      <c r="Q449" s="186">
        <f t="shared" si="50"/>
        <v>0.24320652173913043</v>
      </c>
      <c r="R449" s="12">
        <v>3680</v>
      </c>
      <c r="S449" s="12">
        <v>3680</v>
      </c>
      <c r="T449" s="12">
        <v>3680</v>
      </c>
      <c r="U449" s="12"/>
      <c r="V449" s="12"/>
      <c r="W449" s="32">
        <f t="shared" si="46"/>
        <v>3680</v>
      </c>
    </row>
    <row r="450" spans="1:23" ht="12">
      <c r="A450" s="8"/>
      <c r="B450" s="8"/>
      <c r="C450" s="26">
        <v>4300</v>
      </c>
      <c r="D450" s="27" t="s">
        <v>81</v>
      </c>
      <c r="E450" s="11">
        <f>ROUND(51540*101.9%,-1)-4900-8000</f>
        <v>39620</v>
      </c>
      <c r="F450" s="11">
        <f>ROUND(51540*101.9%,-1)-4900-8000</f>
        <v>39620</v>
      </c>
      <c r="G450" s="12">
        <v>38231</v>
      </c>
      <c r="H450" s="12">
        <v>38230</v>
      </c>
      <c r="I450" s="12"/>
      <c r="J450" s="12">
        <v>38230</v>
      </c>
      <c r="K450" s="12">
        <v>38291</v>
      </c>
      <c r="L450" s="12">
        <v>38291</v>
      </c>
      <c r="M450" s="12">
        <v>39401</v>
      </c>
      <c r="N450" s="12">
        <v>39400</v>
      </c>
      <c r="O450" s="12">
        <v>39400</v>
      </c>
      <c r="P450" s="12">
        <v>18137</v>
      </c>
      <c r="Q450" s="186">
        <f t="shared" si="50"/>
        <v>0.4603299492385787</v>
      </c>
      <c r="R450" s="12">
        <v>43400</v>
      </c>
      <c r="S450" s="12">
        <v>63000</v>
      </c>
      <c r="T450" s="12">
        <v>71600</v>
      </c>
      <c r="U450" s="12"/>
      <c r="V450" s="12"/>
      <c r="W450" s="32">
        <f t="shared" si="46"/>
        <v>71600</v>
      </c>
    </row>
    <row r="451" spans="1:23" ht="24">
      <c r="A451" s="8"/>
      <c r="B451" s="8"/>
      <c r="C451" s="26">
        <v>4350</v>
      </c>
      <c r="D451" s="27" t="s">
        <v>38</v>
      </c>
      <c r="E451" s="11">
        <v>2160</v>
      </c>
      <c r="F451" s="11">
        <v>2160</v>
      </c>
      <c r="G451" s="12">
        <v>2210</v>
      </c>
      <c r="H451" s="12">
        <v>2210</v>
      </c>
      <c r="I451" s="12"/>
      <c r="J451" s="12">
        <v>2210</v>
      </c>
      <c r="K451" s="12">
        <v>2710</v>
      </c>
      <c r="L451" s="12">
        <v>2710</v>
      </c>
      <c r="M451" s="12">
        <v>2789</v>
      </c>
      <c r="N451" s="12">
        <v>2790</v>
      </c>
      <c r="O451" s="12">
        <v>2790</v>
      </c>
      <c r="P451" s="12">
        <v>1755</v>
      </c>
      <c r="Q451" s="186">
        <f t="shared" si="50"/>
        <v>0.6290322580645161</v>
      </c>
      <c r="R451" s="12">
        <v>3511</v>
      </c>
      <c r="S451" s="12">
        <v>3510</v>
      </c>
      <c r="T451" s="12">
        <v>3510</v>
      </c>
      <c r="U451" s="12"/>
      <c r="V451" s="12"/>
      <c r="W451" s="32">
        <f t="shared" si="46"/>
        <v>3510</v>
      </c>
    </row>
    <row r="452" spans="1:23" ht="36">
      <c r="A452" s="8"/>
      <c r="B452" s="8"/>
      <c r="C452" s="26">
        <v>4370</v>
      </c>
      <c r="D452" s="27" t="s">
        <v>135</v>
      </c>
      <c r="E452" s="11">
        <v>8000</v>
      </c>
      <c r="F452" s="11">
        <v>8000</v>
      </c>
      <c r="G452" s="12">
        <v>8184</v>
      </c>
      <c r="H452" s="12">
        <v>8180</v>
      </c>
      <c r="I452" s="12"/>
      <c r="J452" s="12">
        <v>8180</v>
      </c>
      <c r="K452" s="12">
        <v>7680</v>
      </c>
      <c r="L452" s="12">
        <v>7680</v>
      </c>
      <c r="M452" s="12">
        <v>7902</v>
      </c>
      <c r="N452" s="12">
        <v>7900</v>
      </c>
      <c r="O452" s="12">
        <v>7900</v>
      </c>
      <c r="P452" s="12">
        <v>3656</v>
      </c>
      <c r="Q452" s="186">
        <f t="shared" si="50"/>
        <v>0.4627848101265823</v>
      </c>
      <c r="R452" s="12">
        <v>7179</v>
      </c>
      <c r="S452" s="12">
        <v>7180</v>
      </c>
      <c r="T452" s="12">
        <v>7180</v>
      </c>
      <c r="U452" s="12"/>
      <c r="V452" s="12"/>
      <c r="W452" s="32">
        <f t="shared" si="46"/>
        <v>7180</v>
      </c>
    </row>
    <row r="453" spans="1:23" ht="12">
      <c r="A453" s="8"/>
      <c r="B453" s="8"/>
      <c r="C453" s="26">
        <v>4410</v>
      </c>
      <c r="D453" s="27" t="s">
        <v>42</v>
      </c>
      <c r="E453" s="11">
        <v>2720</v>
      </c>
      <c r="F453" s="11">
        <v>2720</v>
      </c>
      <c r="G453" s="12">
        <v>6000</v>
      </c>
      <c r="H453" s="12">
        <v>2780</v>
      </c>
      <c r="I453" s="12"/>
      <c r="J453" s="12">
        <v>2780</v>
      </c>
      <c r="K453" s="12">
        <v>2780</v>
      </c>
      <c r="L453" s="12">
        <v>2780</v>
      </c>
      <c r="M453" s="12">
        <v>5360</v>
      </c>
      <c r="N453" s="12">
        <v>5360</v>
      </c>
      <c r="O453" s="12">
        <v>5360</v>
      </c>
      <c r="P453" s="12">
        <v>2475</v>
      </c>
      <c r="Q453" s="186">
        <f t="shared" si="50"/>
        <v>0.46175373134328357</v>
      </c>
      <c r="R453" s="12">
        <v>5360</v>
      </c>
      <c r="S453" s="12">
        <v>5360</v>
      </c>
      <c r="T453" s="12">
        <v>5360</v>
      </c>
      <c r="U453" s="12"/>
      <c r="V453" s="12"/>
      <c r="W453" s="32">
        <f t="shared" si="46"/>
        <v>5360</v>
      </c>
    </row>
    <row r="454" spans="1:23" ht="12">
      <c r="A454" s="8"/>
      <c r="B454" s="8"/>
      <c r="C454" s="26">
        <v>4430</v>
      </c>
      <c r="D454" s="27" t="s">
        <v>43</v>
      </c>
      <c r="E454" s="11">
        <f>1800+500</f>
        <v>2300</v>
      </c>
      <c r="F454" s="11">
        <f>1800+500</f>
        <v>2300</v>
      </c>
      <c r="G454" s="12">
        <v>2353</v>
      </c>
      <c r="H454" s="12">
        <v>2350</v>
      </c>
      <c r="I454" s="12"/>
      <c r="J454" s="12">
        <v>2350</v>
      </c>
      <c r="K454" s="12">
        <v>2573</v>
      </c>
      <c r="L454" s="12">
        <v>2573</v>
      </c>
      <c r="M454" s="12">
        <v>2648</v>
      </c>
      <c r="N454" s="12">
        <v>2650</v>
      </c>
      <c r="O454" s="12">
        <v>2929</v>
      </c>
      <c r="P454" s="12">
        <v>2197</v>
      </c>
      <c r="Q454" s="186">
        <f t="shared" si="50"/>
        <v>0.7500853533629225</v>
      </c>
      <c r="R454" s="12">
        <v>2929</v>
      </c>
      <c r="S454" s="12">
        <v>2930</v>
      </c>
      <c r="T454" s="12">
        <v>2930</v>
      </c>
      <c r="U454" s="12"/>
      <c r="V454" s="12"/>
      <c r="W454" s="32">
        <f t="shared" si="46"/>
        <v>2930</v>
      </c>
    </row>
    <row r="455" spans="1:23" ht="24">
      <c r="A455" s="8"/>
      <c r="B455" s="8"/>
      <c r="C455" s="26">
        <v>4440</v>
      </c>
      <c r="D455" s="27" t="s">
        <v>44</v>
      </c>
      <c r="E455" s="11">
        <v>69840</v>
      </c>
      <c r="F455" s="11">
        <v>69840</v>
      </c>
      <c r="G455" s="12">
        <v>81072</v>
      </c>
      <c r="H455" s="12">
        <v>43510</v>
      </c>
      <c r="I455" s="12"/>
      <c r="J455" s="12">
        <v>43510</v>
      </c>
      <c r="K455" s="12">
        <v>43510</v>
      </c>
      <c r="L455" s="12">
        <v>42058</v>
      </c>
      <c r="M455" s="12">
        <v>40237</v>
      </c>
      <c r="N455" s="12">
        <v>40210</v>
      </c>
      <c r="O455" s="12">
        <v>40210</v>
      </c>
      <c r="P455" s="12">
        <v>39971</v>
      </c>
      <c r="Q455" s="186">
        <f t="shared" si="50"/>
        <v>0.9940562049241483</v>
      </c>
      <c r="R455" s="12">
        <v>52911</v>
      </c>
      <c r="S455" s="12">
        <v>52720</v>
      </c>
      <c r="T455" s="12">
        <v>52720</v>
      </c>
      <c r="U455" s="12"/>
      <c r="V455" s="12"/>
      <c r="W455" s="32">
        <f t="shared" si="46"/>
        <v>52720</v>
      </c>
    </row>
    <row r="456" spans="1:23" ht="12">
      <c r="A456" s="8"/>
      <c r="B456" s="8"/>
      <c r="C456" s="26">
        <v>4480</v>
      </c>
      <c r="D456" s="27" t="s">
        <v>132</v>
      </c>
      <c r="E456" s="11">
        <v>2000</v>
      </c>
      <c r="F456" s="11">
        <v>2000</v>
      </c>
      <c r="G456" s="12">
        <v>2046</v>
      </c>
      <c r="H456" s="12">
        <v>2050</v>
      </c>
      <c r="I456" s="12"/>
      <c r="J456" s="12">
        <v>2050</v>
      </c>
      <c r="K456" s="12">
        <v>1827</v>
      </c>
      <c r="L456" s="12">
        <v>1827</v>
      </c>
      <c r="M456" s="12">
        <v>1880</v>
      </c>
      <c r="N456" s="12">
        <v>1880</v>
      </c>
      <c r="O456" s="12">
        <v>1255</v>
      </c>
      <c r="P456" s="12">
        <v>595</v>
      </c>
      <c r="Q456" s="186">
        <f t="shared" si="50"/>
        <v>0.47410358565737054</v>
      </c>
      <c r="R456" s="12">
        <v>1255</v>
      </c>
      <c r="S456" s="12">
        <v>1260</v>
      </c>
      <c r="T456" s="12">
        <v>1260</v>
      </c>
      <c r="U456" s="12"/>
      <c r="V456" s="12"/>
      <c r="W456" s="32">
        <f t="shared" si="46"/>
        <v>1260</v>
      </c>
    </row>
    <row r="457" spans="1:23" ht="12">
      <c r="A457" s="8"/>
      <c r="B457" s="8"/>
      <c r="C457" s="26">
        <v>4510</v>
      </c>
      <c r="D457" s="27" t="s">
        <v>91</v>
      </c>
      <c r="E457" s="83">
        <v>0</v>
      </c>
      <c r="F457" s="83">
        <v>0</v>
      </c>
      <c r="G457" s="84">
        <v>500</v>
      </c>
      <c r="H457" s="84">
        <v>500</v>
      </c>
      <c r="I457" s="84"/>
      <c r="J457" s="84">
        <v>500</v>
      </c>
      <c r="K457" s="84">
        <v>500</v>
      </c>
      <c r="L457" s="84">
        <v>500</v>
      </c>
      <c r="M457" s="84">
        <v>515</v>
      </c>
      <c r="N457" s="84">
        <v>520</v>
      </c>
      <c r="O457" s="84">
        <v>520</v>
      </c>
      <c r="P457" s="84">
        <v>100</v>
      </c>
      <c r="Q457" s="186">
        <f t="shared" si="50"/>
        <v>0.19230769230769232</v>
      </c>
      <c r="R457" s="84">
        <v>820</v>
      </c>
      <c r="S457" s="84">
        <v>820</v>
      </c>
      <c r="T457" s="84">
        <v>820</v>
      </c>
      <c r="U457" s="84"/>
      <c r="V457" s="84"/>
      <c r="W457" s="32">
        <f t="shared" si="46"/>
        <v>820</v>
      </c>
    </row>
    <row r="458" spans="1:23" ht="36">
      <c r="A458" s="8"/>
      <c r="B458" s="8"/>
      <c r="C458" s="26">
        <v>4700</v>
      </c>
      <c r="D458" s="27" t="s">
        <v>46</v>
      </c>
      <c r="E458" s="11">
        <v>4900</v>
      </c>
      <c r="F458" s="11">
        <v>4900</v>
      </c>
      <c r="G458" s="12">
        <v>4900</v>
      </c>
      <c r="H458" s="12">
        <v>4900</v>
      </c>
      <c r="I458" s="12"/>
      <c r="J458" s="12">
        <v>4900</v>
      </c>
      <c r="K458" s="12">
        <v>4900</v>
      </c>
      <c r="L458" s="12">
        <v>4900</v>
      </c>
      <c r="M458" s="12">
        <v>5042</v>
      </c>
      <c r="N458" s="12">
        <v>5040</v>
      </c>
      <c r="O458" s="12">
        <v>5040</v>
      </c>
      <c r="P458" s="12">
        <v>755</v>
      </c>
      <c r="Q458" s="186">
        <f t="shared" si="50"/>
        <v>0.1498015873015873</v>
      </c>
      <c r="R458" s="12">
        <v>5040</v>
      </c>
      <c r="S458" s="12">
        <v>5040</v>
      </c>
      <c r="T458" s="12">
        <v>5040</v>
      </c>
      <c r="U458" s="12"/>
      <c r="V458" s="12"/>
      <c r="W458" s="32">
        <f t="shared" si="46"/>
        <v>5040</v>
      </c>
    </row>
    <row r="459" spans="1:23" ht="36">
      <c r="A459" s="8"/>
      <c r="B459" s="8"/>
      <c r="C459" s="26">
        <v>4740</v>
      </c>
      <c r="D459" s="27" t="s">
        <v>73</v>
      </c>
      <c r="E459" s="11">
        <v>2500</v>
      </c>
      <c r="F459" s="11">
        <v>2500</v>
      </c>
      <c r="G459" s="12">
        <v>2600</v>
      </c>
      <c r="H459" s="12">
        <v>2600</v>
      </c>
      <c r="I459" s="12"/>
      <c r="J459" s="12">
        <v>2560</v>
      </c>
      <c r="K459" s="12">
        <v>2560</v>
      </c>
      <c r="L459" s="12">
        <v>2560</v>
      </c>
      <c r="M459" s="12">
        <v>2634</v>
      </c>
      <c r="N459" s="12">
        <v>2630</v>
      </c>
      <c r="O459" s="12">
        <v>2630</v>
      </c>
      <c r="P459" s="12">
        <v>101</v>
      </c>
      <c r="Q459" s="186">
        <f t="shared" si="50"/>
        <v>0.038403041825095054</v>
      </c>
      <c r="R459" s="12">
        <v>2630</v>
      </c>
      <c r="S459" s="12">
        <v>2630</v>
      </c>
      <c r="T459" s="12">
        <v>2630</v>
      </c>
      <c r="U459" s="12"/>
      <c r="V459" s="12"/>
      <c r="W459" s="32">
        <f t="shared" si="46"/>
        <v>2630</v>
      </c>
    </row>
    <row r="460" spans="1:23" ht="24">
      <c r="A460" s="8"/>
      <c r="B460" s="8"/>
      <c r="C460" s="26">
        <v>4750</v>
      </c>
      <c r="D460" s="27" t="s">
        <v>118</v>
      </c>
      <c r="E460" s="11">
        <v>10220</v>
      </c>
      <c r="F460" s="11">
        <v>10220</v>
      </c>
      <c r="G460" s="12">
        <v>11700</v>
      </c>
      <c r="H460" s="12">
        <v>10460</v>
      </c>
      <c r="I460" s="12"/>
      <c r="J460" s="12">
        <v>10460</v>
      </c>
      <c r="K460" s="12">
        <v>10883</v>
      </c>
      <c r="L460" s="12">
        <v>10883</v>
      </c>
      <c r="M460" s="12">
        <v>11700</v>
      </c>
      <c r="N460" s="12">
        <v>11700</v>
      </c>
      <c r="O460" s="12">
        <v>11700</v>
      </c>
      <c r="P460" s="12">
        <v>3103</v>
      </c>
      <c r="Q460" s="186">
        <f t="shared" si="50"/>
        <v>0.2652136752136752</v>
      </c>
      <c r="R460" s="12">
        <v>11700</v>
      </c>
      <c r="S460" s="12">
        <v>11700</v>
      </c>
      <c r="T460" s="12">
        <v>11700</v>
      </c>
      <c r="U460" s="12"/>
      <c r="V460" s="12"/>
      <c r="W460" s="32">
        <f t="shared" si="46"/>
        <v>11700</v>
      </c>
    </row>
    <row r="461" spans="1:23" ht="28.5" customHeight="1" hidden="1">
      <c r="A461" s="8"/>
      <c r="B461" s="8"/>
      <c r="C461" s="9">
        <v>6050</v>
      </c>
      <c r="D461" s="10" t="s">
        <v>49</v>
      </c>
      <c r="E461" s="83"/>
      <c r="F461" s="83">
        <v>20000</v>
      </c>
      <c r="G461" s="84">
        <v>0</v>
      </c>
      <c r="H461" s="84">
        <v>0</v>
      </c>
      <c r="I461" s="84"/>
      <c r="J461" s="84">
        <v>150000</v>
      </c>
      <c r="K461" s="84">
        <v>0</v>
      </c>
      <c r="L461" s="84">
        <v>0</v>
      </c>
      <c r="M461" s="84">
        <v>1130000</v>
      </c>
      <c r="N461" s="84">
        <v>0</v>
      </c>
      <c r="O461" s="84">
        <v>0</v>
      </c>
      <c r="P461" s="84"/>
      <c r="Q461" s="186"/>
      <c r="R461" s="84">
        <v>48000</v>
      </c>
      <c r="S461" s="84"/>
      <c r="T461" s="84">
        <v>0</v>
      </c>
      <c r="U461" s="84"/>
      <c r="V461" s="84"/>
      <c r="W461" s="32">
        <f t="shared" si="46"/>
        <v>0</v>
      </c>
    </row>
    <row r="462" spans="1:23" ht="28.5" customHeight="1" hidden="1">
      <c r="A462" s="8"/>
      <c r="B462" s="8"/>
      <c r="C462" s="9">
        <v>6060</v>
      </c>
      <c r="D462" s="10" t="s">
        <v>50</v>
      </c>
      <c r="E462" s="83"/>
      <c r="F462" s="83"/>
      <c r="G462" s="84"/>
      <c r="H462" s="84"/>
      <c r="I462" s="84"/>
      <c r="J462" s="84">
        <v>0</v>
      </c>
      <c r="K462" s="84">
        <v>0</v>
      </c>
      <c r="L462" s="84">
        <v>0</v>
      </c>
      <c r="M462" s="84">
        <v>7000</v>
      </c>
      <c r="N462" s="84">
        <v>0</v>
      </c>
      <c r="O462" s="84">
        <v>0</v>
      </c>
      <c r="P462" s="84"/>
      <c r="Q462" s="186"/>
      <c r="R462" s="84">
        <v>0</v>
      </c>
      <c r="S462" s="84"/>
      <c r="T462" s="84">
        <v>0</v>
      </c>
      <c r="U462" s="84"/>
      <c r="V462" s="84"/>
      <c r="W462" s="32">
        <f t="shared" si="46"/>
        <v>0</v>
      </c>
    </row>
    <row r="463" spans="1:23" ht="24" hidden="1">
      <c r="A463" s="8"/>
      <c r="B463" s="8"/>
      <c r="C463" s="9">
        <v>6050</v>
      </c>
      <c r="D463" s="10" t="s">
        <v>49</v>
      </c>
      <c r="E463" s="83"/>
      <c r="F463" s="83">
        <v>20000</v>
      </c>
      <c r="G463" s="84">
        <v>0</v>
      </c>
      <c r="H463" s="84">
        <v>0</v>
      </c>
      <c r="I463" s="84"/>
      <c r="J463" s="84">
        <v>0</v>
      </c>
      <c r="K463" s="84">
        <v>15000</v>
      </c>
      <c r="L463" s="84">
        <v>15000</v>
      </c>
      <c r="M463" s="84">
        <v>2306000</v>
      </c>
      <c r="N463" s="84">
        <v>0</v>
      </c>
      <c r="O463" s="84">
        <v>48000</v>
      </c>
      <c r="P463" s="84"/>
      <c r="Q463" s="186">
        <f t="shared" si="50"/>
        <v>0</v>
      </c>
      <c r="R463" s="84"/>
      <c r="S463" s="84">
        <v>930000</v>
      </c>
      <c r="T463" s="84">
        <v>0</v>
      </c>
      <c r="U463" s="84"/>
      <c r="V463" s="84"/>
      <c r="W463" s="32">
        <f t="shared" si="46"/>
        <v>0</v>
      </c>
    </row>
    <row r="464" spans="1:23" ht="12">
      <c r="A464" s="8"/>
      <c r="B464" s="8"/>
      <c r="C464" s="26"/>
      <c r="D464" s="42" t="s">
        <v>136</v>
      </c>
      <c r="E464" s="11">
        <f>SUM(E465:E489)</f>
        <v>4330190</v>
      </c>
      <c r="F464" s="11">
        <f>SUM(F465:F489)</f>
        <v>4369590</v>
      </c>
      <c r="G464" s="11">
        <f>SUM(G465:G489)</f>
        <v>4801431</v>
      </c>
      <c r="H464" s="11">
        <f>SUM(H465:H489)</f>
        <v>4796940</v>
      </c>
      <c r="I464" s="11"/>
      <c r="J464" s="11">
        <f>SUM(J465:J490)</f>
        <v>4780160</v>
      </c>
      <c r="K464" s="11">
        <f>SUM(K465:K490)</f>
        <v>5137707</v>
      </c>
      <c r="L464" s="11">
        <f>SUM(L465:L491)</f>
        <v>5506909</v>
      </c>
      <c r="M464" s="11">
        <f>SUM(M465:M491)</f>
        <v>8105286</v>
      </c>
      <c r="N464" s="11">
        <v>5293130</v>
      </c>
      <c r="O464" s="11">
        <v>5313988</v>
      </c>
      <c r="P464" s="11">
        <f>SUM(P465:P491)</f>
        <v>2568449</v>
      </c>
      <c r="Q464" s="186">
        <f t="shared" si="50"/>
        <v>0.4833373729861641</v>
      </c>
      <c r="R464" s="11">
        <f>SUM(R465:R491)</f>
        <v>5434046</v>
      </c>
      <c r="S464" s="11">
        <f>SUM(S465:S491)</f>
        <v>7887410</v>
      </c>
      <c r="T464" s="11">
        <v>5566319</v>
      </c>
      <c r="U464" s="11">
        <f>SUM(U465:U491)</f>
        <v>0</v>
      </c>
      <c r="V464" s="11">
        <f>SUM(V465:V491)</f>
        <v>0</v>
      </c>
      <c r="W464" s="32">
        <f t="shared" si="46"/>
        <v>5566319</v>
      </c>
    </row>
    <row r="465" spans="1:23" ht="24">
      <c r="A465" s="8"/>
      <c r="B465" s="8"/>
      <c r="C465" s="26">
        <v>3020</v>
      </c>
      <c r="D465" s="27" t="s">
        <v>68</v>
      </c>
      <c r="E465" s="11">
        <v>179740</v>
      </c>
      <c r="F465" s="11">
        <v>176110</v>
      </c>
      <c r="G465" s="12">
        <v>180160</v>
      </c>
      <c r="H465" s="12">
        <v>180160</v>
      </c>
      <c r="I465" s="12"/>
      <c r="J465" s="12">
        <v>180160</v>
      </c>
      <c r="K465" s="12">
        <v>194200</v>
      </c>
      <c r="L465" s="12">
        <v>207600</v>
      </c>
      <c r="M465" s="12">
        <v>221000</v>
      </c>
      <c r="N465" s="12">
        <v>221000</v>
      </c>
      <c r="O465" s="12">
        <v>221000</v>
      </c>
      <c r="P465" s="12">
        <v>94978</v>
      </c>
      <c r="Q465" s="186">
        <f t="shared" si="50"/>
        <v>0.42976470588235294</v>
      </c>
      <c r="R465" s="12">
        <v>230250</v>
      </c>
      <c r="S465" s="12">
        <v>248200</v>
      </c>
      <c r="T465" s="12">
        <v>248200</v>
      </c>
      <c r="U465" s="12"/>
      <c r="V465" s="12"/>
      <c r="W465" s="32">
        <f t="shared" si="46"/>
        <v>248200</v>
      </c>
    </row>
    <row r="466" spans="1:23" ht="24">
      <c r="A466" s="8"/>
      <c r="B466" s="8"/>
      <c r="C466" s="26">
        <v>4010</v>
      </c>
      <c r="D466" s="27" t="s">
        <v>29</v>
      </c>
      <c r="E466" s="11">
        <v>2640670</v>
      </c>
      <c r="F466" s="11">
        <v>2640670</v>
      </c>
      <c r="G466" s="12">
        <v>2880039</v>
      </c>
      <c r="H466" s="12">
        <v>2908250</v>
      </c>
      <c r="I466" s="12"/>
      <c r="J466" s="12">
        <v>2908250</v>
      </c>
      <c r="K466" s="12">
        <v>3096270</v>
      </c>
      <c r="L466" s="12">
        <v>2975407</v>
      </c>
      <c r="M466" s="12">
        <v>3101485</v>
      </c>
      <c r="N466" s="12">
        <v>3101490</v>
      </c>
      <c r="O466" s="12">
        <v>3101490</v>
      </c>
      <c r="P466" s="12">
        <v>1438612</v>
      </c>
      <c r="Q466" s="186">
        <f t="shared" si="50"/>
        <v>0.46384544202947614</v>
      </c>
      <c r="R466" s="12">
        <v>3187025</v>
      </c>
      <c r="S466" s="12">
        <v>3588190</v>
      </c>
      <c r="T466" s="12">
        <v>3477933</v>
      </c>
      <c r="U466" s="12"/>
      <c r="V466" s="12"/>
      <c r="W466" s="32">
        <f t="shared" si="46"/>
        <v>3477933</v>
      </c>
    </row>
    <row r="467" spans="1:23" ht="12">
      <c r="A467" s="8"/>
      <c r="B467" s="8"/>
      <c r="C467" s="26">
        <v>4040</v>
      </c>
      <c r="D467" s="27" t="s">
        <v>30</v>
      </c>
      <c r="E467" s="11">
        <v>203280</v>
      </c>
      <c r="F467" s="11">
        <v>203280</v>
      </c>
      <c r="G467" s="12">
        <v>232762</v>
      </c>
      <c r="H467" s="12">
        <v>232760</v>
      </c>
      <c r="I467" s="12"/>
      <c r="J467" s="12">
        <v>232760</v>
      </c>
      <c r="K467" s="12">
        <v>232760</v>
      </c>
      <c r="L467" s="12">
        <v>198459</v>
      </c>
      <c r="M467" s="12">
        <v>244800</v>
      </c>
      <c r="N467" s="12">
        <v>244800</v>
      </c>
      <c r="O467" s="12">
        <v>244800</v>
      </c>
      <c r="P467" s="12">
        <v>242490</v>
      </c>
      <c r="Q467" s="186">
        <f t="shared" si="50"/>
        <v>0.9905637254901961</v>
      </c>
      <c r="R467" s="12">
        <v>242490</v>
      </c>
      <c r="S467" s="12">
        <v>265990</v>
      </c>
      <c r="T467" s="12">
        <v>246756</v>
      </c>
      <c r="U467" s="12"/>
      <c r="V467" s="12"/>
      <c r="W467" s="32">
        <f t="shared" si="46"/>
        <v>246756</v>
      </c>
    </row>
    <row r="468" spans="1:23" ht="24">
      <c r="A468" s="8"/>
      <c r="B468" s="8"/>
      <c r="C468" s="26">
        <v>4110</v>
      </c>
      <c r="D468" s="27" t="s">
        <v>113</v>
      </c>
      <c r="E468" s="11">
        <v>480060</v>
      </c>
      <c r="F468" s="11">
        <v>480060</v>
      </c>
      <c r="G468" s="12">
        <v>494796</v>
      </c>
      <c r="H468" s="12">
        <v>466130</v>
      </c>
      <c r="I468" s="12"/>
      <c r="J468" s="12">
        <v>466130</v>
      </c>
      <c r="K468" s="12">
        <v>498434</v>
      </c>
      <c r="L468" s="12">
        <v>528050</v>
      </c>
      <c r="M468" s="12">
        <v>545600</v>
      </c>
      <c r="N468" s="12">
        <v>496590</v>
      </c>
      <c r="O468" s="12">
        <v>496590</v>
      </c>
      <c r="P468" s="12">
        <v>234947</v>
      </c>
      <c r="Q468" s="186">
        <f t="shared" si="50"/>
        <v>0.47312068305845867</v>
      </c>
      <c r="R468" s="12">
        <v>524100</v>
      </c>
      <c r="S468" s="12">
        <v>571960</v>
      </c>
      <c r="T468" s="12">
        <v>571960</v>
      </c>
      <c r="U468" s="12"/>
      <c r="V468" s="12"/>
      <c r="W468" s="32">
        <f t="shared" si="46"/>
        <v>571960</v>
      </c>
    </row>
    <row r="469" spans="1:23" ht="12">
      <c r="A469" s="8"/>
      <c r="B469" s="8"/>
      <c r="C469" s="26">
        <v>4120</v>
      </c>
      <c r="D469" s="27" t="s">
        <v>32</v>
      </c>
      <c r="E469" s="11">
        <v>68250</v>
      </c>
      <c r="F469" s="11">
        <v>68250</v>
      </c>
      <c r="G469" s="12">
        <v>79700</v>
      </c>
      <c r="H469" s="12">
        <v>75380</v>
      </c>
      <c r="I469" s="12"/>
      <c r="J469" s="12">
        <v>75380</v>
      </c>
      <c r="K469" s="12">
        <v>80540</v>
      </c>
      <c r="L469" s="12">
        <v>84340</v>
      </c>
      <c r="M469" s="12">
        <v>87140</v>
      </c>
      <c r="N469" s="12">
        <v>80310</v>
      </c>
      <c r="O469" s="12">
        <v>80310</v>
      </c>
      <c r="P469" s="12">
        <v>36778</v>
      </c>
      <c r="Q469" s="186">
        <f t="shared" si="50"/>
        <v>0.4579504420371062</v>
      </c>
      <c r="R469" s="12">
        <v>86030</v>
      </c>
      <c r="S469" s="12">
        <v>92500</v>
      </c>
      <c r="T469" s="12">
        <v>92500</v>
      </c>
      <c r="U469" s="12"/>
      <c r="V469" s="12"/>
      <c r="W469" s="32">
        <f t="shared" si="46"/>
        <v>92500</v>
      </c>
    </row>
    <row r="470" spans="1:23" ht="12">
      <c r="A470" s="8"/>
      <c r="B470" s="8"/>
      <c r="C470" s="26">
        <v>4140</v>
      </c>
      <c r="D470" s="27" t="s">
        <v>128</v>
      </c>
      <c r="E470" s="11">
        <f>1760+10000</f>
        <v>11760</v>
      </c>
      <c r="F470" s="11">
        <f>1760+10000</f>
        <v>11760</v>
      </c>
      <c r="G470" s="12">
        <v>87600</v>
      </c>
      <c r="H470" s="12">
        <v>87600</v>
      </c>
      <c r="I470" s="12"/>
      <c r="J470" s="12">
        <v>87600</v>
      </c>
      <c r="K470" s="12">
        <v>85600</v>
      </c>
      <c r="L470" s="12">
        <v>14000</v>
      </c>
      <c r="M470" s="12">
        <v>14400</v>
      </c>
      <c r="N470" s="12">
        <v>14400</v>
      </c>
      <c r="O470" s="12">
        <v>14400</v>
      </c>
      <c r="P470" s="12"/>
      <c r="Q470" s="186">
        <f t="shared" si="50"/>
        <v>0</v>
      </c>
      <c r="R470" s="12">
        <v>0</v>
      </c>
      <c r="S470" s="12"/>
      <c r="T470" s="12">
        <v>0</v>
      </c>
      <c r="U470" s="12"/>
      <c r="V470" s="12"/>
      <c r="W470" s="32">
        <f t="shared" si="46"/>
        <v>0</v>
      </c>
    </row>
    <row r="471" spans="1:23" ht="12">
      <c r="A471" s="8"/>
      <c r="B471" s="8"/>
      <c r="C471" s="26">
        <v>4170</v>
      </c>
      <c r="D471" s="27" t="s">
        <v>137</v>
      </c>
      <c r="E471" s="11">
        <v>96040</v>
      </c>
      <c r="F471" s="11">
        <v>96040</v>
      </c>
      <c r="G471" s="12">
        <v>117425</v>
      </c>
      <c r="H471" s="12">
        <v>117430</v>
      </c>
      <c r="I471" s="12"/>
      <c r="J471" s="12">
        <v>117430</v>
      </c>
      <c r="K471" s="12">
        <v>125997</v>
      </c>
      <c r="L471" s="12">
        <v>125997</v>
      </c>
      <c r="M471" s="12">
        <v>129651</v>
      </c>
      <c r="N471" s="12">
        <v>129650</v>
      </c>
      <c r="O471" s="12">
        <v>119043</v>
      </c>
      <c r="P471" s="12">
        <v>14244</v>
      </c>
      <c r="Q471" s="186">
        <f t="shared" si="50"/>
        <v>0.11965424258461228</v>
      </c>
      <c r="R471" s="12">
        <v>77543</v>
      </c>
      <c r="S471" s="12">
        <v>77540</v>
      </c>
      <c r="T471" s="12">
        <v>77540</v>
      </c>
      <c r="U471" s="12"/>
      <c r="V471" s="12"/>
      <c r="W471" s="32">
        <f t="shared" si="46"/>
        <v>77540</v>
      </c>
    </row>
    <row r="472" spans="1:23" ht="12">
      <c r="A472" s="8"/>
      <c r="B472" s="8"/>
      <c r="C472" s="26">
        <v>4210</v>
      </c>
      <c r="D472" s="27" t="s">
        <v>34</v>
      </c>
      <c r="E472" s="11">
        <v>313120</v>
      </c>
      <c r="F472" s="11">
        <v>329520</v>
      </c>
      <c r="G472" s="12">
        <v>337099</v>
      </c>
      <c r="H472" s="12">
        <v>337100</v>
      </c>
      <c r="I472" s="12"/>
      <c r="J472" s="12">
        <v>320320</v>
      </c>
      <c r="K472" s="12">
        <v>328476</v>
      </c>
      <c r="L472" s="12">
        <v>328476</v>
      </c>
      <c r="M472" s="12">
        <v>340400</v>
      </c>
      <c r="N472" s="12">
        <v>337000</v>
      </c>
      <c r="O472" s="12">
        <v>352400</v>
      </c>
      <c r="P472" s="12">
        <v>92291</v>
      </c>
      <c r="Q472" s="186">
        <f t="shared" si="50"/>
        <v>0.2618927355278093</v>
      </c>
      <c r="R472" s="12">
        <v>352400</v>
      </c>
      <c r="S472" s="12">
        <v>362900</v>
      </c>
      <c r="T472" s="12">
        <v>362900</v>
      </c>
      <c r="U472" s="12"/>
      <c r="V472" s="12"/>
      <c r="W472" s="32">
        <f t="shared" si="46"/>
        <v>362900</v>
      </c>
    </row>
    <row r="473" spans="1:23" ht="28.5" customHeight="1">
      <c r="A473" s="8"/>
      <c r="B473" s="8"/>
      <c r="C473" s="26">
        <v>4240</v>
      </c>
      <c r="D473" s="27" t="s">
        <v>129</v>
      </c>
      <c r="E473" s="11"/>
      <c r="F473" s="11"/>
      <c r="G473" s="12"/>
      <c r="H473" s="12"/>
      <c r="I473" s="12"/>
      <c r="J473" s="12"/>
      <c r="K473" s="12">
        <v>24400</v>
      </c>
      <c r="L473" s="12">
        <v>24400</v>
      </c>
      <c r="M473" s="12">
        <v>25108</v>
      </c>
      <c r="N473" s="12">
        <v>0</v>
      </c>
      <c r="O473" s="12">
        <v>0</v>
      </c>
      <c r="P473" s="12"/>
      <c r="Q473" s="186"/>
      <c r="R473" s="12">
        <v>15000</v>
      </c>
      <c r="S473" s="12">
        <v>15000</v>
      </c>
      <c r="T473" s="12">
        <v>0</v>
      </c>
      <c r="U473" s="12"/>
      <c r="V473" s="12"/>
      <c r="W473" s="32">
        <f t="shared" si="46"/>
        <v>0</v>
      </c>
    </row>
    <row r="474" spans="1:23" ht="12">
      <c r="A474" s="8"/>
      <c r="B474" s="8"/>
      <c r="C474" s="26">
        <v>4260</v>
      </c>
      <c r="D474" s="27" t="s">
        <v>35</v>
      </c>
      <c r="E474" s="11">
        <v>48220</v>
      </c>
      <c r="F474" s="11">
        <v>48220</v>
      </c>
      <c r="G474" s="12">
        <v>49329</v>
      </c>
      <c r="H474" s="12">
        <v>49330</v>
      </c>
      <c r="I474" s="12"/>
      <c r="J474" s="12">
        <v>49330</v>
      </c>
      <c r="K474" s="12">
        <v>69330</v>
      </c>
      <c r="L474" s="12">
        <v>69330</v>
      </c>
      <c r="M474" s="12">
        <v>71341</v>
      </c>
      <c r="N474" s="12">
        <v>71340</v>
      </c>
      <c r="O474" s="12">
        <v>71340</v>
      </c>
      <c r="P474" s="12">
        <v>37615</v>
      </c>
      <c r="Q474" s="186">
        <f t="shared" si="50"/>
        <v>0.5272638071208299</v>
      </c>
      <c r="R474" s="12">
        <v>71340</v>
      </c>
      <c r="S474" s="12">
        <v>74910</v>
      </c>
      <c r="T474" s="12">
        <v>74910</v>
      </c>
      <c r="U474" s="12"/>
      <c r="V474" s="12"/>
      <c r="W474" s="32">
        <f t="shared" si="46"/>
        <v>74910</v>
      </c>
    </row>
    <row r="475" spans="1:23" ht="12">
      <c r="A475" s="8"/>
      <c r="B475" s="8"/>
      <c r="C475" s="26">
        <v>4270</v>
      </c>
      <c r="D475" s="27" t="s">
        <v>36</v>
      </c>
      <c r="E475" s="11">
        <v>2370</v>
      </c>
      <c r="F475" s="11">
        <v>11000</v>
      </c>
      <c r="G475" s="12">
        <v>11253</v>
      </c>
      <c r="H475" s="12">
        <v>11250</v>
      </c>
      <c r="I475" s="12"/>
      <c r="J475" s="12">
        <v>11250</v>
      </c>
      <c r="K475" s="12">
        <v>52123</v>
      </c>
      <c r="L475" s="12">
        <v>52123</v>
      </c>
      <c r="M475" s="12">
        <v>56635</v>
      </c>
      <c r="N475" s="12">
        <v>11500</v>
      </c>
      <c r="O475" s="12">
        <v>27358</v>
      </c>
      <c r="P475" s="12">
        <v>20303</v>
      </c>
      <c r="Q475" s="186">
        <f t="shared" si="50"/>
        <v>0.7421229622048395</v>
      </c>
      <c r="R475" s="12">
        <v>62358</v>
      </c>
      <c r="S475" s="12">
        <v>29360</v>
      </c>
      <c r="T475" s="12">
        <v>39360</v>
      </c>
      <c r="U475" s="12"/>
      <c r="V475" s="12"/>
      <c r="W475" s="32">
        <f t="shared" si="46"/>
        <v>39360</v>
      </c>
    </row>
    <row r="476" spans="1:23" ht="12">
      <c r="A476" s="8"/>
      <c r="B476" s="8"/>
      <c r="C476" s="26">
        <v>4280</v>
      </c>
      <c r="D476" s="27" t="s">
        <v>37</v>
      </c>
      <c r="E476" s="11">
        <v>5100</v>
      </c>
      <c r="F476" s="11">
        <v>5100</v>
      </c>
      <c r="G476" s="12">
        <v>5217</v>
      </c>
      <c r="H476" s="12">
        <v>5220</v>
      </c>
      <c r="I476" s="12"/>
      <c r="J476" s="12">
        <v>5220</v>
      </c>
      <c r="K476" s="12">
        <v>5220</v>
      </c>
      <c r="L476" s="12">
        <v>5220</v>
      </c>
      <c r="M476" s="12">
        <v>5371</v>
      </c>
      <c r="N476" s="12">
        <v>5370</v>
      </c>
      <c r="O476" s="12">
        <v>5370</v>
      </c>
      <c r="P476" s="12">
        <v>429</v>
      </c>
      <c r="Q476" s="186">
        <f t="shared" si="50"/>
        <v>0.07988826815642458</v>
      </c>
      <c r="R476" s="12">
        <v>4370</v>
      </c>
      <c r="S476" s="12">
        <v>4370</v>
      </c>
      <c r="T476" s="12">
        <v>4370</v>
      </c>
      <c r="U476" s="12"/>
      <c r="V476" s="12"/>
      <c r="W476" s="32">
        <f t="shared" si="46"/>
        <v>4370</v>
      </c>
    </row>
    <row r="477" spans="1:23" ht="12">
      <c r="A477" s="8"/>
      <c r="B477" s="8"/>
      <c r="C477" s="26">
        <v>4300</v>
      </c>
      <c r="D477" s="27" t="s">
        <v>81</v>
      </c>
      <c r="E477" s="11">
        <v>75690</v>
      </c>
      <c r="F477" s="11">
        <v>75690</v>
      </c>
      <c r="G477" s="12">
        <v>77431</v>
      </c>
      <c r="H477" s="12">
        <v>77430</v>
      </c>
      <c r="I477" s="12"/>
      <c r="J477" s="12">
        <v>77430</v>
      </c>
      <c r="K477" s="12">
        <v>68672</v>
      </c>
      <c r="L477" s="12">
        <v>68672</v>
      </c>
      <c r="M477" s="12">
        <v>70663</v>
      </c>
      <c r="N477" s="12">
        <v>70660</v>
      </c>
      <c r="O477" s="12">
        <v>70660</v>
      </c>
      <c r="P477" s="12">
        <v>42624</v>
      </c>
      <c r="Q477" s="186">
        <f t="shared" si="50"/>
        <v>0.6032267195018398</v>
      </c>
      <c r="R477" s="12">
        <v>70660</v>
      </c>
      <c r="S477" s="12">
        <v>78660</v>
      </c>
      <c r="T477" s="12">
        <v>78660</v>
      </c>
      <c r="U477" s="12"/>
      <c r="V477" s="12"/>
      <c r="W477" s="32">
        <f t="shared" si="46"/>
        <v>78660</v>
      </c>
    </row>
    <row r="478" spans="1:23" ht="24">
      <c r="A478" s="8"/>
      <c r="B478" s="8"/>
      <c r="C478" s="26">
        <v>4350</v>
      </c>
      <c r="D478" s="27" t="s">
        <v>38</v>
      </c>
      <c r="E478" s="11">
        <v>6600</v>
      </c>
      <c r="F478" s="11">
        <v>6600</v>
      </c>
      <c r="G478" s="12">
        <v>6752</v>
      </c>
      <c r="H478" s="12">
        <v>6750</v>
      </c>
      <c r="I478" s="12"/>
      <c r="J478" s="12">
        <v>6750</v>
      </c>
      <c r="K478" s="12">
        <v>4777</v>
      </c>
      <c r="L478" s="12">
        <v>4777</v>
      </c>
      <c r="M478" s="12">
        <v>4916</v>
      </c>
      <c r="N478" s="12">
        <v>4920</v>
      </c>
      <c r="O478" s="12">
        <v>4920</v>
      </c>
      <c r="P478" s="12">
        <v>1604</v>
      </c>
      <c r="Q478" s="186">
        <f t="shared" si="50"/>
        <v>0.3260162601626016</v>
      </c>
      <c r="R478" s="12">
        <v>3920</v>
      </c>
      <c r="S478" s="12">
        <v>3920</v>
      </c>
      <c r="T478" s="12">
        <v>3920</v>
      </c>
      <c r="U478" s="12"/>
      <c r="V478" s="12"/>
      <c r="W478" s="32">
        <f t="shared" si="46"/>
        <v>3920</v>
      </c>
    </row>
    <row r="479" spans="1:23" ht="36">
      <c r="A479" s="8"/>
      <c r="B479" s="8"/>
      <c r="C479" s="26">
        <v>4360</v>
      </c>
      <c r="D479" s="27" t="s">
        <v>130</v>
      </c>
      <c r="E479" s="11">
        <v>5000</v>
      </c>
      <c r="F479" s="11">
        <v>5000</v>
      </c>
      <c r="G479" s="12">
        <v>5115</v>
      </c>
      <c r="H479" s="12">
        <v>5120</v>
      </c>
      <c r="I479" s="12"/>
      <c r="J479" s="12">
        <v>5120</v>
      </c>
      <c r="K479" s="12">
        <v>5120</v>
      </c>
      <c r="L479" s="12">
        <v>555120</v>
      </c>
      <c r="M479" s="12">
        <v>5268</v>
      </c>
      <c r="N479" s="12">
        <v>5270</v>
      </c>
      <c r="O479" s="12">
        <v>5270</v>
      </c>
      <c r="P479" s="12">
        <v>2870</v>
      </c>
      <c r="Q479" s="186">
        <f t="shared" si="50"/>
        <v>0.5445920303605313</v>
      </c>
      <c r="R479" s="12">
        <v>6770</v>
      </c>
      <c r="S479" s="12">
        <v>6770</v>
      </c>
      <c r="T479" s="12">
        <v>9770</v>
      </c>
      <c r="U479" s="12"/>
      <c r="V479" s="12"/>
      <c r="W479" s="32">
        <f t="shared" si="46"/>
        <v>9770</v>
      </c>
    </row>
    <row r="480" spans="1:23" ht="36">
      <c r="A480" s="8"/>
      <c r="B480" s="8"/>
      <c r="C480" s="26">
        <v>4370</v>
      </c>
      <c r="D480" s="27" t="s">
        <v>135</v>
      </c>
      <c r="E480" s="11">
        <v>18000</v>
      </c>
      <c r="F480" s="11">
        <v>18000</v>
      </c>
      <c r="G480" s="12">
        <v>18414</v>
      </c>
      <c r="H480" s="12">
        <v>18420</v>
      </c>
      <c r="I480" s="12"/>
      <c r="J480" s="12">
        <v>18420</v>
      </c>
      <c r="K480" s="12">
        <v>18420</v>
      </c>
      <c r="L480" s="12">
        <v>18420</v>
      </c>
      <c r="M480" s="12">
        <v>18954</v>
      </c>
      <c r="N480" s="12">
        <v>18950</v>
      </c>
      <c r="O480" s="12">
        <v>18950</v>
      </c>
      <c r="P480" s="12">
        <v>5116</v>
      </c>
      <c r="Q480" s="186">
        <f t="shared" si="50"/>
        <v>0.26997361477572557</v>
      </c>
      <c r="R480" s="12">
        <v>15080</v>
      </c>
      <c r="S480" s="12">
        <v>15080</v>
      </c>
      <c r="T480" s="12">
        <v>11080</v>
      </c>
      <c r="U480" s="12"/>
      <c r="V480" s="12"/>
      <c r="W480" s="32">
        <f aca="true" t="shared" si="51" ref="W480:W544">T480+U480-V480</f>
        <v>11080</v>
      </c>
    </row>
    <row r="481" spans="1:23" ht="12">
      <c r="A481" s="8"/>
      <c r="B481" s="8"/>
      <c r="C481" s="26">
        <v>4410</v>
      </c>
      <c r="D481" s="27" t="s">
        <v>42</v>
      </c>
      <c r="E481" s="11">
        <v>5000</v>
      </c>
      <c r="F481" s="11">
        <v>6000</v>
      </c>
      <c r="G481" s="12">
        <v>6138</v>
      </c>
      <c r="H481" s="12">
        <v>6140</v>
      </c>
      <c r="I481" s="12"/>
      <c r="J481" s="12">
        <v>6140</v>
      </c>
      <c r="K481" s="12">
        <v>7140</v>
      </c>
      <c r="L481" s="12">
        <v>7140</v>
      </c>
      <c r="M481" s="12">
        <v>7347</v>
      </c>
      <c r="N481" s="12">
        <v>7350</v>
      </c>
      <c r="O481" s="12">
        <v>7350</v>
      </c>
      <c r="P481" s="12">
        <v>4851</v>
      </c>
      <c r="Q481" s="186">
        <f t="shared" si="50"/>
        <v>0.66</v>
      </c>
      <c r="R481" s="12">
        <v>7350</v>
      </c>
      <c r="S481" s="12">
        <v>7350</v>
      </c>
      <c r="T481" s="12">
        <v>7350</v>
      </c>
      <c r="U481" s="12"/>
      <c r="V481" s="12"/>
      <c r="W481" s="32">
        <f t="shared" si="51"/>
        <v>7350</v>
      </c>
    </row>
    <row r="482" spans="1:23" ht="12">
      <c r="A482" s="8"/>
      <c r="B482" s="8"/>
      <c r="C482" s="26">
        <v>4420</v>
      </c>
      <c r="D482" s="27" t="s">
        <v>90</v>
      </c>
      <c r="E482" s="11">
        <v>5000</v>
      </c>
      <c r="F482" s="11">
        <v>6000</v>
      </c>
      <c r="G482" s="12">
        <v>6138</v>
      </c>
      <c r="H482" s="12">
        <v>6140</v>
      </c>
      <c r="I482" s="12"/>
      <c r="J482" s="12">
        <v>6140</v>
      </c>
      <c r="K482" s="12">
        <v>7140</v>
      </c>
      <c r="L482" s="12">
        <v>7140</v>
      </c>
      <c r="M482" s="12">
        <v>7347</v>
      </c>
      <c r="N482" s="12">
        <v>4700</v>
      </c>
      <c r="O482" s="12">
        <v>5307</v>
      </c>
      <c r="P482" s="12">
        <v>5307</v>
      </c>
      <c r="Q482" s="186">
        <f t="shared" si="50"/>
        <v>1</v>
      </c>
      <c r="R482" s="12">
        <v>5307</v>
      </c>
      <c r="S482" s="12"/>
      <c r="T482" s="12">
        <v>0</v>
      </c>
      <c r="U482" s="12"/>
      <c r="V482" s="12"/>
      <c r="W482" s="32">
        <f t="shared" si="51"/>
        <v>0</v>
      </c>
    </row>
    <row r="483" spans="1:23" ht="12">
      <c r="A483" s="8"/>
      <c r="B483" s="8"/>
      <c r="C483" s="26">
        <v>4430</v>
      </c>
      <c r="D483" s="27" t="s">
        <v>43</v>
      </c>
      <c r="E483" s="11">
        <v>21650</v>
      </c>
      <c r="F483" s="11">
        <v>20650</v>
      </c>
      <c r="G483" s="12">
        <v>21125</v>
      </c>
      <c r="H483" s="12">
        <v>21130</v>
      </c>
      <c r="I483" s="12"/>
      <c r="J483" s="12">
        <v>21130</v>
      </c>
      <c r="K483" s="12">
        <v>23130</v>
      </c>
      <c r="L483" s="12">
        <v>21130</v>
      </c>
      <c r="M483" s="12">
        <v>21743</v>
      </c>
      <c r="N483" s="12">
        <v>21740</v>
      </c>
      <c r="O483" s="12">
        <v>26740</v>
      </c>
      <c r="P483" s="12">
        <v>23754</v>
      </c>
      <c r="Q483" s="186">
        <f t="shared" si="50"/>
        <v>0.8883320867614062</v>
      </c>
      <c r="R483" s="12">
        <v>28740</v>
      </c>
      <c r="S483" s="12">
        <v>28740</v>
      </c>
      <c r="T483" s="12">
        <v>28740</v>
      </c>
      <c r="U483" s="12"/>
      <c r="V483" s="12"/>
      <c r="W483" s="32">
        <f t="shared" si="51"/>
        <v>28740</v>
      </c>
    </row>
    <row r="484" spans="1:23" ht="24">
      <c r="A484" s="8"/>
      <c r="B484" s="8"/>
      <c r="C484" s="26">
        <v>4440</v>
      </c>
      <c r="D484" s="27" t="s">
        <v>44</v>
      </c>
      <c r="E484" s="11">
        <v>144640</v>
      </c>
      <c r="F484" s="11">
        <v>144640</v>
      </c>
      <c r="G484" s="12">
        <v>167490</v>
      </c>
      <c r="H484" s="12">
        <v>167740</v>
      </c>
      <c r="I484" s="12"/>
      <c r="J484" s="12">
        <v>167740</v>
      </c>
      <c r="K484" s="12">
        <v>167740</v>
      </c>
      <c r="L484" s="12">
        <v>168890</v>
      </c>
      <c r="M484" s="12">
        <v>181010</v>
      </c>
      <c r="N484" s="12">
        <v>188080</v>
      </c>
      <c r="O484" s="12">
        <v>188080</v>
      </c>
      <c r="P484" s="12">
        <v>142104</v>
      </c>
      <c r="Q484" s="186">
        <f t="shared" si="50"/>
        <v>0.7555508294342833</v>
      </c>
      <c r="R484" s="12">
        <v>190478</v>
      </c>
      <c r="S484" s="12">
        <v>201090</v>
      </c>
      <c r="T484" s="12">
        <v>201090</v>
      </c>
      <c r="U484" s="12"/>
      <c r="V484" s="12"/>
      <c r="W484" s="32">
        <f t="shared" si="51"/>
        <v>201090</v>
      </c>
    </row>
    <row r="485" spans="1:23" ht="12">
      <c r="A485" s="8"/>
      <c r="B485" s="8"/>
      <c r="C485" s="26">
        <v>4480</v>
      </c>
      <c r="D485" s="27" t="s">
        <v>132</v>
      </c>
      <c r="E485" s="11"/>
      <c r="F485" s="11">
        <v>1000</v>
      </c>
      <c r="G485" s="12">
        <v>1080</v>
      </c>
      <c r="H485" s="12">
        <v>1080</v>
      </c>
      <c r="I485" s="12"/>
      <c r="J485" s="12">
        <v>1080</v>
      </c>
      <c r="K485" s="12">
        <v>1080</v>
      </c>
      <c r="L485" s="12">
        <v>1080</v>
      </c>
      <c r="M485" s="12">
        <v>1111</v>
      </c>
      <c r="N485" s="12">
        <v>1110</v>
      </c>
      <c r="O485" s="12">
        <v>1110</v>
      </c>
      <c r="P485" s="12">
        <v>654</v>
      </c>
      <c r="Q485" s="186">
        <f t="shared" si="50"/>
        <v>0.5891891891891892</v>
      </c>
      <c r="R485" s="12">
        <v>1110</v>
      </c>
      <c r="S485" s="12">
        <v>1110</v>
      </c>
      <c r="T485" s="12">
        <v>1110</v>
      </c>
      <c r="U485" s="12"/>
      <c r="V485" s="12"/>
      <c r="W485" s="32">
        <f t="shared" si="51"/>
        <v>1110</v>
      </c>
    </row>
    <row r="486" spans="1:23" ht="36">
      <c r="A486" s="8"/>
      <c r="B486" s="8"/>
      <c r="C486" s="26">
        <v>4500</v>
      </c>
      <c r="D486" s="27" t="s">
        <v>133</v>
      </c>
      <c r="E486" s="11"/>
      <c r="F486" s="11"/>
      <c r="G486" s="12"/>
      <c r="H486" s="12"/>
      <c r="I486" s="12"/>
      <c r="J486" s="12"/>
      <c r="K486" s="12">
        <v>758</v>
      </c>
      <c r="L486" s="12">
        <v>758</v>
      </c>
      <c r="M486" s="12">
        <v>780</v>
      </c>
      <c r="N486" s="12">
        <v>780</v>
      </c>
      <c r="O486" s="12">
        <v>780</v>
      </c>
      <c r="P486" s="12">
        <v>525</v>
      </c>
      <c r="Q486" s="186">
        <f t="shared" si="50"/>
        <v>0.6730769230769231</v>
      </c>
      <c r="R486" s="12">
        <v>1050</v>
      </c>
      <c r="S486" s="12">
        <v>1050</v>
      </c>
      <c r="T486" s="12">
        <v>1050</v>
      </c>
      <c r="U486" s="12"/>
      <c r="V486" s="12"/>
      <c r="W486" s="32">
        <f t="shared" si="51"/>
        <v>1050</v>
      </c>
    </row>
    <row r="487" spans="1:23" ht="36">
      <c r="A487" s="8"/>
      <c r="B487" s="8"/>
      <c r="C487" s="26">
        <v>4700</v>
      </c>
      <c r="D487" s="27" t="s">
        <v>46</v>
      </c>
      <c r="E487" s="11"/>
      <c r="F487" s="11">
        <v>3000</v>
      </c>
      <c r="G487" s="12">
        <v>3069</v>
      </c>
      <c r="H487" s="12">
        <v>3070</v>
      </c>
      <c r="I487" s="12"/>
      <c r="J487" s="12">
        <v>3070</v>
      </c>
      <c r="K487" s="12">
        <v>3070</v>
      </c>
      <c r="L487" s="12">
        <v>3070</v>
      </c>
      <c r="M487" s="12">
        <v>3159</v>
      </c>
      <c r="N487" s="12">
        <v>3160</v>
      </c>
      <c r="O487" s="12">
        <v>3160</v>
      </c>
      <c r="P487" s="12">
        <v>1877</v>
      </c>
      <c r="Q487" s="186">
        <f t="shared" si="50"/>
        <v>0.5939873417721518</v>
      </c>
      <c r="R487" s="12">
        <v>3160</v>
      </c>
      <c r="S487" s="12">
        <v>3160</v>
      </c>
      <c r="T487" s="12">
        <v>4160</v>
      </c>
      <c r="U487" s="12"/>
      <c r="V487" s="12"/>
      <c r="W487" s="32">
        <f t="shared" si="51"/>
        <v>4160</v>
      </c>
    </row>
    <row r="488" spans="1:23" ht="36">
      <c r="A488" s="8"/>
      <c r="B488" s="8"/>
      <c r="C488" s="26">
        <v>4740</v>
      </c>
      <c r="D488" s="27" t="s">
        <v>73</v>
      </c>
      <c r="E488" s="11"/>
      <c r="F488" s="11">
        <v>8000</v>
      </c>
      <c r="G488" s="12">
        <v>8184</v>
      </c>
      <c r="H488" s="12">
        <v>8190</v>
      </c>
      <c r="I488" s="12"/>
      <c r="J488" s="12">
        <v>8190</v>
      </c>
      <c r="K488" s="12">
        <v>7190</v>
      </c>
      <c r="L488" s="12">
        <v>7190</v>
      </c>
      <c r="M488" s="12">
        <v>7399</v>
      </c>
      <c r="N488" s="12">
        <v>7400</v>
      </c>
      <c r="O488" s="12">
        <v>7400</v>
      </c>
      <c r="P488" s="12">
        <v>4563</v>
      </c>
      <c r="Q488" s="186">
        <f t="shared" si="50"/>
        <v>0.6166216216216216</v>
      </c>
      <c r="R488" s="12">
        <v>7400</v>
      </c>
      <c r="S488" s="12">
        <v>7400</v>
      </c>
      <c r="T488" s="12">
        <v>7400</v>
      </c>
      <c r="U488" s="12"/>
      <c r="V488" s="12"/>
      <c r="W488" s="32">
        <f t="shared" si="51"/>
        <v>7400</v>
      </c>
    </row>
    <row r="489" spans="1:23" ht="24">
      <c r="A489" s="8"/>
      <c r="B489" s="8"/>
      <c r="C489" s="26">
        <v>4750</v>
      </c>
      <c r="D489" s="27" t="s">
        <v>118</v>
      </c>
      <c r="E489" s="11"/>
      <c r="F489" s="11">
        <v>5000</v>
      </c>
      <c r="G489" s="12">
        <v>5115</v>
      </c>
      <c r="H489" s="12">
        <v>5120</v>
      </c>
      <c r="I489" s="12"/>
      <c r="J489" s="12">
        <v>5120</v>
      </c>
      <c r="K489" s="12">
        <v>15120</v>
      </c>
      <c r="L489" s="12">
        <v>15120</v>
      </c>
      <c r="M489" s="12">
        <v>15558</v>
      </c>
      <c r="N489" s="12">
        <v>15560</v>
      </c>
      <c r="O489" s="12">
        <v>15560</v>
      </c>
      <c r="P489" s="12">
        <v>9958</v>
      </c>
      <c r="Q489" s="186">
        <f t="shared" si="50"/>
        <v>0.639974293059126</v>
      </c>
      <c r="R489" s="12">
        <v>15560</v>
      </c>
      <c r="S489" s="12">
        <v>15560</v>
      </c>
      <c r="T489" s="12">
        <v>15560</v>
      </c>
      <c r="U489" s="12"/>
      <c r="V489" s="12"/>
      <c r="W489" s="32">
        <f t="shared" si="51"/>
        <v>15560</v>
      </c>
    </row>
    <row r="490" spans="1:23" ht="24" hidden="1">
      <c r="A490" s="8"/>
      <c r="B490" s="8"/>
      <c r="C490" s="9">
        <v>6050</v>
      </c>
      <c r="D490" s="10" t="s">
        <v>49</v>
      </c>
      <c r="E490" s="83"/>
      <c r="F490" s="83">
        <v>20000</v>
      </c>
      <c r="G490" s="84">
        <v>0</v>
      </c>
      <c r="H490" s="84">
        <v>0</v>
      </c>
      <c r="I490" s="84"/>
      <c r="J490" s="84">
        <v>0</v>
      </c>
      <c r="K490" s="84">
        <v>15000</v>
      </c>
      <c r="L490" s="84">
        <v>15000</v>
      </c>
      <c r="M490" s="84">
        <v>2306000</v>
      </c>
      <c r="N490" s="84">
        <v>230000</v>
      </c>
      <c r="O490" s="84">
        <v>214600</v>
      </c>
      <c r="P490" s="84">
        <v>100000</v>
      </c>
      <c r="Q490" s="186">
        <f t="shared" si="50"/>
        <v>0.4659832246039143</v>
      </c>
      <c r="R490" s="84">
        <v>214600</v>
      </c>
      <c r="S490" s="84">
        <v>2022500</v>
      </c>
      <c r="T490" s="84">
        <v>0</v>
      </c>
      <c r="U490" s="84"/>
      <c r="V490" s="84"/>
      <c r="W490" s="32">
        <f t="shared" si="51"/>
        <v>0</v>
      </c>
    </row>
    <row r="491" spans="1:23" ht="24" hidden="1">
      <c r="A491" s="8"/>
      <c r="B491" s="8"/>
      <c r="C491" s="9">
        <v>6060</v>
      </c>
      <c r="D491" s="10" t="s">
        <v>50</v>
      </c>
      <c r="E491" s="83"/>
      <c r="F491" s="83"/>
      <c r="G491" s="84"/>
      <c r="H491" s="84"/>
      <c r="I491" s="84"/>
      <c r="J491" s="84">
        <v>0</v>
      </c>
      <c r="K491" s="84">
        <v>0</v>
      </c>
      <c r="L491" s="84">
        <v>0</v>
      </c>
      <c r="M491" s="84">
        <v>611100</v>
      </c>
      <c r="N491" s="84">
        <v>0</v>
      </c>
      <c r="O491" s="84">
        <v>10000</v>
      </c>
      <c r="P491" s="84">
        <v>9955</v>
      </c>
      <c r="Q491" s="186">
        <f t="shared" si="50"/>
        <v>0.9955</v>
      </c>
      <c r="R491" s="84">
        <v>9955</v>
      </c>
      <c r="S491" s="84">
        <v>164100</v>
      </c>
      <c r="T491" s="84">
        <v>0</v>
      </c>
      <c r="U491" s="84"/>
      <c r="V491" s="84"/>
      <c r="W491" s="32">
        <f t="shared" si="51"/>
        <v>0</v>
      </c>
    </row>
    <row r="492" spans="1:23" ht="12">
      <c r="A492" s="8"/>
      <c r="B492" s="25"/>
      <c r="C492" s="26"/>
      <c r="D492" s="42" t="s">
        <v>138</v>
      </c>
      <c r="E492" s="11">
        <f>SUM(E494:E494)</f>
        <v>35000</v>
      </c>
      <c r="F492" s="11">
        <f>SUM(F494:F494)</f>
        <v>34765</v>
      </c>
      <c r="G492" s="12">
        <f>SUM(G494:G494)</f>
        <v>30000</v>
      </c>
      <c r="H492" s="12">
        <f>SUM(H494:H494)</f>
        <v>30000</v>
      </c>
      <c r="I492" s="12"/>
      <c r="J492" s="12">
        <f>SUM(J494:J496)</f>
        <v>41250</v>
      </c>
      <c r="K492" s="12">
        <f>SUM(K494:K496)</f>
        <v>422123</v>
      </c>
      <c r="L492" s="12">
        <f>SUM(L494:L496)</f>
        <v>422123</v>
      </c>
      <c r="M492" s="12">
        <f>SUM(M494:M496)</f>
        <v>86635</v>
      </c>
      <c r="N492" s="12">
        <v>330000</v>
      </c>
      <c r="O492" s="12">
        <v>330000</v>
      </c>
      <c r="P492" s="12">
        <f>SUM(P493:P496)</f>
        <v>33293</v>
      </c>
      <c r="Q492" s="186">
        <f t="shared" si="50"/>
        <v>0.10088787878787879</v>
      </c>
      <c r="R492" s="12">
        <f>SUM(R493:R496)</f>
        <v>392358</v>
      </c>
      <c r="S492" s="12">
        <f>SUM(S493:S496)</f>
        <v>69360</v>
      </c>
      <c r="T492" s="12">
        <v>520000</v>
      </c>
      <c r="U492" s="12">
        <f>SUM(U493:U496)</f>
        <v>0</v>
      </c>
      <c r="V492" s="12">
        <f>SUM(V493:V496)</f>
        <v>0</v>
      </c>
      <c r="W492" s="32">
        <f t="shared" si="51"/>
        <v>520000</v>
      </c>
    </row>
    <row r="493" spans="1:23" ht="72">
      <c r="A493" s="8"/>
      <c r="B493" s="25"/>
      <c r="C493" s="26">
        <v>2320</v>
      </c>
      <c r="D493" s="46" t="s">
        <v>100</v>
      </c>
      <c r="E493" s="11"/>
      <c r="F493" s="11"/>
      <c r="G493" s="12"/>
      <c r="H493" s="12"/>
      <c r="I493" s="12"/>
      <c r="J493" s="12"/>
      <c r="K493" s="12"/>
      <c r="L493" s="12"/>
      <c r="M493" s="12"/>
      <c r="N493" s="12">
        <v>0</v>
      </c>
      <c r="O493" s="12">
        <v>4000</v>
      </c>
      <c r="P493" s="12">
        <v>810</v>
      </c>
      <c r="Q493" s="186">
        <f t="shared" si="50"/>
        <v>0.2025</v>
      </c>
      <c r="R493" s="12">
        <v>4000</v>
      </c>
      <c r="S493" s="12">
        <v>10000</v>
      </c>
      <c r="T493" s="12">
        <v>10000</v>
      </c>
      <c r="U493" s="12"/>
      <c r="V493" s="12"/>
      <c r="W493" s="32">
        <f t="shared" si="51"/>
        <v>10000</v>
      </c>
    </row>
    <row r="494" spans="1:23" ht="72">
      <c r="A494" s="8"/>
      <c r="B494" s="8"/>
      <c r="C494" s="26">
        <v>2330</v>
      </c>
      <c r="D494" s="27" t="s">
        <v>127</v>
      </c>
      <c r="E494" s="11">
        <v>35000</v>
      </c>
      <c r="F494" s="11">
        <v>34765</v>
      </c>
      <c r="G494" s="12">
        <v>30000</v>
      </c>
      <c r="H494" s="12">
        <v>30000</v>
      </c>
      <c r="I494" s="12"/>
      <c r="J494" s="12">
        <v>30000</v>
      </c>
      <c r="K494" s="12">
        <v>30000</v>
      </c>
      <c r="L494" s="12">
        <v>30000</v>
      </c>
      <c r="M494" s="12">
        <v>30000</v>
      </c>
      <c r="N494" s="12">
        <v>30000</v>
      </c>
      <c r="O494" s="12">
        <v>26000</v>
      </c>
      <c r="P494" s="12">
        <v>12180</v>
      </c>
      <c r="Q494" s="186">
        <f t="shared" si="50"/>
        <v>0.4684615384615385</v>
      </c>
      <c r="R494" s="12">
        <v>26000</v>
      </c>
      <c r="S494" s="12">
        <v>30000</v>
      </c>
      <c r="T494" s="12">
        <v>30000</v>
      </c>
      <c r="U494" s="12"/>
      <c r="V494" s="12"/>
      <c r="W494" s="32">
        <f t="shared" si="51"/>
        <v>30000</v>
      </c>
    </row>
    <row r="495" spans="1:23" ht="12">
      <c r="A495" s="8"/>
      <c r="B495" s="8"/>
      <c r="C495" s="26">
        <v>4270</v>
      </c>
      <c r="D495" s="27" t="s">
        <v>36</v>
      </c>
      <c r="E495" s="11">
        <v>2370</v>
      </c>
      <c r="F495" s="11">
        <v>11000</v>
      </c>
      <c r="G495" s="12">
        <v>11253</v>
      </c>
      <c r="H495" s="12">
        <v>11250</v>
      </c>
      <c r="I495" s="12"/>
      <c r="J495" s="12">
        <v>11250</v>
      </c>
      <c r="K495" s="12">
        <v>52123</v>
      </c>
      <c r="L495" s="12">
        <v>52123</v>
      </c>
      <c r="M495" s="12">
        <v>56635</v>
      </c>
      <c r="N495" s="12">
        <v>11500</v>
      </c>
      <c r="O495" s="12">
        <v>27358</v>
      </c>
      <c r="P495" s="12">
        <v>20303</v>
      </c>
      <c r="Q495" s="186">
        <f>P495/O495</f>
        <v>0.7421229622048395</v>
      </c>
      <c r="R495" s="12">
        <v>62358</v>
      </c>
      <c r="S495" s="12">
        <v>29360</v>
      </c>
      <c r="T495" s="12">
        <v>40000</v>
      </c>
      <c r="U495" s="12"/>
      <c r="V495" s="12"/>
      <c r="W495" s="32">
        <f t="shared" si="51"/>
        <v>40000</v>
      </c>
    </row>
    <row r="496" spans="1:23" ht="24">
      <c r="A496" s="8"/>
      <c r="B496" s="8"/>
      <c r="C496" s="9">
        <v>6050</v>
      </c>
      <c r="D496" s="10" t="s">
        <v>49</v>
      </c>
      <c r="E496" s="83"/>
      <c r="F496" s="83">
        <v>20000</v>
      </c>
      <c r="G496" s="84">
        <v>0</v>
      </c>
      <c r="H496" s="84">
        <v>0</v>
      </c>
      <c r="I496" s="84"/>
      <c r="J496" s="84"/>
      <c r="K496" s="84">
        <v>340000</v>
      </c>
      <c r="L496" s="84">
        <v>340000</v>
      </c>
      <c r="M496" s="84">
        <v>0</v>
      </c>
      <c r="N496" s="84">
        <v>300000</v>
      </c>
      <c r="O496" s="84">
        <v>300000</v>
      </c>
      <c r="P496" s="84"/>
      <c r="Q496" s="186">
        <f t="shared" si="50"/>
        <v>0</v>
      </c>
      <c r="R496" s="84">
        <v>300000</v>
      </c>
      <c r="S496" s="84" t="s">
        <v>339</v>
      </c>
      <c r="T496" s="84">
        <v>440000</v>
      </c>
      <c r="U496" s="84"/>
      <c r="V496" s="84"/>
      <c r="W496" s="32">
        <f t="shared" si="51"/>
        <v>440000</v>
      </c>
    </row>
    <row r="497" spans="1:23" ht="12">
      <c r="A497" s="8"/>
      <c r="B497" s="33">
        <v>80132</v>
      </c>
      <c r="C497" s="26"/>
      <c r="D497" s="42" t="s">
        <v>139</v>
      </c>
      <c r="E497" s="35">
        <f>SUM(E498:E520)</f>
        <v>769330</v>
      </c>
      <c r="F497" s="35">
        <f>SUM(F498:F520)</f>
        <v>805530</v>
      </c>
      <c r="G497" s="35">
        <f>SUM(G498:G520)</f>
        <v>1120892</v>
      </c>
      <c r="H497" s="35">
        <f>SUM(H498:H520)</f>
        <v>962610</v>
      </c>
      <c r="I497" s="35"/>
      <c r="J497" s="35">
        <f aca="true" t="shared" si="52" ref="J497:P497">SUM(J498:J520)</f>
        <v>981920</v>
      </c>
      <c r="K497" s="35">
        <f t="shared" si="52"/>
        <v>1034510</v>
      </c>
      <c r="L497" s="35">
        <f t="shared" si="52"/>
        <v>1088455</v>
      </c>
      <c r="M497" s="35">
        <f t="shared" si="52"/>
        <v>1445932</v>
      </c>
      <c r="N497" s="35">
        <v>1242390</v>
      </c>
      <c r="O497" s="35">
        <v>1261890</v>
      </c>
      <c r="P497" s="35">
        <f t="shared" si="52"/>
        <v>665261</v>
      </c>
      <c r="Q497" s="186">
        <f t="shared" si="50"/>
        <v>0.5271941294407595</v>
      </c>
      <c r="R497" s="35">
        <f>SUM(R498:R520)</f>
        <v>1369196</v>
      </c>
      <c r="S497" s="35">
        <f>SUM(S498:S520)</f>
        <v>1662100</v>
      </c>
      <c r="T497" s="35">
        <v>1604695</v>
      </c>
      <c r="U497" s="35">
        <f>SUM(U498:U520)</f>
        <v>0</v>
      </c>
      <c r="V497" s="35">
        <f>SUM(V498:V520)</f>
        <v>0</v>
      </c>
      <c r="W497" s="32">
        <f t="shared" si="51"/>
        <v>1604695</v>
      </c>
    </row>
    <row r="498" spans="1:23" ht="24">
      <c r="A498" s="8"/>
      <c r="B498" s="8"/>
      <c r="C498" s="26"/>
      <c r="D498" s="27" t="s">
        <v>140</v>
      </c>
      <c r="E498" s="55"/>
      <c r="F498" s="55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186"/>
      <c r="R498" s="56"/>
      <c r="S498" s="56"/>
      <c r="T498" s="56">
        <v>0</v>
      </c>
      <c r="U498" s="56"/>
      <c r="V498" s="56"/>
      <c r="W498" s="32">
        <f t="shared" si="51"/>
        <v>0</v>
      </c>
    </row>
    <row r="499" spans="1:23" ht="24">
      <c r="A499" s="8"/>
      <c r="B499" s="8"/>
      <c r="C499" s="26">
        <v>3020</v>
      </c>
      <c r="D499" s="27" t="s">
        <v>68</v>
      </c>
      <c r="E499" s="11">
        <v>15540</v>
      </c>
      <c r="F499" s="11">
        <v>15540</v>
      </c>
      <c r="G499" s="12">
        <v>15974</v>
      </c>
      <c r="H499" s="12">
        <v>15900</v>
      </c>
      <c r="I499" s="12"/>
      <c r="J499" s="12">
        <v>15900</v>
      </c>
      <c r="K499" s="12">
        <v>17400</v>
      </c>
      <c r="L499" s="12">
        <v>17400</v>
      </c>
      <c r="M499" s="12">
        <v>24330</v>
      </c>
      <c r="N499" s="12">
        <v>24330</v>
      </c>
      <c r="O499" s="12">
        <v>24330</v>
      </c>
      <c r="P499" s="12">
        <v>12093</v>
      </c>
      <c r="Q499" s="186">
        <f t="shared" si="50"/>
        <v>0.4970406905055487</v>
      </c>
      <c r="R499" s="12">
        <v>28855</v>
      </c>
      <c r="S499" s="12">
        <v>37640</v>
      </c>
      <c r="T499" s="12">
        <v>37640</v>
      </c>
      <c r="U499" s="12"/>
      <c r="V499" s="12"/>
      <c r="W499" s="32">
        <f t="shared" si="51"/>
        <v>37640</v>
      </c>
    </row>
    <row r="500" spans="1:23" ht="24">
      <c r="A500" s="8"/>
      <c r="B500" s="8"/>
      <c r="C500" s="26">
        <v>4010</v>
      </c>
      <c r="D500" s="27" t="s">
        <v>29</v>
      </c>
      <c r="E500" s="11">
        <v>478490</v>
      </c>
      <c r="F500" s="11">
        <v>478490</v>
      </c>
      <c r="G500" s="12">
        <v>603377</v>
      </c>
      <c r="H500" s="12">
        <v>603380</v>
      </c>
      <c r="I500" s="12">
        <v>603380</v>
      </c>
      <c r="J500" s="12">
        <v>603380</v>
      </c>
      <c r="K500" s="12">
        <v>645930</v>
      </c>
      <c r="L500" s="12">
        <v>688375</v>
      </c>
      <c r="M500" s="12">
        <v>826676</v>
      </c>
      <c r="N500" s="12">
        <v>826680</v>
      </c>
      <c r="O500" s="12">
        <v>826680</v>
      </c>
      <c r="P500" s="12">
        <v>404746</v>
      </c>
      <c r="Q500" s="186">
        <f t="shared" si="50"/>
        <v>0.4896041999322592</v>
      </c>
      <c r="R500" s="12">
        <v>904144</v>
      </c>
      <c r="S500" s="12">
        <v>1094310</v>
      </c>
      <c r="T500" s="12">
        <v>1089912</v>
      </c>
      <c r="U500" s="12"/>
      <c r="V500" s="12"/>
      <c r="W500" s="32">
        <f t="shared" si="51"/>
        <v>1089912</v>
      </c>
    </row>
    <row r="501" spans="1:23" ht="12">
      <c r="A501" s="8"/>
      <c r="B501" s="8"/>
      <c r="C501" s="26">
        <v>4040</v>
      </c>
      <c r="D501" s="27" t="s">
        <v>30</v>
      </c>
      <c r="E501" s="11">
        <v>31910</v>
      </c>
      <c r="F501" s="11">
        <v>31910</v>
      </c>
      <c r="G501" s="12">
        <v>44637</v>
      </c>
      <c r="H501" s="12">
        <v>44640</v>
      </c>
      <c r="I501" s="12"/>
      <c r="J501" s="12">
        <v>44640</v>
      </c>
      <c r="K501" s="12">
        <v>44640</v>
      </c>
      <c r="L501" s="12">
        <v>42892</v>
      </c>
      <c r="M501" s="12">
        <v>60000</v>
      </c>
      <c r="N501" s="12">
        <v>60000</v>
      </c>
      <c r="O501" s="12">
        <v>60000</v>
      </c>
      <c r="P501" s="12">
        <v>59071</v>
      </c>
      <c r="Q501" s="186">
        <f t="shared" si="50"/>
        <v>0.9845166666666667</v>
      </c>
      <c r="R501" s="12">
        <v>59071</v>
      </c>
      <c r="S501" s="12">
        <v>78910</v>
      </c>
      <c r="T501" s="12">
        <v>78910</v>
      </c>
      <c r="U501" s="12"/>
      <c r="V501" s="12"/>
      <c r="W501" s="32">
        <f t="shared" si="51"/>
        <v>78910</v>
      </c>
    </row>
    <row r="502" spans="1:23" ht="24">
      <c r="A502" s="8"/>
      <c r="B502" s="8"/>
      <c r="C502" s="26">
        <v>4110</v>
      </c>
      <c r="D502" s="27" t="s">
        <v>113</v>
      </c>
      <c r="E502" s="11">
        <v>86160</v>
      </c>
      <c r="F502" s="11">
        <v>86160</v>
      </c>
      <c r="G502" s="12">
        <v>97530</v>
      </c>
      <c r="H502" s="12">
        <v>88910</v>
      </c>
      <c r="I502" s="12"/>
      <c r="J502" s="12">
        <v>88910</v>
      </c>
      <c r="K502" s="12">
        <v>95170</v>
      </c>
      <c r="L502" s="12">
        <v>100613</v>
      </c>
      <c r="M502" s="12">
        <v>138000</v>
      </c>
      <c r="N502" s="12">
        <v>130520</v>
      </c>
      <c r="O502" s="12">
        <v>130520</v>
      </c>
      <c r="P502" s="12">
        <v>59173</v>
      </c>
      <c r="Q502" s="186">
        <f t="shared" si="50"/>
        <v>0.4533634692001226</v>
      </c>
      <c r="R502" s="12">
        <v>140442</v>
      </c>
      <c r="S502" s="12">
        <v>173640</v>
      </c>
      <c r="T502" s="12">
        <v>173640</v>
      </c>
      <c r="U502" s="12"/>
      <c r="V502" s="12"/>
      <c r="W502" s="32">
        <f t="shared" si="51"/>
        <v>173640</v>
      </c>
    </row>
    <row r="503" spans="1:23" ht="12">
      <c r="A503" s="8"/>
      <c r="B503" s="8"/>
      <c r="C503" s="26">
        <v>4120</v>
      </c>
      <c r="D503" s="27" t="s">
        <v>32</v>
      </c>
      <c r="E503" s="11">
        <v>12250</v>
      </c>
      <c r="F503" s="11">
        <v>12250</v>
      </c>
      <c r="G503" s="12">
        <v>16119</v>
      </c>
      <c r="H503" s="12">
        <v>15550</v>
      </c>
      <c r="I503" s="12"/>
      <c r="J503" s="12">
        <v>15550</v>
      </c>
      <c r="K503" s="12">
        <v>16740</v>
      </c>
      <c r="L503" s="12">
        <v>16750</v>
      </c>
      <c r="M503" s="12">
        <v>22300</v>
      </c>
      <c r="N503" s="12">
        <v>21280</v>
      </c>
      <c r="O503" s="12">
        <v>21280</v>
      </c>
      <c r="P503" s="12">
        <v>10558</v>
      </c>
      <c r="Q503" s="186">
        <f t="shared" si="50"/>
        <v>0.4961466165413534</v>
      </c>
      <c r="R503" s="12">
        <v>24005</v>
      </c>
      <c r="S503" s="12">
        <v>28160</v>
      </c>
      <c r="T503" s="12">
        <v>28160</v>
      </c>
      <c r="U503" s="12"/>
      <c r="V503" s="12"/>
      <c r="W503" s="32">
        <f t="shared" si="51"/>
        <v>28160</v>
      </c>
    </row>
    <row r="504" spans="1:23" ht="12">
      <c r="A504" s="8"/>
      <c r="B504" s="8"/>
      <c r="C504" s="26">
        <v>4170</v>
      </c>
      <c r="D504" s="27" t="s">
        <v>69</v>
      </c>
      <c r="E504" s="11">
        <f>610+2000</f>
        <v>2610</v>
      </c>
      <c r="F504" s="11">
        <f>610+2000</f>
        <v>2610</v>
      </c>
      <c r="G504" s="12">
        <v>3065</v>
      </c>
      <c r="H504" s="12">
        <v>2670</v>
      </c>
      <c r="I504" s="12"/>
      <c r="J504" s="12">
        <v>2670</v>
      </c>
      <c r="K504" s="12">
        <v>3270</v>
      </c>
      <c r="L504" s="12">
        <v>3270</v>
      </c>
      <c r="M504" s="12">
        <v>3726</v>
      </c>
      <c r="N504" s="12">
        <v>3730</v>
      </c>
      <c r="O504" s="12">
        <v>3730</v>
      </c>
      <c r="P504" s="12">
        <v>1220</v>
      </c>
      <c r="Q504" s="186">
        <f t="shared" si="50"/>
        <v>0.32707774798927614</v>
      </c>
      <c r="R504" s="12">
        <v>3730</v>
      </c>
      <c r="S504" s="12">
        <v>3730</v>
      </c>
      <c r="T504" s="12">
        <v>3730</v>
      </c>
      <c r="U504" s="12"/>
      <c r="V504" s="12"/>
      <c r="W504" s="32">
        <f t="shared" si="51"/>
        <v>3730</v>
      </c>
    </row>
    <row r="505" spans="1:23" ht="12">
      <c r="A505" s="8"/>
      <c r="B505" s="8"/>
      <c r="C505" s="26">
        <v>4210</v>
      </c>
      <c r="D505" s="27" t="s">
        <v>34</v>
      </c>
      <c r="E505" s="11">
        <v>23140</v>
      </c>
      <c r="F505" s="11">
        <v>22940</v>
      </c>
      <c r="G505" s="12">
        <v>23790</v>
      </c>
      <c r="H505" s="12">
        <v>23470</v>
      </c>
      <c r="I505" s="12"/>
      <c r="J505" s="12">
        <v>23470</v>
      </c>
      <c r="K505" s="12">
        <v>19970</v>
      </c>
      <c r="L505" s="12">
        <v>23470</v>
      </c>
      <c r="M505" s="12">
        <v>12925</v>
      </c>
      <c r="N505" s="12">
        <v>12930</v>
      </c>
      <c r="O505" s="12">
        <v>12930</v>
      </c>
      <c r="P505" s="12">
        <v>1794</v>
      </c>
      <c r="Q505" s="186">
        <f t="shared" si="50"/>
        <v>0.13874709976798144</v>
      </c>
      <c r="R505" s="12">
        <v>10930</v>
      </c>
      <c r="S505" s="12">
        <v>10930</v>
      </c>
      <c r="T505" s="12">
        <v>9930</v>
      </c>
      <c r="U505" s="12"/>
      <c r="V505" s="12"/>
      <c r="W505" s="32">
        <f t="shared" si="51"/>
        <v>9930</v>
      </c>
    </row>
    <row r="506" spans="1:23" ht="24" hidden="1">
      <c r="A506" s="8"/>
      <c r="B506" s="8"/>
      <c r="C506" s="26">
        <v>4240</v>
      </c>
      <c r="D506" s="27" t="s">
        <v>117</v>
      </c>
      <c r="E506" s="11">
        <v>0</v>
      </c>
      <c r="F506" s="11">
        <v>30000</v>
      </c>
      <c r="G506" s="12">
        <v>175956</v>
      </c>
      <c r="H506" s="12">
        <v>30690</v>
      </c>
      <c r="I506" s="12"/>
      <c r="J506" s="12">
        <v>50000</v>
      </c>
      <c r="K506" s="12">
        <v>50000</v>
      </c>
      <c r="L506" s="12">
        <v>50000</v>
      </c>
      <c r="M506" s="12">
        <v>195056</v>
      </c>
      <c r="N506" s="12">
        <v>0</v>
      </c>
      <c r="O506" s="12">
        <v>19500</v>
      </c>
      <c r="P506" s="12">
        <v>19500</v>
      </c>
      <c r="Q506" s="186">
        <f t="shared" si="50"/>
        <v>1</v>
      </c>
      <c r="R506" s="12">
        <v>30000</v>
      </c>
      <c r="S506" s="12">
        <v>55700</v>
      </c>
      <c r="T506" s="12">
        <v>0</v>
      </c>
      <c r="U506" s="12"/>
      <c r="V506" s="12"/>
      <c r="W506" s="32">
        <f t="shared" si="51"/>
        <v>0</v>
      </c>
    </row>
    <row r="507" spans="1:23" ht="12">
      <c r="A507" s="8"/>
      <c r="B507" s="8"/>
      <c r="C507" s="26">
        <v>4260</v>
      </c>
      <c r="D507" s="27" t="s">
        <v>35</v>
      </c>
      <c r="E507" s="11">
        <v>11930</v>
      </c>
      <c r="F507" s="11">
        <v>11930</v>
      </c>
      <c r="G507" s="12">
        <v>12291</v>
      </c>
      <c r="H507" s="12">
        <v>12200</v>
      </c>
      <c r="I507" s="12"/>
      <c r="J507" s="12">
        <v>12200</v>
      </c>
      <c r="K507" s="12">
        <v>12200</v>
      </c>
      <c r="L507" s="12">
        <v>12200</v>
      </c>
      <c r="M507" s="12">
        <v>12560</v>
      </c>
      <c r="N507" s="12">
        <v>12560</v>
      </c>
      <c r="O507" s="12">
        <v>12560</v>
      </c>
      <c r="P507" s="12">
        <v>8562</v>
      </c>
      <c r="Q507" s="186">
        <f t="shared" si="50"/>
        <v>0.681687898089172</v>
      </c>
      <c r="R507" s="12">
        <v>14360</v>
      </c>
      <c r="S507" s="12">
        <v>15080</v>
      </c>
      <c r="T507" s="12">
        <v>15080</v>
      </c>
      <c r="U507" s="12"/>
      <c r="V507" s="12"/>
      <c r="W507" s="32">
        <f t="shared" si="51"/>
        <v>15080</v>
      </c>
    </row>
    <row r="508" spans="1:23" ht="12">
      <c r="A508" s="8"/>
      <c r="B508" s="8"/>
      <c r="C508" s="26">
        <v>4270</v>
      </c>
      <c r="D508" s="27" t="s">
        <v>36</v>
      </c>
      <c r="E508" s="11">
        <v>17340</v>
      </c>
      <c r="F508" s="11">
        <v>23540</v>
      </c>
      <c r="G508" s="12">
        <v>24090</v>
      </c>
      <c r="H508" s="12">
        <v>24090</v>
      </c>
      <c r="I508" s="12"/>
      <c r="J508" s="12">
        <v>24090</v>
      </c>
      <c r="K508" s="12">
        <v>24090</v>
      </c>
      <c r="L508" s="12">
        <v>24090</v>
      </c>
      <c r="M508" s="12">
        <v>24790</v>
      </c>
      <c r="N508" s="12">
        <v>24790</v>
      </c>
      <c r="O508" s="12">
        <v>24790</v>
      </c>
      <c r="P508" s="12">
        <v>11140</v>
      </c>
      <c r="Q508" s="186">
        <f t="shared" si="50"/>
        <v>0.44937474788221055</v>
      </c>
      <c r="R508" s="12">
        <v>24790</v>
      </c>
      <c r="S508" s="12">
        <v>24790</v>
      </c>
      <c r="T508" s="12">
        <v>27483</v>
      </c>
      <c r="U508" s="12"/>
      <c r="V508" s="12"/>
      <c r="W508" s="32">
        <f t="shared" si="51"/>
        <v>27483</v>
      </c>
    </row>
    <row r="509" spans="1:23" ht="12">
      <c r="A509" s="8"/>
      <c r="B509" s="8"/>
      <c r="C509" s="26">
        <v>4280</v>
      </c>
      <c r="D509" s="27" t="s">
        <v>37</v>
      </c>
      <c r="E509" s="11">
        <v>620</v>
      </c>
      <c r="F509" s="11">
        <v>620</v>
      </c>
      <c r="G509" s="12">
        <v>634</v>
      </c>
      <c r="H509" s="12">
        <v>630</v>
      </c>
      <c r="I509" s="12"/>
      <c r="J509" s="12">
        <v>630</v>
      </c>
      <c r="K509" s="12">
        <v>630</v>
      </c>
      <c r="L509" s="12">
        <v>630</v>
      </c>
      <c r="M509" s="12">
        <v>648</v>
      </c>
      <c r="N509" s="12">
        <v>650</v>
      </c>
      <c r="O509" s="12">
        <v>650</v>
      </c>
      <c r="P509" s="12">
        <v>455</v>
      </c>
      <c r="Q509" s="186">
        <f t="shared" si="50"/>
        <v>0.7</v>
      </c>
      <c r="R509" s="12">
        <v>1150</v>
      </c>
      <c r="S509" s="12">
        <v>1150</v>
      </c>
      <c r="T509" s="12">
        <v>1150</v>
      </c>
      <c r="U509" s="12"/>
      <c r="V509" s="12"/>
      <c r="W509" s="32">
        <f t="shared" si="51"/>
        <v>1150</v>
      </c>
    </row>
    <row r="510" spans="1:23" ht="12">
      <c r="A510" s="8"/>
      <c r="B510" s="8"/>
      <c r="C510" s="26">
        <v>4300</v>
      </c>
      <c r="D510" s="27" t="s">
        <v>81</v>
      </c>
      <c r="E510" s="11">
        <v>41230</v>
      </c>
      <c r="F510" s="11">
        <v>4630</v>
      </c>
      <c r="G510" s="12">
        <v>4873</v>
      </c>
      <c r="H510" s="12">
        <v>4740</v>
      </c>
      <c r="I510" s="12"/>
      <c r="J510" s="12">
        <v>4740</v>
      </c>
      <c r="K510" s="12">
        <v>4807</v>
      </c>
      <c r="L510" s="12">
        <v>4807</v>
      </c>
      <c r="M510" s="12">
        <v>4946</v>
      </c>
      <c r="N510" s="12">
        <v>4950</v>
      </c>
      <c r="O510" s="12">
        <v>4950</v>
      </c>
      <c r="P510" s="12">
        <v>3428</v>
      </c>
      <c r="Q510" s="186">
        <f aca="true" t="shared" si="53" ref="Q510:Q575">P510/O510</f>
        <v>0.6925252525252525</v>
      </c>
      <c r="R510" s="12">
        <v>6650</v>
      </c>
      <c r="S510" s="12">
        <v>6710</v>
      </c>
      <c r="T510" s="12">
        <v>6710</v>
      </c>
      <c r="U510" s="12"/>
      <c r="V510" s="12"/>
      <c r="W510" s="32">
        <f t="shared" si="51"/>
        <v>6710</v>
      </c>
    </row>
    <row r="511" spans="1:23" ht="24">
      <c r="A511" s="8"/>
      <c r="B511" s="8"/>
      <c r="C511" s="26">
        <v>4350</v>
      </c>
      <c r="D511" s="27" t="s">
        <v>38</v>
      </c>
      <c r="E511" s="11">
        <v>2200</v>
      </c>
      <c r="F511" s="11">
        <v>2200</v>
      </c>
      <c r="G511" s="12">
        <v>2251</v>
      </c>
      <c r="H511" s="12">
        <v>2250</v>
      </c>
      <c r="I511" s="12"/>
      <c r="J511" s="12">
        <v>2250</v>
      </c>
      <c r="K511" s="12">
        <v>1750</v>
      </c>
      <c r="L511" s="12">
        <v>1750</v>
      </c>
      <c r="M511" s="12">
        <v>1800</v>
      </c>
      <c r="N511" s="12">
        <v>1800</v>
      </c>
      <c r="O511" s="12">
        <v>1800</v>
      </c>
      <c r="P511" s="12">
        <v>396</v>
      </c>
      <c r="Q511" s="186">
        <f t="shared" si="53"/>
        <v>0.22</v>
      </c>
      <c r="R511" s="12">
        <v>966</v>
      </c>
      <c r="S511" s="12">
        <v>1490</v>
      </c>
      <c r="T511" s="12">
        <v>1490</v>
      </c>
      <c r="U511" s="12"/>
      <c r="V511" s="12"/>
      <c r="W511" s="32">
        <f t="shared" si="51"/>
        <v>1490</v>
      </c>
    </row>
    <row r="512" spans="1:23" ht="36">
      <c r="A512" s="8"/>
      <c r="B512" s="8"/>
      <c r="C512" s="26">
        <v>4370</v>
      </c>
      <c r="D512" s="27" t="s">
        <v>135</v>
      </c>
      <c r="E512" s="11">
        <v>4600</v>
      </c>
      <c r="F512" s="11">
        <v>4600</v>
      </c>
      <c r="G512" s="12">
        <v>4710</v>
      </c>
      <c r="H512" s="12">
        <v>4710</v>
      </c>
      <c r="I512" s="12"/>
      <c r="J512" s="12">
        <v>4710</v>
      </c>
      <c r="K512" s="12">
        <v>4710</v>
      </c>
      <c r="L512" s="12">
        <v>4710</v>
      </c>
      <c r="M512" s="12">
        <v>4847</v>
      </c>
      <c r="N512" s="12">
        <v>4850</v>
      </c>
      <c r="O512" s="12">
        <v>4850</v>
      </c>
      <c r="P512" s="12">
        <v>1535</v>
      </c>
      <c r="Q512" s="186">
        <f t="shared" si="53"/>
        <v>0.31649484536082473</v>
      </c>
      <c r="R512" s="12">
        <v>3550</v>
      </c>
      <c r="S512" s="12">
        <v>3550</v>
      </c>
      <c r="T512" s="12">
        <v>3550</v>
      </c>
      <c r="U512" s="12"/>
      <c r="V512" s="12"/>
      <c r="W512" s="32">
        <f t="shared" si="51"/>
        <v>3550</v>
      </c>
    </row>
    <row r="513" spans="1:23" ht="36">
      <c r="A513" s="8"/>
      <c r="B513" s="8"/>
      <c r="C513" s="26">
        <v>4400</v>
      </c>
      <c r="D513" s="27" t="s">
        <v>72</v>
      </c>
      <c r="E513" s="11"/>
      <c r="F513" s="11">
        <v>36600</v>
      </c>
      <c r="G513" s="12">
        <v>37450</v>
      </c>
      <c r="H513" s="12">
        <v>37450</v>
      </c>
      <c r="I513" s="12"/>
      <c r="J513" s="12">
        <v>37450</v>
      </c>
      <c r="K513" s="12">
        <v>37450</v>
      </c>
      <c r="L513" s="12">
        <v>37450</v>
      </c>
      <c r="M513" s="12">
        <v>38536</v>
      </c>
      <c r="N513" s="12">
        <v>38540</v>
      </c>
      <c r="O513" s="12">
        <v>38540</v>
      </c>
      <c r="P513" s="12">
        <v>18715</v>
      </c>
      <c r="Q513" s="186">
        <f t="shared" si="53"/>
        <v>0.48559937727036845</v>
      </c>
      <c r="R513" s="12">
        <v>38540</v>
      </c>
      <c r="S513" s="12">
        <v>39090</v>
      </c>
      <c r="T513" s="12">
        <v>40345</v>
      </c>
      <c r="U513" s="12"/>
      <c r="V513" s="12"/>
      <c r="W513" s="32">
        <f t="shared" si="51"/>
        <v>40345</v>
      </c>
    </row>
    <row r="514" spans="1:23" ht="12">
      <c r="A514" s="8"/>
      <c r="B514" s="8"/>
      <c r="C514" s="26">
        <v>4410</v>
      </c>
      <c r="D514" s="27" t="s">
        <v>42</v>
      </c>
      <c r="E514" s="11">
        <v>3670</v>
      </c>
      <c r="F514" s="11">
        <v>3670</v>
      </c>
      <c r="G514" s="12">
        <v>3754</v>
      </c>
      <c r="H514" s="12">
        <v>3760</v>
      </c>
      <c r="I514" s="12"/>
      <c r="J514" s="12">
        <v>3760</v>
      </c>
      <c r="K514" s="12">
        <v>3760</v>
      </c>
      <c r="L514" s="12">
        <v>3760</v>
      </c>
      <c r="M514" s="12">
        <v>3869</v>
      </c>
      <c r="N514" s="12">
        <v>3870</v>
      </c>
      <c r="O514" s="12">
        <v>3870</v>
      </c>
      <c r="P514" s="12">
        <v>2004</v>
      </c>
      <c r="Q514" s="186">
        <f t="shared" si="53"/>
        <v>0.517829457364341</v>
      </c>
      <c r="R514" s="12">
        <v>3870</v>
      </c>
      <c r="S514" s="12">
        <v>3870</v>
      </c>
      <c r="T514" s="12">
        <v>3870</v>
      </c>
      <c r="U514" s="12"/>
      <c r="V514" s="12"/>
      <c r="W514" s="32">
        <f t="shared" si="51"/>
        <v>3870</v>
      </c>
    </row>
    <row r="515" spans="1:23" ht="12">
      <c r="A515" s="8"/>
      <c r="B515" s="8"/>
      <c r="C515" s="26">
        <v>4430</v>
      </c>
      <c r="D515" s="27" t="s">
        <v>43</v>
      </c>
      <c r="E515" s="11">
        <v>200</v>
      </c>
      <c r="F515" s="11">
        <v>400</v>
      </c>
      <c r="G515" s="12">
        <v>409</v>
      </c>
      <c r="H515" s="12">
        <v>410</v>
      </c>
      <c r="I515" s="12"/>
      <c r="J515" s="12">
        <v>410</v>
      </c>
      <c r="K515" s="12">
        <v>410</v>
      </c>
      <c r="L515" s="12">
        <v>410</v>
      </c>
      <c r="M515" s="12">
        <v>422</v>
      </c>
      <c r="N515" s="12">
        <v>430</v>
      </c>
      <c r="O515" s="12">
        <v>430</v>
      </c>
      <c r="P515" s="12">
        <v>286</v>
      </c>
      <c r="Q515" s="186">
        <f t="shared" si="53"/>
        <v>0.6651162790697674</v>
      </c>
      <c r="R515" s="12">
        <v>430</v>
      </c>
      <c r="S515" s="12">
        <v>430</v>
      </c>
      <c r="T515" s="12">
        <v>651</v>
      </c>
      <c r="U515" s="12"/>
      <c r="V515" s="12"/>
      <c r="W515" s="32">
        <f t="shared" si="51"/>
        <v>651</v>
      </c>
    </row>
    <row r="516" spans="1:23" ht="24">
      <c r="A516" s="8"/>
      <c r="B516" s="8"/>
      <c r="C516" s="26">
        <v>4440</v>
      </c>
      <c r="D516" s="27" t="s">
        <v>44</v>
      </c>
      <c r="E516" s="11">
        <v>33460</v>
      </c>
      <c r="F516" s="11">
        <v>33460</v>
      </c>
      <c r="G516" s="12">
        <v>42710</v>
      </c>
      <c r="H516" s="12">
        <v>42900</v>
      </c>
      <c r="I516" s="12"/>
      <c r="J516" s="12">
        <v>42900</v>
      </c>
      <c r="K516" s="12">
        <v>42900</v>
      </c>
      <c r="L516" s="12">
        <v>50695</v>
      </c>
      <c r="M516" s="12">
        <v>60685</v>
      </c>
      <c r="N516" s="12">
        <v>60660</v>
      </c>
      <c r="O516" s="12">
        <v>60660</v>
      </c>
      <c r="P516" s="12">
        <v>48269</v>
      </c>
      <c r="Q516" s="186">
        <f t="shared" si="53"/>
        <v>0.7957303000329706</v>
      </c>
      <c r="R516" s="12">
        <v>63593</v>
      </c>
      <c r="S516" s="12">
        <v>72800</v>
      </c>
      <c r="T516" s="12">
        <v>72800</v>
      </c>
      <c r="U516" s="12"/>
      <c r="V516" s="12"/>
      <c r="W516" s="32">
        <f t="shared" si="51"/>
        <v>72800</v>
      </c>
    </row>
    <row r="517" spans="1:23" ht="12">
      <c r="A517" s="8"/>
      <c r="B517" s="8"/>
      <c r="C517" s="26">
        <v>4510</v>
      </c>
      <c r="D517" s="27" t="s">
        <v>91</v>
      </c>
      <c r="E517" s="11">
        <v>0</v>
      </c>
      <c r="F517" s="11">
        <v>0</v>
      </c>
      <c r="G517" s="12">
        <v>200</v>
      </c>
      <c r="H517" s="12">
        <v>200</v>
      </c>
      <c r="I517" s="12"/>
      <c r="J517" s="12">
        <v>200</v>
      </c>
      <c r="K517" s="12">
        <v>200</v>
      </c>
      <c r="L517" s="12">
        <v>200</v>
      </c>
      <c r="M517" s="12">
        <v>206</v>
      </c>
      <c r="N517" s="12">
        <v>210</v>
      </c>
      <c r="O517" s="12">
        <v>210</v>
      </c>
      <c r="P517" s="12"/>
      <c r="Q517" s="186">
        <f t="shared" si="53"/>
        <v>0</v>
      </c>
      <c r="R517" s="12">
        <v>210</v>
      </c>
      <c r="S517" s="12">
        <v>210</v>
      </c>
      <c r="T517" s="12">
        <v>210</v>
      </c>
      <c r="U517" s="12"/>
      <c r="V517" s="12"/>
      <c r="W517" s="32">
        <f t="shared" si="51"/>
        <v>210</v>
      </c>
    </row>
    <row r="518" spans="1:23" ht="36">
      <c r="A518" s="8"/>
      <c r="B518" s="8"/>
      <c r="C518" s="26">
        <v>4700</v>
      </c>
      <c r="D518" s="27" t="s">
        <v>46</v>
      </c>
      <c r="E518" s="11">
        <v>1940</v>
      </c>
      <c r="F518" s="11">
        <v>1940</v>
      </c>
      <c r="G518" s="12">
        <v>1984</v>
      </c>
      <c r="H518" s="12">
        <v>1980</v>
      </c>
      <c r="I518" s="12"/>
      <c r="J518" s="12">
        <v>1980</v>
      </c>
      <c r="K518" s="12">
        <v>1980</v>
      </c>
      <c r="L518" s="12">
        <v>1980</v>
      </c>
      <c r="M518" s="12">
        <v>1500</v>
      </c>
      <c r="N518" s="12">
        <v>1500</v>
      </c>
      <c r="O518" s="12">
        <v>1500</v>
      </c>
      <c r="P518" s="12">
        <v>765</v>
      </c>
      <c r="Q518" s="186">
        <f t="shared" si="53"/>
        <v>0.51</v>
      </c>
      <c r="R518" s="12">
        <v>1500</v>
      </c>
      <c r="S518" s="12">
        <v>1500</v>
      </c>
      <c r="T518" s="12">
        <v>2500</v>
      </c>
      <c r="U518" s="12"/>
      <c r="V518" s="12"/>
      <c r="W518" s="32">
        <f t="shared" si="51"/>
        <v>2500</v>
      </c>
    </row>
    <row r="519" spans="1:23" ht="36">
      <c r="A519" s="8"/>
      <c r="B519" s="8"/>
      <c r="C519" s="26">
        <v>4740</v>
      </c>
      <c r="D519" s="27" t="s">
        <v>73</v>
      </c>
      <c r="E519" s="11">
        <v>1020</v>
      </c>
      <c r="F519" s="11">
        <v>1020</v>
      </c>
      <c r="G519" s="12">
        <v>1043</v>
      </c>
      <c r="H519" s="12">
        <v>1040</v>
      </c>
      <c r="I519" s="12"/>
      <c r="J519" s="12">
        <v>1040</v>
      </c>
      <c r="K519" s="12">
        <v>1040</v>
      </c>
      <c r="L519" s="12">
        <v>1040</v>
      </c>
      <c r="M519" s="12">
        <v>1070</v>
      </c>
      <c r="N519" s="12">
        <v>1070</v>
      </c>
      <c r="O519" s="12">
        <v>1070</v>
      </c>
      <c r="P519" s="12"/>
      <c r="Q519" s="186">
        <f t="shared" si="53"/>
        <v>0</v>
      </c>
      <c r="R519" s="12">
        <v>1370</v>
      </c>
      <c r="S519" s="12">
        <v>1370</v>
      </c>
      <c r="T519" s="12">
        <v>1370</v>
      </c>
      <c r="U519" s="12"/>
      <c r="V519" s="12"/>
      <c r="W519" s="32">
        <f t="shared" si="51"/>
        <v>1370</v>
      </c>
    </row>
    <row r="520" spans="1:23" ht="24">
      <c r="A520" s="8"/>
      <c r="B520" s="8"/>
      <c r="C520" s="26">
        <v>4750</v>
      </c>
      <c r="D520" s="27" t="s">
        <v>118</v>
      </c>
      <c r="E520" s="11">
        <v>1020</v>
      </c>
      <c r="F520" s="11">
        <v>1020</v>
      </c>
      <c r="G520" s="12">
        <v>4045</v>
      </c>
      <c r="H520" s="12">
        <v>1040</v>
      </c>
      <c r="I520" s="12"/>
      <c r="J520" s="12">
        <v>1040</v>
      </c>
      <c r="K520" s="12">
        <v>5463</v>
      </c>
      <c r="L520" s="12">
        <v>1963</v>
      </c>
      <c r="M520" s="12">
        <v>7040</v>
      </c>
      <c r="N520" s="12">
        <v>7040</v>
      </c>
      <c r="O520" s="12">
        <v>7040</v>
      </c>
      <c r="P520" s="12">
        <v>1551</v>
      </c>
      <c r="Q520" s="186">
        <f t="shared" si="53"/>
        <v>0.2203125</v>
      </c>
      <c r="R520" s="12">
        <v>7040</v>
      </c>
      <c r="S520" s="12">
        <v>7040</v>
      </c>
      <c r="T520" s="12">
        <v>5564</v>
      </c>
      <c r="U520" s="12"/>
      <c r="V520" s="12"/>
      <c r="W520" s="32">
        <f t="shared" si="51"/>
        <v>5564</v>
      </c>
    </row>
    <row r="521" spans="1:23" ht="12">
      <c r="A521" s="8"/>
      <c r="B521" s="8">
        <v>80134</v>
      </c>
      <c r="C521" s="26"/>
      <c r="D521" s="42" t="s">
        <v>141</v>
      </c>
      <c r="E521" s="35">
        <f>SUM(E522:E528)</f>
        <v>399410</v>
      </c>
      <c r="F521" s="35">
        <f>SUM(F522:F528)</f>
        <v>399410</v>
      </c>
      <c r="G521" s="37">
        <f>SUM(G522:G528)</f>
        <v>358445</v>
      </c>
      <c r="H521" s="37">
        <f>SUM(H522:H528)</f>
        <v>355030</v>
      </c>
      <c r="I521" s="37"/>
      <c r="J521" s="37">
        <f aca="true" t="shared" si="54" ref="J521:P521">SUM(J522:J528)</f>
        <v>355030</v>
      </c>
      <c r="K521" s="37">
        <f t="shared" si="54"/>
        <v>381930</v>
      </c>
      <c r="L521" s="37">
        <f t="shared" si="54"/>
        <v>384220</v>
      </c>
      <c r="M521" s="37">
        <f t="shared" si="54"/>
        <v>465112</v>
      </c>
      <c r="N521" s="37">
        <v>463640</v>
      </c>
      <c r="O521" s="37">
        <v>463640</v>
      </c>
      <c r="P521" s="37">
        <f t="shared" si="54"/>
        <v>222352</v>
      </c>
      <c r="Q521" s="186">
        <f t="shared" si="53"/>
        <v>0.4795789836942455</v>
      </c>
      <c r="R521" s="37">
        <f>SUM(R522:R528)</f>
        <v>460956</v>
      </c>
      <c r="S521" s="37">
        <f>SUM(S522:S528)</f>
        <v>516670</v>
      </c>
      <c r="T521" s="37">
        <v>494841</v>
      </c>
      <c r="U521" s="37">
        <f>SUM(U522:U528)</f>
        <v>0</v>
      </c>
      <c r="V521" s="37">
        <f>SUM(V522:V528)</f>
        <v>0</v>
      </c>
      <c r="W521" s="32">
        <f t="shared" si="51"/>
        <v>494841</v>
      </c>
    </row>
    <row r="522" spans="1:23" ht="12">
      <c r="A522" s="8"/>
      <c r="B522" s="8"/>
      <c r="C522" s="26"/>
      <c r="D522" s="42" t="s">
        <v>142</v>
      </c>
      <c r="E522" s="55"/>
      <c r="F522" s="55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186"/>
      <c r="R522" s="56"/>
      <c r="S522" s="56"/>
      <c r="T522" s="56">
        <v>0</v>
      </c>
      <c r="U522" s="56"/>
      <c r="V522" s="56"/>
      <c r="W522" s="32">
        <f t="shared" si="51"/>
        <v>0</v>
      </c>
    </row>
    <row r="523" spans="1:23" ht="24">
      <c r="A523" s="8"/>
      <c r="B523" s="8"/>
      <c r="C523" s="26">
        <v>3020</v>
      </c>
      <c r="D523" s="27" t="s">
        <v>68</v>
      </c>
      <c r="E523" s="11">
        <v>720</v>
      </c>
      <c r="F523" s="11">
        <v>720</v>
      </c>
      <c r="G523" s="12">
        <v>665</v>
      </c>
      <c r="H523" s="12">
        <v>800</v>
      </c>
      <c r="I523" s="12"/>
      <c r="J523" s="12">
        <v>800</v>
      </c>
      <c r="K523" s="12">
        <v>800</v>
      </c>
      <c r="L523" s="12">
        <v>800</v>
      </c>
      <c r="M523" s="12">
        <v>836</v>
      </c>
      <c r="N523" s="12">
        <v>1070</v>
      </c>
      <c r="O523" s="12">
        <v>1070</v>
      </c>
      <c r="P523" s="12">
        <v>350</v>
      </c>
      <c r="Q523" s="186">
        <f t="shared" si="53"/>
        <v>0.32710280373831774</v>
      </c>
      <c r="R523" s="12">
        <v>1070</v>
      </c>
      <c r="S523" s="12">
        <v>1190</v>
      </c>
      <c r="T523" s="12">
        <v>1190</v>
      </c>
      <c r="U523" s="12"/>
      <c r="V523" s="12"/>
      <c r="W523" s="32">
        <f t="shared" si="51"/>
        <v>1190</v>
      </c>
    </row>
    <row r="524" spans="1:23" ht="24">
      <c r="A524" s="8"/>
      <c r="B524" s="8"/>
      <c r="C524" s="26">
        <v>4010</v>
      </c>
      <c r="D524" s="27" t="s">
        <v>29</v>
      </c>
      <c r="E524" s="11">
        <v>294490</v>
      </c>
      <c r="F524" s="11">
        <v>294490</v>
      </c>
      <c r="G524" s="12">
        <v>267760</v>
      </c>
      <c r="H524" s="12">
        <v>267760</v>
      </c>
      <c r="I524" s="12">
        <v>267760</v>
      </c>
      <c r="J524" s="12">
        <v>267760</v>
      </c>
      <c r="K524" s="12">
        <v>290800</v>
      </c>
      <c r="L524" s="12">
        <v>288512</v>
      </c>
      <c r="M524" s="12">
        <v>355536</v>
      </c>
      <c r="N524" s="12">
        <v>355540</v>
      </c>
      <c r="O524" s="12">
        <v>355540</v>
      </c>
      <c r="P524" s="12">
        <v>156368</v>
      </c>
      <c r="Q524" s="186">
        <f t="shared" si="53"/>
        <v>0.4398042414355628</v>
      </c>
      <c r="R524" s="12">
        <v>355833</v>
      </c>
      <c r="S524" s="12">
        <v>396790</v>
      </c>
      <c r="T524" s="12">
        <v>374961</v>
      </c>
      <c r="U524" s="12"/>
      <c r="V524" s="12"/>
      <c r="W524" s="32">
        <f t="shared" si="51"/>
        <v>374961</v>
      </c>
    </row>
    <row r="525" spans="1:23" ht="12">
      <c r="A525" s="8"/>
      <c r="B525" s="8"/>
      <c r="C525" s="26">
        <v>4040</v>
      </c>
      <c r="D525" s="27" t="s">
        <v>30</v>
      </c>
      <c r="E525" s="11">
        <v>24370</v>
      </c>
      <c r="F525" s="11">
        <v>24370</v>
      </c>
      <c r="G525" s="12">
        <v>24300</v>
      </c>
      <c r="H525" s="12">
        <v>24300</v>
      </c>
      <c r="I525" s="12"/>
      <c r="J525" s="12">
        <v>24300</v>
      </c>
      <c r="K525" s="12">
        <v>24300</v>
      </c>
      <c r="L525" s="12">
        <v>24229</v>
      </c>
      <c r="M525" s="12">
        <v>24524</v>
      </c>
      <c r="N525" s="12">
        <v>24530</v>
      </c>
      <c r="O525" s="12">
        <v>24530</v>
      </c>
      <c r="P525" s="12">
        <v>23525</v>
      </c>
      <c r="Q525" s="186">
        <f t="shared" si="53"/>
        <v>0.95902975947819</v>
      </c>
      <c r="R525" s="12">
        <v>23525</v>
      </c>
      <c r="S525" s="12">
        <v>29400</v>
      </c>
      <c r="T525" s="12">
        <v>29400</v>
      </c>
      <c r="U525" s="12"/>
      <c r="V525" s="12"/>
      <c r="W525" s="32">
        <f t="shared" si="51"/>
        <v>29400</v>
      </c>
    </row>
    <row r="526" spans="1:23" ht="24">
      <c r="A526" s="8"/>
      <c r="B526" s="8"/>
      <c r="C526" s="26">
        <v>4110</v>
      </c>
      <c r="D526" s="27" t="s">
        <v>113</v>
      </c>
      <c r="E526" s="11">
        <v>53820</v>
      </c>
      <c r="F526" s="11">
        <v>53820</v>
      </c>
      <c r="G526" s="12">
        <v>44000</v>
      </c>
      <c r="H526" s="12">
        <v>40420</v>
      </c>
      <c r="I526" s="12"/>
      <c r="J526" s="12">
        <v>40420</v>
      </c>
      <c r="K526" s="12">
        <v>43720</v>
      </c>
      <c r="L526" s="12">
        <v>47252</v>
      </c>
      <c r="M526" s="12">
        <v>58800</v>
      </c>
      <c r="N526" s="12">
        <v>56860</v>
      </c>
      <c r="O526" s="12">
        <v>56860</v>
      </c>
      <c r="P526" s="12">
        <v>25384</v>
      </c>
      <c r="Q526" s="186">
        <f t="shared" si="53"/>
        <v>0.4464298276468519</v>
      </c>
      <c r="R526" s="12">
        <v>56002</v>
      </c>
      <c r="S526" s="12">
        <v>63460</v>
      </c>
      <c r="T526" s="12">
        <v>63460</v>
      </c>
      <c r="U526" s="12"/>
      <c r="V526" s="12"/>
      <c r="W526" s="32">
        <f t="shared" si="51"/>
        <v>63460</v>
      </c>
    </row>
    <row r="527" spans="1:23" ht="12">
      <c r="A527" s="8"/>
      <c r="B527" s="8"/>
      <c r="C527" s="26">
        <v>4120</v>
      </c>
      <c r="D527" s="27" t="s">
        <v>32</v>
      </c>
      <c r="E527" s="11">
        <v>7650</v>
      </c>
      <c r="F527" s="11">
        <v>7650</v>
      </c>
      <c r="G527" s="12">
        <v>7050</v>
      </c>
      <c r="H527" s="12">
        <v>7010</v>
      </c>
      <c r="I527" s="12"/>
      <c r="J527" s="12">
        <v>7010</v>
      </c>
      <c r="K527" s="12">
        <v>7570</v>
      </c>
      <c r="L527" s="12">
        <v>7570</v>
      </c>
      <c r="M527" s="12">
        <v>9320</v>
      </c>
      <c r="N527" s="12">
        <v>9120</v>
      </c>
      <c r="O527" s="12">
        <v>9120</v>
      </c>
      <c r="P527" s="12">
        <v>4040</v>
      </c>
      <c r="Q527" s="186">
        <f t="shared" si="53"/>
        <v>0.44298245614035087</v>
      </c>
      <c r="R527" s="12">
        <v>8978</v>
      </c>
      <c r="S527" s="12">
        <v>10230</v>
      </c>
      <c r="T527" s="12">
        <v>10230</v>
      </c>
      <c r="U527" s="12"/>
      <c r="V527" s="12"/>
      <c r="W527" s="32">
        <f t="shared" si="51"/>
        <v>10230</v>
      </c>
    </row>
    <row r="528" spans="1:23" ht="24">
      <c r="A528" s="8"/>
      <c r="B528" s="8"/>
      <c r="C528" s="26">
        <v>4440</v>
      </c>
      <c r="D528" s="27" t="s">
        <v>44</v>
      </c>
      <c r="E528" s="11">
        <v>18360</v>
      </c>
      <c r="F528" s="11">
        <v>18360</v>
      </c>
      <c r="G528" s="12">
        <v>14670</v>
      </c>
      <c r="H528" s="12">
        <v>14740</v>
      </c>
      <c r="I528" s="12"/>
      <c r="J528" s="12">
        <v>14740</v>
      </c>
      <c r="K528" s="12">
        <v>14740</v>
      </c>
      <c r="L528" s="12">
        <v>15857</v>
      </c>
      <c r="M528" s="12">
        <v>16096</v>
      </c>
      <c r="N528" s="12">
        <v>16520</v>
      </c>
      <c r="O528" s="12">
        <v>16520</v>
      </c>
      <c r="P528" s="12">
        <v>12685</v>
      </c>
      <c r="Q528" s="186">
        <f t="shared" si="53"/>
        <v>0.7678571428571429</v>
      </c>
      <c r="R528" s="12">
        <v>15548</v>
      </c>
      <c r="S528" s="12">
        <v>15600</v>
      </c>
      <c r="T528" s="12">
        <v>15600</v>
      </c>
      <c r="U528" s="12"/>
      <c r="V528" s="12"/>
      <c r="W528" s="32">
        <f t="shared" si="51"/>
        <v>15600</v>
      </c>
    </row>
    <row r="529" spans="1:23" ht="24">
      <c r="A529" s="8"/>
      <c r="B529" s="8">
        <v>80146</v>
      </c>
      <c r="C529" s="26"/>
      <c r="D529" s="42" t="s">
        <v>143</v>
      </c>
      <c r="E529" s="35">
        <f>SUM(E530:E533)</f>
        <v>59530</v>
      </c>
      <c r="F529" s="35">
        <f>SUM(F530:F533)</f>
        <v>62220</v>
      </c>
      <c r="G529" s="35">
        <f>SUM(G530:G533)</f>
        <v>63425</v>
      </c>
      <c r="H529" s="35">
        <f>SUM(H530:H533)</f>
        <v>63030</v>
      </c>
      <c r="I529" s="35"/>
      <c r="J529" s="35">
        <f aca="true" t="shared" si="55" ref="J529:P529">SUM(J530:J533)</f>
        <v>63880</v>
      </c>
      <c r="K529" s="35">
        <f t="shared" si="55"/>
        <v>63880</v>
      </c>
      <c r="L529" s="35">
        <f t="shared" si="55"/>
        <v>63880</v>
      </c>
      <c r="M529" s="35">
        <f t="shared" si="55"/>
        <v>69060</v>
      </c>
      <c r="N529" s="35">
        <v>69060</v>
      </c>
      <c r="O529" s="35">
        <v>69060</v>
      </c>
      <c r="P529" s="35">
        <f t="shared" si="55"/>
        <v>15935</v>
      </c>
      <c r="Q529" s="186">
        <f t="shared" si="53"/>
        <v>0.2307413843035042</v>
      </c>
      <c r="R529" s="35">
        <f>SUM(R530:R533)</f>
        <v>26197</v>
      </c>
      <c r="S529" s="35">
        <f>SUM(S530:S533)</f>
        <v>81070</v>
      </c>
      <c r="T529" s="35">
        <v>81070</v>
      </c>
      <c r="U529" s="35">
        <f>SUM(U530:U533)</f>
        <v>0</v>
      </c>
      <c r="V529" s="35">
        <f>SUM(V530:V533)</f>
        <v>0</v>
      </c>
      <c r="W529" s="32">
        <f t="shared" si="51"/>
        <v>81070</v>
      </c>
    </row>
    <row r="530" spans="1:23" ht="72">
      <c r="A530" s="8"/>
      <c r="B530" s="8"/>
      <c r="C530" s="26">
        <v>2310</v>
      </c>
      <c r="D530" s="27" t="s">
        <v>144</v>
      </c>
      <c r="E530" s="85">
        <v>7000</v>
      </c>
      <c r="F530" s="85">
        <v>7689</v>
      </c>
      <c r="G530" s="85">
        <v>9000</v>
      </c>
      <c r="H530" s="85">
        <v>9000</v>
      </c>
      <c r="I530" s="85"/>
      <c r="J530" s="85">
        <v>9000</v>
      </c>
      <c r="K530" s="85">
        <v>9000</v>
      </c>
      <c r="L530" s="85">
        <v>9000</v>
      </c>
      <c r="M530" s="85">
        <v>10000</v>
      </c>
      <c r="N530" s="85">
        <v>10000</v>
      </c>
      <c r="O530" s="85">
        <v>10000</v>
      </c>
      <c r="P530" s="85">
        <v>3817</v>
      </c>
      <c r="Q530" s="186">
        <f t="shared" si="53"/>
        <v>0.3817</v>
      </c>
      <c r="R530" s="85">
        <v>7651</v>
      </c>
      <c r="S530" s="85">
        <v>10000</v>
      </c>
      <c r="T530" s="85">
        <v>10000</v>
      </c>
      <c r="U530" s="85"/>
      <c r="V530" s="85"/>
      <c r="W530" s="32">
        <f t="shared" si="51"/>
        <v>10000</v>
      </c>
    </row>
    <row r="531" spans="1:23" ht="12">
      <c r="A531" s="8"/>
      <c r="B531" s="8"/>
      <c r="C531" s="26">
        <v>4170</v>
      </c>
      <c r="D531" s="27" t="s">
        <v>69</v>
      </c>
      <c r="E531" s="11">
        <f>610+2000</f>
        <v>2610</v>
      </c>
      <c r="F531" s="11">
        <f>610+2000</f>
        <v>2610</v>
      </c>
      <c r="G531" s="12">
        <v>3065</v>
      </c>
      <c r="H531" s="12">
        <v>2670</v>
      </c>
      <c r="I531" s="12"/>
      <c r="J531" s="12"/>
      <c r="K531" s="12">
        <v>3200</v>
      </c>
      <c r="L531" s="12">
        <v>3200</v>
      </c>
      <c r="M531" s="12">
        <v>0</v>
      </c>
      <c r="N531" s="12">
        <v>0</v>
      </c>
      <c r="O531" s="12">
        <v>3250</v>
      </c>
      <c r="P531" s="12"/>
      <c r="Q531" s="186">
        <f t="shared" si="53"/>
        <v>0</v>
      </c>
      <c r="R531" s="12"/>
      <c r="S531" s="12"/>
      <c r="T531" s="12">
        <v>4206</v>
      </c>
      <c r="U531" s="12"/>
      <c r="V531" s="12"/>
      <c r="W531" s="32">
        <f t="shared" si="51"/>
        <v>4206</v>
      </c>
    </row>
    <row r="532" spans="1:23" ht="12">
      <c r="A532" s="8"/>
      <c r="B532" s="8"/>
      <c r="C532" s="26">
        <v>4300</v>
      </c>
      <c r="D532" s="27" t="s">
        <v>81</v>
      </c>
      <c r="E532" s="86">
        <v>42500</v>
      </c>
      <c r="F532" s="86">
        <v>44821</v>
      </c>
      <c r="G532" s="86">
        <v>43760</v>
      </c>
      <c r="H532" s="86">
        <v>43760</v>
      </c>
      <c r="I532" s="86"/>
      <c r="J532" s="86">
        <v>48100</v>
      </c>
      <c r="K532" s="86">
        <v>41900</v>
      </c>
      <c r="L532" s="86">
        <v>41900</v>
      </c>
      <c r="M532" s="86">
        <v>49000</v>
      </c>
      <c r="N532" s="86">
        <v>49000</v>
      </c>
      <c r="O532" s="86">
        <v>45750</v>
      </c>
      <c r="P532" s="86">
        <v>10715</v>
      </c>
      <c r="Q532" s="186">
        <f t="shared" si="53"/>
        <v>0.23420765027322404</v>
      </c>
      <c r="R532" s="86">
        <v>13597</v>
      </c>
      <c r="S532" s="86">
        <v>60000</v>
      </c>
      <c r="T532" s="86">
        <v>55194</v>
      </c>
      <c r="U532" s="86"/>
      <c r="V532" s="86"/>
      <c r="W532" s="32">
        <f t="shared" si="51"/>
        <v>55194</v>
      </c>
    </row>
    <row r="533" spans="1:23" ht="12">
      <c r="A533" s="8"/>
      <c r="B533" s="8"/>
      <c r="C533" s="26">
        <v>4410</v>
      </c>
      <c r="D533" s="27" t="s">
        <v>42</v>
      </c>
      <c r="E533" s="83">
        <v>7420</v>
      </c>
      <c r="F533" s="83">
        <v>7100</v>
      </c>
      <c r="G533" s="83">
        <v>7600</v>
      </c>
      <c r="H533" s="83">
        <v>7600</v>
      </c>
      <c r="I533" s="83"/>
      <c r="J533" s="83">
        <v>6780</v>
      </c>
      <c r="K533" s="83">
        <v>9780</v>
      </c>
      <c r="L533" s="83">
        <v>9780</v>
      </c>
      <c r="M533" s="83">
        <v>10060</v>
      </c>
      <c r="N533" s="83">
        <v>10060</v>
      </c>
      <c r="O533" s="83">
        <v>10060</v>
      </c>
      <c r="P533" s="83">
        <v>1403</v>
      </c>
      <c r="Q533" s="186">
        <f t="shared" si="53"/>
        <v>0.13946322067594433</v>
      </c>
      <c r="R533" s="83">
        <v>4949</v>
      </c>
      <c r="S533" s="83">
        <v>11070</v>
      </c>
      <c r="T533" s="83">
        <v>11670</v>
      </c>
      <c r="U533" s="83"/>
      <c r="V533" s="83"/>
      <c r="W533" s="32">
        <f t="shared" si="51"/>
        <v>11670</v>
      </c>
    </row>
    <row r="534" spans="1:23" ht="24">
      <c r="A534" s="8"/>
      <c r="B534" s="8"/>
      <c r="C534" s="27" t="s">
        <v>145</v>
      </c>
      <c r="D534" s="42" t="s">
        <v>146</v>
      </c>
      <c r="E534" s="87">
        <f>SUM(E535:E537)</f>
        <v>7689</v>
      </c>
      <c r="F534" s="87">
        <f>SUM(F535:F537)</f>
        <v>7689</v>
      </c>
      <c r="G534" s="87">
        <f>SUM(G535:G537)</f>
        <v>60360</v>
      </c>
      <c r="H534" s="87">
        <f>SUM(H535:H537)</f>
        <v>60360</v>
      </c>
      <c r="I534" s="87"/>
      <c r="J534" s="87">
        <f aca="true" t="shared" si="56" ref="J534:P534">SUM(J535:J537)</f>
        <v>9452</v>
      </c>
      <c r="K534" s="87">
        <f t="shared" si="56"/>
        <v>9452</v>
      </c>
      <c r="L534" s="87">
        <f t="shared" si="56"/>
        <v>9000</v>
      </c>
      <c r="M534" s="87">
        <f t="shared" si="56"/>
        <v>69060</v>
      </c>
      <c r="N534" s="87">
        <v>69060</v>
      </c>
      <c r="O534" s="87">
        <v>28546</v>
      </c>
      <c r="P534" s="87">
        <f t="shared" si="56"/>
        <v>3817</v>
      </c>
      <c r="Q534" s="186">
        <f t="shared" si="53"/>
        <v>0.13371400546486373</v>
      </c>
      <c r="R534" s="87">
        <f>SUM(R535:R537)</f>
        <v>26197</v>
      </c>
      <c r="S534" s="87">
        <f>SUM(S535:S537)</f>
        <v>81070</v>
      </c>
      <c r="T534" s="87">
        <v>10044</v>
      </c>
      <c r="U534" s="87">
        <f>SUM(U535:U537)</f>
        <v>0</v>
      </c>
      <c r="V534" s="87">
        <f>SUM(V535:V537)</f>
        <v>0</v>
      </c>
      <c r="W534" s="32">
        <f t="shared" si="51"/>
        <v>10044</v>
      </c>
    </row>
    <row r="535" spans="1:23" ht="72">
      <c r="A535" s="8"/>
      <c r="B535" s="8"/>
      <c r="C535" s="26">
        <v>2310</v>
      </c>
      <c r="D535" s="27" t="s">
        <v>144</v>
      </c>
      <c r="E535" s="83">
        <v>7689</v>
      </c>
      <c r="F535" s="83">
        <v>7689</v>
      </c>
      <c r="G535" s="83">
        <v>9000</v>
      </c>
      <c r="H535" s="83">
        <v>9000</v>
      </c>
      <c r="I535" s="83"/>
      <c r="J535" s="83">
        <v>9000</v>
      </c>
      <c r="K535" s="83">
        <v>9000</v>
      </c>
      <c r="L535" s="83">
        <v>9000</v>
      </c>
      <c r="M535" s="83">
        <v>10000</v>
      </c>
      <c r="N535" s="83">
        <v>10000</v>
      </c>
      <c r="O535" s="83">
        <v>10000</v>
      </c>
      <c r="P535" s="83">
        <v>3817</v>
      </c>
      <c r="Q535" s="186">
        <f t="shared" si="53"/>
        <v>0.3817</v>
      </c>
      <c r="R535" s="83">
        <v>7651</v>
      </c>
      <c r="S535" s="83">
        <v>10000</v>
      </c>
      <c r="T535" s="83">
        <v>10000</v>
      </c>
      <c r="U535" s="83"/>
      <c r="V535" s="83"/>
      <c r="W535" s="32">
        <f t="shared" si="51"/>
        <v>10000</v>
      </c>
    </row>
    <row r="536" spans="1:23" ht="12">
      <c r="A536" s="8"/>
      <c r="B536" s="8"/>
      <c r="C536" s="26">
        <v>4300</v>
      </c>
      <c r="D536" s="27" t="s">
        <v>81</v>
      </c>
      <c r="E536" s="83">
        <v>0</v>
      </c>
      <c r="F536" s="83">
        <v>0</v>
      </c>
      <c r="G536" s="83">
        <v>43760</v>
      </c>
      <c r="H536" s="83">
        <v>43760</v>
      </c>
      <c r="I536" s="83"/>
      <c r="J536" s="83">
        <v>452</v>
      </c>
      <c r="K536" s="83">
        <v>452</v>
      </c>
      <c r="L536" s="83">
        <v>0</v>
      </c>
      <c r="M536" s="83">
        <v>49000</v>
      </c>
      <c r="N536" s="83">
        <v>49000</v>
      </c>
      <c r="O536" s="83">
        <v>13597</v>
      </c>
      <c r="P536" s="83"/>
      <c r="Q536" s="186">
        <f t="shared" si="53"/>
        <v>0</v>
      </c>
      <c r="R536" s="83">
        <v>13597</v>
      </c>
      <c r="S536" s="83">
        <v>60000</v>
      </c>
      <c r="T536" s="83">
        <v>44</v>
      </c>
      <c r="U536" s="83"/>
      <c r="V536" s="83"/>
      <c r="W536" s="32">
        <f t="shared" si="51"/>
        <v>44</v>
      </c>
    </row>
    <row r="537" spans="1:23" ht="12">
      <c r="A537" s="8"/>
      <c r="B537" s="8"/>
      <c r="C537" s="26">
        <v>4410</v>
      </c>
      <c r="D537" s="27" t="s">
        <v>42</v>
      </c>
      <c r="E537" s="83">
        <v>0</v>
      </c>
      <c r="F537" s="83">
        <v>0</v>
      </c>
      <c r="G537" s="83">
        <v>7600</v>
      </c>
      <c r="H537" s="83">
        <v>7600</v>
      </c>
      <c r="I537" s="83"/>
      <c r="J537" s="83"/>
      <c r="K537" s="83"/>
      <c r="L537" s="83"/>
      <c r="M537" s="83">
        <v>10060</v>
      </c>
      <c r="N537" s="83">
        <v>10060</v>
      </c>
      <c r="O537" s="83">
        <v>4949</v>
      </c>
      <c r="P537" s="83"/>
      <c r="Q537" s="186">
        <f t="shared" si="53"/>
        <v>0</v>
      </c>
      <c r="R537" s="83">
        <v>4949</v>
      </c>
      <c r="S537" s="83">
        <v>11070</v>
      </c>
      <c r="T537" s="83">
        <v>0</v>
      </c>
      <c r="U537" s="83"/>
      <c r="V537" s="83"/>
      <c r="W537" s="32">
        <f t="shared" si="51"/>
        <v>0</v>
      </c>
    </row>
    <row r="538" spans="1:23" ht="18" customHeight="1">
      <c r="A538" s="8"/>
      <c r="B538" s="8"/>
      <c r="C538" s="26"/>
      <c r="D538" s="42" t="s">
        <v>147</v>
      </c>
      <c r="E538" s="11">
        <f>SUM(E539:E540)</f>
        <v>15234</v>
      </c>
      <c r="F538" s="11">
        <f>SUM(F539:F540)</f>
        <v>15234</v>
      </c>
      <c r="G538" s="11">
        <f>SUM(G539:G540)</f>
        <v>0</v>
      </c>
      <c r="H538" s="11">
        <f>SUM(H539:H540)</f>
        <v>0</v>
      </c>
      <c r="I538" s="11"/>
      <c r="J538" s="11">
        <f>SUM(J539:J540)</f>
        <v>17295</v>
      </c>
      <c r="K538" s="11">
        <f>SUM(K539:K540)</f>
        <v>17295</v>
      </c>
      <c r="L538" s="11">
        <f>SUM(L539:L540)</f>
        <v>17295</v>
      </c>
      <c r="M538" s="11">
        <f>SUM(M539:M540)</f>
        <v>0</v>
      </c>
      <c r="N538" s="245">
        <v>0</v>
      </c>
      <c r="O538" s="11">
        <v>15238</v>
      </c>
      <c r="P538" s="11">
        <f>SUM(P539:P540)</f>
        <v>1936</v>
      </c>
      <c r="Q538" s="186">
        <f t="shared" si="53"/>
        <v>0.12705079406746292</v>
      </c>
      <c r="R538" s="11">
        <f>SUM(R539:R540)</f>
        <v>15238</v>
      </c>
      <c r="S538" s="11">
        <f>SUM(S539:S540)</f>
        <v>0</v>
      </c>
      <c r="T538" s="11">
        <v>17210</v>
      </c>
      <c r="U538" s="11">
        <f>SUM(U539:U540)</f>
        <v>0</v>
      </c>
      <c r="V538" s="11">
        <f>SUM(V539:V540)</f>
        <v>0</v>
      </c>
      <c r="W538" s="32">
        <f t="shared" si="51"/>
        <v>17210</v>
      </c>
    </row>
    <row r="539" spans="1:23" ht="18" customHeight="1">
      <c r="A539" s="8"/>
      <c r="B539" s="8"/>
      <c r="C539" s="26">
        <v>4300</v>
      </c>
      <c r="D539" s="27" t="s">
        <v>81</v>
      </c>
      <c r="E539" s="86">
        <v>11834</v>
      </c>
      <c r="F539" s="86">
        <v>11834</v>
      </c>
      <c r="G539" s="86"/>
      <c r="H539" s="86"/>
      <c r="I539" s="86"/>
      <c r="J539" s="86">
        <v>13130</v>
      </c>
      <c r="K539" s="86">
        <v>13130</v>
      </c>
      <c r="L539" s="86">
        <v>13130</v>
      </c>
      <c r="M539" s="86"/>
      <c r="N539" s="246">
        <v>0</v>
      </c>
      <c r="O539" s="86">
        <v>14388</v>
      </c>
      <c r="P539" s="86">
        <v>1810</v>
      </c>
      <c r="Q539" s="186">
        <f t="shared" si="53"/>
        <v>0.12579927717542397</v>
      </c>
      <c r="R539" s="86">
        <v>14388</v>
      </c>
      <c r="S539" s="86"/>
      <c r="T539" s="86">
        <v>15360</v>
      </c>
      <c r="U539" s="86"/>
      <c r="V539" s="86"/>
      <c r="W539" s="32">
        <f t="shared" si="51"/>
        <v>15360</v>
      </c>
    </row>
    <row r="540" spans="1:23" ht="12">
      <c r="A540" s="8"/>
      <c r="B540" s="8"/>
      <c r="C540" s="26">
        <v>4410</v>
      </c>
      <c r="D540" s="27" t="s">
        <v>42</v>
      </c>
      <c r="E540" s="83">
        <v>3400</v>
      </c>
      <c r="F540" s="83">
        <v>3400</v>
      </c>
      <c r="G540" s="83"/>
      <c r="H540" s="83"/>
      <c r="I540" s="83"/>
      <c r="J540" s="83">
        <v>4165</v>
      </c>
      <c r="K540" s="83">
        <v>4165</v>
      </c>
      <c r="L540" s="83">
        <v>4165</v>
      </c>
      <c r="M540" s="83"/>
      <c r="N540" s="247">
        <v>0</v>
      </c>
      <c r="O540" s="83">
        <v>850</v>
      </c>
      <c r="P540" s="83">
        <v>126</v>
      </c>
      <c r="Q540" s="186">
        <f t="shared" si="53"/>
        <v>0.14823529411764705</v>
      </c>
      <c r="R540" s="83">
        <v>850</v>
      </c>
      <c r="S540" s="83"/>
      <c r="T540" s="83">
        <v>1850</v>
      </c>
      <c r="U540" s="83"/>
      <c r="V540" s="83"/>
      <c r="W540" s="32">
        <f t="shared" si="51"/>
        <v>1850</v>
      </c>
    </row>
    <row r="541" spans="1:23" ht="18" customHeight="1">
      <c r="A541" s="8"/>
      <c r="B541" s="8"/>
      <c r="C541" s="26"/>
      <c r="D541" s="42" t="s">
        <v>148</v>
      </c>
      <c r="E541" s="11">
        <f>SUM(E542:E542)</f>
        <v>10657</v>
      </c>
      <c r="F541" s="11">
        <f>SUM(F542:F542)</f>
        <v>10657</v>
      </c>
      <c r="G541" s="11">
        <f>SUM(G542:G542)</f>
        <v>0</v>
      </c>
      <c r="H541" s="11">
        <f>SUM(H542:H542)</f>
        <v>0</v>
      </c>
      <c r="I541" s="11"/>
      <c r="J541" s="11">
        <f aca="true" t="shared" si="57" ref="J541:P541">SUM(J542:J543)</f>
        <v>8505</v>
      </c>
      <c r="K541" s="11">
        <f t="shared" si="57"/>
        <v>8505</v>
      </c>
      <c r="L541" s="11">
        <f t="shared" si="57"/>
        <v>8505</v>
      </c>
      <c r="M541" s="11">
        <f t="shared" si="57"/>
        <v>0</v>
      </c>
      <c r="N541" s="245">
        <v>0</v>
      </c>
      <c r="O541" s="11">
        <v>6155</v>
      </c>
      <c r="P541" s="11">
        <f t="shared" si="57"/>
        <v>1900</v>
      </c>
      <c r="Q541" s="186">
        <f t="shared" si="53"/>
        <v>0.30869212022745735</v>
      </c>
      <c r="R541" s="11">
        <f>SUM(R542:R543)</f>
        <v>6155</v>
      </c>
      <c r="S541" s="11">
        <f>SUM(S542:S543)</f>
        <v>0</v>
      </c>
      <c r="T541" s="11">
        <v>12770</v>
      </c>
      <c r="U541" s="11">
        <f>SUM(U542:U543)</f>
        <v>0</v>
      </c>
      <c r="V541" s="11">
        <f>SUM(V542:V543)</f>
        <v>0</v>
      </c>
      <c r="W541" s="32">
        <f t="shared" si="51"/>
        <v>12770</v>
      </c>
    </row>
    <row r="542" spans="1:23" ht="18" customHeight="1">
      <c r="A542" s="8"/>
      <c r="B542" s="8"/>
      <c r="C542" s="26">
        <v>4300</v>
      </c>
      <c r="D542" s="27" t="s">
        <v>81</v>
      </c>
      <c r="E542" s="41">
        <v>10657</v>
      </c>
      <c r="F542" s="41">
        <v>10657</v>
      </c>
      <c r="G542" s="59"/>
      <c r="H542" s="59"/>
      <c r="I542" s="59"/>
      <c r="J542" s="59">
        <v>7890</v>
      </c>
      <c r="K542" s="59">
        <v>7890</v>
      </c>
      <c r="L542" s="59">
        <v>7890</v>
      </c>
      <c r="M542" s="59"/>
      <c r="N542" s="248">
        <v>0</v>
      </c>
      <c r="O542" s="59">
        <v>5330</v>
      </c>
      <c r="P542" s="59">
        <v>1900</v>
      </c>
      <c r="Q542" s="186">
        <f t="shared" si="53"/>
        <v>0.35647279549718575</v>
      </c>
      <c r="R542" s="59">
        <v>5330</v>
      </c>
      <c r="S542" s="59"/>
      <c r="T542" s="59">
        <v>11320</v>
      </c>
      <c r="U542" s="59"/>
      <c r="V542" s="59"/>
      <c r="W542" s="32">
        <f t="shared" si="51"/>
        <v>11320</v>
      </c>
    </row>
    <row r="543" spans="1:23" ht="12">
      <c r="A543" s="8"/>
      <c r="B543" s="8"/>
      <c r="C543" s="26">
        <v>4410</v>
      </c>
      <c r="D543" s="27" t="s">
        <v>42</v>
      </c>
      <c r="E543" s="83">
        <v>0</v>
      </c>
      <c r="F543" s="83">
        <v>0</v>
      </c>
      <c r="G543" s="83">
        <v>7600</v>
      </c>
      <c r="H543" s="83">
        <v>7600</v>
      </c>
      <c r="I543" s="83"/>
      <c r="J543" s="83">
        <v>615</v>
      </c>
      <c r="K543" s="83">
        <v>615</v>
      </c>
      <c r="L543" s="83">
        <v>615</v>
      </c>
      <c r="M543" s="83"/>
      <c r="N543" s="247">
        <v>0</v>
      </c>
      <c r="O543" s="83">
        <v>825</v>
      </c>
      <c r="P543" s="83"/>
      <c r="Q543" s="186">
        <f t="shared" si="53"/>
        <v>0</v>
      </c>
      <c r="R543" s="83">
        <v>825</v>
      </c>
      <c r="S543" s="83"/>
      <c r="T543" s="83">
        <v>1450</v>
      </c>
      <c r="U543" s="83"/>
      <c r="V543" s="83"/>
      <c r="W543" s="32">
        <f t="shared" si="51"/>
        <v>1450</v>
      </c>
    </row>
    <row r="544" spans="1:23" ht="12">
      <c r="A544" s="8"/>
      <c r="B544" s="8"/>
      <c r="C544" s="26"/>
      <c r="D544" s="42" t="s">
        <v>149</v>
      </c>
      <c r="E544" s="11">
        <v>23180</v>
      </c>
      <c r="F544" s="11">
        <v>23180</v>
      </c>
      <c r="G544" s="11">
        <f>SUM(G545:G546)</f>
        <v>0</v>
      </c>
      <c r="H544" s="11">
        <f>SUM(H545:H546)</f>
        <v>0</v>
      </c>
      <c r="I544" s="11"/>
      <c r="J544" s="11">
        <f>SUM(J545:J546)</f>
        <v>25428</v>
      </c>
      <c r="K544" s="11">
        <f>SUM(K545:K546)</f>
        <v>25428</v>
      </c>
      <c r="L544" s="11">
        <f>SUM(L545:L546)</f>
        <v>25428</v>
      </c>
      <c r="M544" s="11">
        <f>SUM(M545:M546)</f>
        <v>0</v>
      </c>
      <c r="N544" s="245">
        <v>0</v>
      </c>
      <c r="O544" s="11">
        <v>15871</v>
      </c>
      <c r="P544" s="11">
        <f>SUM(P545:P546)</f>
        <v>8282</v>
      </c>
      <c r="Q544" s="186">
        <f t="shared" si="53"/>
        <v>0.5218322726986327</v>
      </c>
      <c r="R544" s="11">
        <f>SUM(R545:R546)</f>
        <v>15871</v>
      </c>
      <c r="S544" s="11">
        <f>SUM(S545:S546)</f>
        <v>0</v>
      </c>
      <c r="T544" s="11">
        <v>36840</v>
      </c>
      <c r="U544" s="11">
        <f>SUM(U545:U546)</f>
        <v>0</v>
      </c>
      <c r="V544" s="11">
        <f>SUM(V545:V546)</f>
        <v>0</v>
      </c>
      <c r="W544" s="32">
        <f t="shared" si="51"/>
        <v>36840</v>
      </c>
    </row>
    <row r="545" spans="1:23" ht="18" customHeight="1">
      <c r="A545" s="8"/>
      <c r="B545" s="8"/>
      <c r="C545" s="26">
        <v>4300</v>
      </c>
      <c r="D545" s="27" t="s">
        <v>81</v>
      </c>
      <c r="E545" s="86">
        <v>19480</v>
      </c>
      <c r="F545" s="86">
        <v>19480</v>
      </c>
      <c r="G545" s="86"/>
      <c r="H545" s="86"/>
      <c r="I545" s="86"/>
      <c r="J545" s="86">
        <v>23428</v>
      </c>
      <c r="K545" s="86">
        <v>20428</v>
      </c>
      <c r="L545" s="86">
        <v>20428</v>
      </c>
      <c r="M545" s="86"/>
      <c r="N545" s="246">
        <v>0</v>
      </c>
      <c r="O545" s="86">
        <v>12435</v>
      </c>
      <c r="P545" s="86">
        <v>7005</v>
      </c>
      <c r="Q545" s="186">
        <f t="shared" si="53"/>
        <v>0.5633293124246079</v>
      </c>
      <c r="R545" s="86">
        <v>12435</v>
      </c>
      <c r="S545" s="86"/>
      <c r="T545" s="86">
        <v>28470</v>
      </c>
      <c r="U545" s="86"/>
      <c r="V545" s="86"/>
      <c r="W545" s="32">
        <f aca="true" t="shared" si="58" ref="W545:W611">T545+U545-V545</f>
        <v>28470</v>
      </c>
    </row>
    <row r="546" spans="1:23" ht="12">
      <c r="A546" s="8"/>
      <c r="B546" s="8"/>
      <c r="C546" s="26">
        <v>4410</v>
      </c>
      <c r="D546" s="27" t="s">
        <v>42</v>
      </c>
      <c r="E546" s="83">
        <v>3700</v>
      </c>
      <c r="F546" s="83">
        <v>3700</v>
      </c>
      <c r="G546" s="83"/>
      <c r="H546" s="83"/>
      <c r="I546" s="83"/>
      <c r="J546" s="83">
        <v>2000</v>
      </c>
      <c r="K546" s="83">
        <v>5000</v>
      </c>
      <c r="L546" s="83">
        <v>5000</v>
      </c>
      <c r="M546" s="83"/>
      <c r="N546" s="247">
        <v>0</v>
      </c>
      <c r="O546" s="83">
        <v>3436</v>
      </c>
      <c r="P546" s="83">
        <v>1277</v>
      </c>
      <c r="Q546" s="186">
        <f t="shared" si="53"/>
        <v>0.37165308498253785</v>
      </c>
      <c r="R546" s="83">
        <v>3436</v>
      </c>
      <c r="S546" s="83"/>
      <c r="T546" s="83">
        <v>8370</v>
      </c>
      <c r="U546" s="83"/>
      <c r="V546" s="83"/>
      <c r="W546" s="32">
        <f t="shared" si="58"/>
        <v>8370</v>
      </c>
    </row>
    <row r="547" spans="1:23" ht="12">
      <c r="A547" s="8"/>
      <c r="B547" s="8"/>
      <c r="C547" s="26"/>
      <c r="D547" s="42" t="s">
        <v>150</v>
      </c>
      <c r="E547" s="11">
        <f>SUM(E549:E549)</f>
        <v>0</v>
      </c>
      <c r="F547" s="11">
        <f>SUM(F549:F549)</f>
        <v>0</v>
      </c>
      <c r="G547" s="11">
        <f>SUM(G549:G549)</f>
        <v>0</v>
      </c>
      <c r="H547" s="11">
        <f>SUM(H549:H549)</f>
        <v>0</v>
      </c>
      <c r="I547" s="11"/>
      <c r="J547" s="11">
        <f>SUM(J549:J549)</f>
        <v>0</v>
      </c>
      <c r="K547" s="11">
        <f>SUM(K549:K549)</f>
        <v>3200</v>
      </c>
      <c r="L547" s="11">
        <f>SUM(L549:L549)</f>
        <v>3200</v>
      </c>
      <c r="M547" s="11">
        <f>SUM(M549:M549)</f>
        <v>0</v>
      </c>
      <c r="N547" s="245">
        <v>0</v>
      </c>
      <c r="O547" s="11">
        <v>3250</v>
      </c>
      <c r="P547" s="11">
        <f>SUM(P549)</f>
        <v>0</v>
      </c>
      <c r="Q547" s="186">
        <f t="shared" si="53"/>
        <v>0</v>
      </c>
      <c r="R547" s="11">
        <f>SUM(R549)</f>
        <v>3250</v>
      </c>
      <c r="S547" s="11">
        <f>SUM(S549)</f>
        <v>0</v>
      </c>
      <c r="T547" s="11">
        <v>4206</v>
      </c>
      <c r="U547" s="11">
        <f>SUM(U548:U549)</f>
        <v>0</v>
      </c>
      <c r="V547" s="11">
        <f>SUM(V548:V549)</f>
        <v>0</v>
      </c>
      <c r="W547" s="32">
        <f t="shared" si="58"/>
        <v>4206</v>
      </c>
    </row>
    <row r="548" spans="1:23" ht="12">
      <c r="A548" s="8"/>
      <c r="B548" s="8"/>
      <c r="C548" s="26">
        <v>4170</v>
      </c>
      <c r="D548" s="27" t="s">
        <v>69</v>
      </c>
      <c r="E548" s="11"/>
      <c r="F548" s="11"/>
      <c r="G548" s="11"/>
      <c r="H548" s="11"/>
      <c r="I548" s="11"/>
      <c r="J548" s="11"/>
      <c r="K548" s="11"/>
      <c r="L548" s="11"/>
      <c r="M548" s="11"/>
      <c r="N548" s="245"/>
      <c r="O548" s="11"/>
      <c r="P548" s="11"/>
      <c r="Q548" s="186"/>
      <c r="R548" s="11"/>
      <c r="S548" s="11"/>
      <c r="T548" s="11">
        <v>4206</v>
      </c>
      <c r="U548" s="11"/>
      <c r="V548" s="11"/>
      <c r="W548" s="32">
        <f t="shared" si="58"/>
        <v>4206</v>
      </c>
    </row>
    <row r="549" spans="1:23" ht="12">
      <c r="A549" s="8"/>
      <c r="B549" s="8"/>
      <c r="C549" s="26">
        <v>4300</v>
      </c>
      <c r="D549" s="27" t="s">
        <v>81</v>
      </c>
      <c r="E549" s="86"/>
      <c r="F549" s="86"/>
      <c r="G549" s="86"/>
      <c r="H549" s="86"/>
      <c r="I549" s="86"/>
      <c r="J549" s="86"/>
      <c r="K549" s="86">
        <v>3200</v>
      </c>
      <c r="L549" s="86">
        <v>3200</v>
      </c>
      <c r="M549" s="86"/>
      <c r="N549" s="246">
        <v>0</v>
      </c>
      <c r="O549" s="86">
        <v>3250</v>
      </c>
      <c r="P549" s="86"/>
      <c r="Q549" s="186">
        <f t="shared" si="53"/>
        <v>0</v>
      </c>
      <c r="R549" s="86">
        <v>3250</v>
      </c>
      <c r="S549" s="86"/>
      <c r="T549" s="86">
        <v>0</v>
      </c>
      <c r="U549" s="86"/>
      <c r="V549" s="86"/>
      <c r="W549" s="32">
        <f t="shared" si="58"/>
        <v>0</v>
      </c>
    </row>
    <row r="550" spans="1:23" ht="12">
      <c r="A550" s="8"/>
      <c r="B550" s="8"/>
      <c r="C550" s="26"/>
      <c r="D550" s="27"/>
      <c r="E550" s="86"/>
      <c r="F550" s="86"/>
      <c r="G550" s="86"/>
      <c r="H550" s="86"/>
      <c r="I550" s="86"/>
      <c r="J550" s="86"/>
      <c r="K550" s="86"/>
      <c r="L550" s="86"/>
      <c r="M550" s="86"/>
      <c r="N550" s="246"/>
      <c r="O550" s="86"/>
      <c r="P550" s="86"/>
      <c r="Q550" s="186"/>
      <c r="R550" s="86"/>
      <c r="S550" s="86"/>
      <c r="T550" s="86"/>
      <c r="U550" s="86"/>
      <c r="V550" s="86"/>
      <c r="W550" s="32"/>
    </row>
    <row r="551" spans="1:23" ht="12">
      <c r="A551" s="8"/>
      <c r="B551" s="8">
        <v>80148</v>
      </c>
      <c r="C551" s="26"/>
      <c r="D551" s="42" t="s">
        <v>151</v>
      </c>
      <c r="E551" s="35">
        <f>SUM(E552:E562)</f>
        <v>0</v>
      </c>
      <c r="F551" s="35">
        <f>SUM(F552:F562)</f>
        <v>0</v>
      </c>
      <c r="G551" s="35">
        <f>SUM(G552:G562)</f>
        <v>347920</v>
      </c>
      <c r="H551" s="35">
        <f>SUM(H552:H562)</f>
        <v>346560</v>
      </c>
      <c r="I551" s="35"/>
      <c r="J551" s="35">
        <f aca="true" t="shared" si="59" ref="J551:P551">SUM(J552:J563)</f>
        <v>346560</v>
      </c>
      <c r="K551" s="35">
        <f t="shared" si="59"/>
        <v>361560</v>
      </c>
      <c r="L551" s="35">
        <f t="shared" si="59"/>
        <v>370159</v>
      </c>
      <c r="M551" s="35">
        <f t="shared" si="59"/>
        <v>370469</v>
      </c>
      <c r="N551" s="35">
        <v>369030</v>
      </c>
      <c r="O551" s="35">
        <v>369030</v>
      </c>
      <c r="P551" s="35">
        <f t="shared" si="59"/>
        <v>186122</v>
      </c>
      <c r="Q551" s="186">
        <f t="shared" si="53"/>
        <v>0.5043546595127767</v>
      </c>
      <c r="R551" s="35">
        <f>SUM(R552:R563)</f>
        <v>373689</v>
      </c>
      <c r="S551" s="35">
        <f>SUM(S552:S563)</f>
        <v>389690</v>
      </c>
      <c r="T551" s="35">
        <v>387190</v>
      </c>
      <c r="U551" s="35">
        <f>SUM(U552:U563)</f>
        <v>0</v>
      </c>
      <c r="V551" s="35">
        <f>SUM(V552:V563)</f>
        <v>0</v>
      </c>
      <c r="W551" s="32">
        <f t="shared" si="58"/>
        <v>387190</v>
      </c>
    </row>
    <row r="552" spans="1:23" ht="24">
      <c r="A552" s="8"/>
      <c r="B552" s="8"/>
      <c r="C552" s="26">
        <v>3020</v>
      </c>
      <c r="D552" s="27" t="s">
        <v>68</v>
      </c>
      <c r="E552" s="11">
        <v>0</v>
      </c>
      <c r="F552" s="11">
        <v>0</v>
      </c>
      <c r="G552" s="12">
        <v>4476</v>
      </c>
      <c r="H552" s="12">
        <v>4480</v>
      </c>
      <c r="I552" s="12"/>
      <c r="J552" s="12">
        <v>4480</v>
      </c>
      <c r="K552" s="12">
        <v>4480</v>
      </c>
      <c r="L552" s="12">
        <v>4480</v>
      </c>
      <c r="M552" s="12">
        <v>4652</v>
      </c>
      <c r="N552" s="12">
        <v>4650</v>
      </c>
      <c r="O552" s="12">
        <v>4650</v>
      </c>
      <c r="P552" s="12">
        <v>2024</v>
      </c>
      <c r="Q552" s="186">
        <f t="shared" si="53"/>
        <v>0.43526881720430105</v>
      </c>
      <c r="R552" s="12">
        <f>310+4340</f>
        <v>4650</v>
      </c>
      <c r="S552" s="12">
        <f>310+4340</f>
        <v>4650</v>
      </c>
      <c r="T552" s="12">
        <v>4650</v>
      </c>
      <c r="U552" s="12"/>
      <c r="V552" s="12"/>
      <c r="W552" s="32">
        <f t="shared" si="58"/>
        <v>4650</v>
      </c>
    </row>
    <row r="553" spans="1:23" ht="24">
      <c r="A553" s="8"/>
      <c r="B553" s="8"/>
      <c r="C553" s="26">
        <v>4010</v>
      </c>
      <c r="D553" s="27" t="s">
        <v>29</v>
      </c>
      <c r="E553" s="11">
        <v>0</v>
      </c>
      <c r="F553" s="11">
        <v>0</v>
      </c>
      <c r="G553" s="12">
        <v>191029</v>
      </c>
      <c r="H553" s="12">
        <v>191040</v>
      </c>
      <c r="I553" s="12">
        <v>191040</v>
      </c>
      <c r="J553" s="12">
        <v>191040</v>
      </c>
      <c r="K553" s="12">
        <v>191040</v>
      </c>
      <c r="L553" s="12">
        <v>200961</v>
      </c>
      <c r="M553" s="12">
        <v>205162</v>
      </c>
      <c r="N553" s="12">
        <v>205170</v>
      </c>
      <c r="O553" s="12">
        <v>205170</v>
      </c>
      <c r="P553" s="12">
        <v>92995</v>
      </c>
      <c r="Q553" s="186">
        <f t="shared" si="53"/>
        <v>0.45325827362674853</v>
      </c>
      <c r="R553" s="12">
        <f>56327+151484</f>
        <v>207811</v>
      </c>
      <c r="S553" s="12">
        <f>60500+157470</f>
        <v>217970</v>
      </c>
      <c r="T553" s="12">
        <v>217970</v>
      </c>
      <c r="U553" s="12"/>
      <c r="V553" s="12"/>
      <c r="W553" s="32">
        <f t="shared" si="58"/>
        <v>217970</v>
      </c>
    </row>
    <row r="554" spans="1:23" ht="12">
      <c r="A554" s="8"/>
      <c r="B554" s="8"/>
      <c r="C554" s="26">
        <v>4040</v>
      </c>
      <c r="D554" s="27" t="s">
        <v>30</v>
      </c>
      <c r="E554" s="11">
        <v>0</v>
      </c>
      <c r="F554" s="11">
        <v>0</v>
      </c>
      <c r="G554" s="12">
        <v>15498</v>
      </c>
      <c r="H554" s="12">
        <v>15500</v>
      </c>
      <c r="I554" s="12"/>
      <c r="J554" s="12">
        <v>15500</v>
      </c>
      <c r="K554" s="12">
        <v>15500</v>
      </c>
      <c r="L554" s="12">
        <v>13932</v>
      </c>
      <c r="M554" s="12">
        <v>16600</v>
      </c>
      <c r="N554" s="12">
        <v>16600</v>
      </c>
      <c r="O554" s="12">
        <v>16600</v>
      </c>
      <c r="P554" s="12">
        <v>16296</v>
      </c>
      <c r="Q554" s="186">
        <f t="shared" si="53"/>
        <v>0.9816867469879518</v>
      </c>
      <c r="R554" s="12">
        <f>4437+11859</f>
        <v>16296</v>
      </c>
      <c r="S554" s="12">
        <f>4900+12880</f>
        <v>17780</v>
      </c>
      <c r="T554" s="12">
        <v>17780</v>
      </c>
      <c r="U554" s="12"/>
      <c r="V554" s="12"/>
      <c r="W554" s="32">
        <f t="shared" si="58"/>
        <v>17780</v>
      </c>
    </row>
    <row r="555" spans="1:23" ht="24">
      <c r="A555" s="8"/>
      <c r="B555" s="8"/>
      <c r="C555" s="26">
        <v>4110</v>
      </c>
      <c r="D555" s="27" t="s">
        <v>113</v>
      </c>
      <c r="E555" s="11">
        <v>0</v>
      </c>
      <c r="F555" s="11">
        <v>0</v>
      </c>
      <c r="G555" s="12">
        <v>31311</v>
      </c>
      <c r="H555" s="12">
        <v>30060</v>
      </c>
      <c r="I555" s="12"/>
      <c r="J555" s="12">
        <v>30060</v>
      </c>
      <c r="K555" s="12">
        <v>30060</v>
      </c>
      <c r="L555" s="12">
        <v>31020</v>
      </c>
      <c r="M555" s="12">
        <v>34081</v>
      </c>
      <c r="N555" s="12">
        <v>32990</v>
      </c>
      <c r="O555" s="12">
        <v>32990</v>
      </c>
      <c r="P555" s="12">
        <v>14195</v>
      </c>
      <c r="Q555" s="186">
        <f t="shared" si="53"/>
        <v>0.4302819036071537</v>
      </c>
      <c r="R555" s="12">
        <f>9946+24330</f>
        <v>34276</v>
      </c>
      <c r="S555" s="12">
        <f>9740+25280</f>
        <v>35020</v>
      </c>
      <c r="T555" s="12">
        <v>35020</v>
      </c>
      <c r="U555" s="12"/>
      <c r="V555" s="12"/>
      <c r="W555" s="32">
        <f t="shared" si="58"/>
        <v>35020</v>
      </c>
    </row>
    <row r="556" spans="1:23" ht="12">
      <c r="A556" s="8"/>
      <c r="B556" s="8"/>
      <c r="C556" s="26">
        <v>4120</v>
      </c>
      <c r="D556" s="27" t="s">
        <v>32</v>
      </c>
      <c r="E556" s="11">
        <v>0</v>
      </c>
      <c r="F556" s="11">
        <v>0</v>
      </c>
      <c r="G556" s="12">
        <v>5077</v>
      </c>
      <c r="H556" s="12">
        <v>4950</v>
      </c>
      <c r="I556" s="12"/>
      <c r="J556" s="12">
        <v>4950</v>
      </c>
      <c r="K556" s="12">
        <v>4950</v>
      </c>
      <c r="L556" s="12">
        <v>5060</v>
      </c>
      <c r="M556" s="12">
        <v>5432</v>
      </c>
      <c r="N556" s="12">
        <v>5320</v>
      </c>
      <c r="O556" s="12">
        <v>5320</v>
      </c>
      <c r="P556" s="12">
        <v>2270</v>
      </c>
      <c r="Q556" s="186">
        <f t="shared" si="53"/>
        <v>0.4266917293233083</v>
      </c>
      <c r="R556" s="12">
        <f>1613+3913</f>
        <v>5526</v>
      </c>
      <c r="S556" s="12">
        <f>1570+4090</f>
        <v>5660</v>
      </c>
      <c r="T556" s="12">
        <v>5660</v>
      </c>
      <c r="U556" s="12"/>
      <c r="V556" s="12"/>
      <c r="W556" s="32">
        <f t="shared" si="58"/>
        <v>5660</v>
      </c>
    </row>
    <row r="557" spans="1:23" ht="12">
      <c r="A557" s="8"/>
      <c r="B557" s="8"/>
      <c r="C557" s="26">
        <v>4210</v>
      </c>
      <c r="D557" s="27" t="s">
        <v>34</v>
      </c>
      <c r="E557" s="11">
        <v>0</v>
      </c>
      <c r="F557" s="11">
        <v>0</v>
      </c>
      <c r="G557" s="12">
        <v>71610</v>
      </c>
      <c r="H557" s="12">
        <v>71610</v>
      </c>
      <c r="I557" s="12"/>
      <c r="J557" s="12">
        <v>71610</v>
      </c>
      <c r="K557" s="12">
        <v>68610</v>
      </c>
      <c r="L557" s="12">
        <v>71610</v>
      </c>
      <c r="M557" s="12">
        <v>73687</v>
      </c>
      <c r="N557" s="12">
        <v>73690</v>
      </c>
      <c r="O557" s="12">
        <v>73690</v>
      </c>
      <c r="P557" s="12">
        <v>36323</v>
      </c>
      <c r="Q557" s="186">
        <f t="shared" si="53"/>
        <v>0.49291627086443207</v>
      </c>
      <c r="R557" s="12">
        <v>73690</v>
      </c>
      <c r="S557" s="12">
        <v>76190</v>
      </c>
      <c r="T557" s="12">
        <v>73690</v>
      </c>
      <c r="U557" s="12"/>
      <c r="V557" s="12"/>
      <c r="W557" s="32">
        <f t="shared" si="58"/>
        <v>73690</v>
      </c>
    </row>
    <row r="558" spans="1:23" ht="12">
      <c r="A558" s="8"/>
      <c r="B558" s="8"/>
      <c r="C558" s="26">
        <v>4260</v>
      </c>
      <c r="D558" s="27" t="s">
        <v>35</v>
      </c>
      <c r="E558" s="11">
        <v>0</v>
      </c>
      <c r="F558" s="11">
        <v>0</v>
      </c>
      <c r="G558" s="12">
        <v>15000</v>
      </c>
      <c r="H558" s="12">
        <v>15000</v>
      </c>
      <c r="I558" s="12"/>
      <c r="J558" s="12">
        <v>15000</v>
      </c>
      <c r="K558" s="12">
        <v>20000</v>
      </c>
      <c r="L558" s="12">
        <v>17000</v>
      </c>
      <c r="M558" s="12">
        <v>17493</v>
      </c>
      <c r="N558" s="12">
        <v>17490</v>
      </c>
      <c r="O558" s="12">
        <v>17490</v>
      </c>
      <c r="P558" s="12">
        <v>13235</v>
      </c>
      <c r="Q558" s="186">
        <f t="shared" si="53"/>
        <v>0.756718124642653</v>
      </c>
      <c r="R558" s="12">
        <v>17490</v>
      </c>
      <c r="S558" s="12">
        <v>18370</v>
      </c>
      <c r="T558" s="12">
        <v>18370</v>
      </c>
      <c r="U558" s="12"/>
      <c r="V558" s="12"/>
      <c r="W558" s="32">
        <f t="shared" si="58"/>
        <v>18370</v>
      </c>
    </row>
    <row r="559" spans="1:23" ht="12">
      <c r="A559" s="8"/>
      <c r="B559" s="8"/>
      <c r="C559" s="26">
        <v>4270</v>
      </c>
      <c r="D559" s="27" t="s">
        <v>36</v>
      </c>
      <c r="E559" s="11">
        <v>0</v>
      </c>
      <c r="F559" s="11">
        <v>0</v>
      </c>
      <c r="G559" s="12">
        <v>564</v>
      </c>
      <c r="H559" s="12">
        <v>570</v>
      </c>
      <c r="I559" s="12"/>
      <c r="J559" s="12">
        <v>570</v>
      </c>
      <c r="K559" s="12">
        <v>570</v>
      </c>
      <c r="L559" s="12">
        <v>570</v>
      </c>
      <c r="M559" s="12">
        <v>587</v>
      </c>
      <c r="N559" s="12">
        <v>590</v>
      </c>
      <c r="O559" s="12">
        <v>590</v>
      </c>
      <c r="P559" s="12"/>
      <c r="Q559" s="186">
        <f t="shared" si="53"/>
        <v>0</v>
      </c>
      <c r="R559" s="12">
        <v>590</v>
      </c>
      <c r="S559" s="12">
        <v>590</v>
      </c>
      <c r="T559" s="12">
        <v>590</v>
      </c>
      <c r="U559" s="12"/>
      <c r="V559" s="12"/>
      <c r="W559" s="32">
        <f t="shared" si="58"/>
        <v>590</v>
      </c>
    </row>
    <row r="560" spans="1:23" ht="12">
      <c r="A560" s="8"/>
      <c r="B560" s="8"/>
      <c r="C560" s="26">
        <v>4280</v>
      </c>
      <c r="D560" s="27" t="s">
        <v>37</v>
      </c>
      <c r="E560" s="11">
        <v>0</v>
      </c>
      <c r="F560" s="11">
        <v>0</v>
      </c>
      <c r="G560" s="12">
        <v>262</v>
      </c>
      <c r="H560" s="12">
        <v>260</v>
      </c>
      <c r="I560" s="12"/>
      <c r="J560" s="12">
        <v>260</v>
      </c>
      <c r="K560" s="12">
        <v>260</v>
      </c>
      <c r="L560" s="12">
        <v>260</v>
      </c>
      <c r="M560" s="12">
        <v>268</v>
      </c>
      <c r="N560" s="12">
        <v>270</v>
      </c>
      <c r="O560" s="12">
        <v>270</v>
      </c>
      <c r="P560" s="12"/>
      <c r="Q560" s="186">
        <f t="shared" si="53"/>
        <v>0</v>
      </c>
      <c r="R560" s="12">
        <v>270</v>
      </c>
      <c r="S560" s="12">
        <v>270</v>
      </c>
      <c r="T560" s="12">
        <v>270</v>
      </c>
      <c r="U560" s="12"/>
      <c r="V560" s="12"/>
      <c r="W560" s="32">
        <f t="shared" si="58"/>
        <v>270</v>
      </c>
    </row>
    <row r="561" spans="1:23" ht="12">
      <c r="A561" s="8"/>
      <c r="B561" s="8"/>
      <c r="C561" s="26">
        <v>4300</v>
      </c>
      <c r="D561" s="27" t="s">
        <v>81</v>
      </c>
      <c r="E561" s="11">
        <v>0</v>
      </c>
      <c r="F561" s="11">
        <v>0</v>
      </c>
      <c r="G561" s="12">
        <v>5000</v>
      </c>
      <c r="H561" s="12">
        <v>5000</v>
      </c>
      <c r="I561" s="12"/>
      <c r="J561" s="12">
        <v>5000</v>
      </c>
      <c r="K561" s="12">
        <v>3000</v>
      </c>
      <c r="L561" s="12">
        <v>3000</v>
      </c>
      <c r="M561" s="12">
        <v>3087</v>
      </c>
      <c r="N561" s="12">
        <v>3090</v>
      </c>
      <c r="O561" s="12">
        <v>3090</v>
      </c>
      <c r="P561" s="12">
        <v>1283</v>
      </c>
      <c r="Q561" s="186">
        <f t="shared" si="53"/>
        <v>0.415210355987055</v>
      </c>
      <c r="R561" s="12">
        <v>3090</v>
      </c>
      <c r="S561" s="12">
        <v>3190</v>
      </c>
      <c r="T561" s="12">
        <v>3190</v>
      </c>
      <c r="U561" s="12"/>
      <c r="V561" s="12"/>
      <c r="W561" s="32">
        <f t="shared" si="58"/>
        <v>3190</v>
      </c>
    </row>
    <row r="562" spans="1:23" ht="24">
      <c r="A562" s="8"/>
      <c r="B562" s="8"/>
      <c r="C562" s="26">
        <v>4440</v>
      </c>
      <c r="D562" s="27" t="s">
        <v>44</v>
      </c>
      <c r="E562" s="11">
        <v>0</v>
      </c>
      <c r="F562" s="11">
        <v>0</v>
      </c>
      <c r="G562" s="12">
        <v>8093</v>
      </c>
      <c r="H562" s="12">
        <v>8090</v>
      </c>
      <c r="I562" s="12"/>
      <c r="J562" s="12">
        <v>8090</v>
      </c>
      <c r="K562" s="12">
        <v>8090</v>
      </c>
      <c r="L562" s="12">
        <v>9066</v>
      </c>
      <c r="M562" s="12">
        <v>9420</v>
      </c>
      <c r="N562" s="12">
        <v>9170</v>
      </c>
      <c r="O562" s="12">
        <v>9170</v>
      </c>
      <c r="P562" s="12">
        <v>7501</v>
      </c>
      <c r="Q562" s="186">
        <f t="shared" si="53"/>
        <v>0.8179934569247547</v>
      </c>
      <c r="R562" s="12">
        <f>7000+3000</f>
        <v>10000</v>
      </c>
      <c r="S562" s="12">
        <f>3000+7000</f>
        <v>10000</v>
      </c>
      <c r="T562" s="12">
        <v>10000</v>
      </c>
      <c r="U562" s="12"/>
      <c r="V562" s="12"/>
      <c r="W562" s="32">
        <f t="shared" si="58"/>
        <v>10000</v>
      </c>
    </row>
    <row r="563" spans="1:23" ht="28.5" customHeight="1" hidden="1">
      <c r="A563" s="8"/>
      <c r="B563" s="8"/>
      <c r="C563" s="26">
        <v>6060</v>
      </c>
      <c r="D563" s="10" t="s">
        <v>50</v>
      </c>
      <c r="E563" s="41">
        <v>40000</v>
      </c>
      <c r="F563" s="41">
        <v>66283</v>
      </c>
      <c r="G563" s="59">
        <v>40000</v>
      </c>
      <c r="H563" s="59">
        <v>40000</v>
      </c>
      <c r="I563" s="59"/>
      <c r="J563" s="11"/>
      <c r="K563" s="11">
        <v>15000</v>
      </c>
      <c r="L563" s="11">
        <v>13200</v>
      </c>
      <c r="M563" s="11">
        <v>0</v>
      </c>
      <c r="N563" s="11">
        <v>0</v>
      </c>
      <c r="O563" s="11">
        <v>0</v>
      </c>
      <c r="P563" s="11">
        <v>0</v>
      </c>
      <c r="Q563" s="186"/>
      <c r="R563" s="11">
        <v>0</v>
      </c>
      <c r="S563" s="11">
        <v>0</v>
      </c>
      <c r="T563" s="11">
        <v>0</v>
      </c>
      <c r="U563" s="11">
        <v>0</v>
      </c>
      <c r="V563" s="11">
        <v>0</v>
      </c>
      <c r="W563" s="32">
        <f t="shared" si="58"/>
        <v>0</v>
      </c>
    </row>
    <row r="564" spans="1:23" ht="12">
      <c r="A564" s="8"/>
      <c r="B564" s="8"/>
      <c r="C564" s="26"/>
      <c r="D564" s="42" t="s">
        <v>152</v>
      </c>
      <c r="E564" s="11">
        <f>SUM(E565:E570)</f>
        <v>0</v>
      </c>
      <c r="F564" s="11">
        <f>SUM(F565:F570)</f>
        <v>0</v>
      </c>
      <c r="G564" s="11">
        <f>SUM(G565:G570)</f>
        <v>71108</v>
      </c>
      <c r="H564" s="11">
        <f>SUM(H565:H570)</f>
        <v>70550</v>
      </c>
      <c r="I564" s="11"/>
      <c r="J564" s="11">
        <f>SUM(J565:J570)</f>
        <v>70550</v>
      </c>
      <c r="K564" s="11">
        <f>SUM(K565:K570)</f>
        <v>70550</v>
      </c>
      <c r="L564" s="11">
        <f>SUM(L565:L571)</f>
        <v>74258</v>
      </c>
      <c r="M564" s="11">
        <f>SUM(M565:M570)</f>
        <v>75384</v>
      </c>
      <c r="N564" s="11">
        <v>74830</v>
      </c>
      <c r="O564" s="11">
        <v>74830</v>
      </c>
      <c r="P564" s="11">
        <f>SUM(P565:P570)</f>
        <v>38627</v>
      </c>
      <c r="Q564" s="186">
        <f t="shared" si="53"/>
        <v>0.5161967125484431</v>
      </c>
      <c r="R564" s="11">
        <f>SUM(R565:R570)</f>
        <v>75633</v>
      </c>
      <c r="S564" s="11">
        <f>SUM(S565:S570)</f>
        <v>80020</v>
      </c>
      <c r="T564" s="11">
        <v>80020</v>
      </c>
      <c r="U564" s="11">
        <f>SUM(U565:U570)</f>
        <v>0</v>
      </c>
      <c r="V564" s="11">
        <f>SUM(V565:V570)</f>
        <v>0</v>
      </c>
      <c r="W564" s="32">
        <f t="shared" si="58"/>
        <v>80020</v>
      </c>
    </row>
    <row r="565" spans="1:23" ht="24">
      <c r="A565" s="8"/>
      <c r="B565" s="8"/>
      <c r="C565" s="26">
        <v>3020</v>
      </c>
      <c r="D565" s="27" t="s">
        <v>68</v>
      </c>
      <c r="E565" s="11">
        <v>0</v>
      </c>
      <c r="F565" s="11">
        <v>0</v>
      </c>
      <c r="G565" s="12">
        <v>300</v>
      </c>
      <c r="H565" s="12">
        <v>300</v>
      </c>
      <c r="I565" s="12"/>
      <c r="J565" s="12">
        <v>300</v>
      </c>
      <c r="K565" s="12">
        <v>300</v>
      </c>
      <c r="L565" s="12">
        <v>300</v>
      </c>
      <c r="M565" s="12">
        <v>309</v>
      </c>
      <c r="N565" s="12">
        <v>310</v>
      </c>
      <c r="O565" s="12">
        <v>310</v>
      </c>
      <c r="P565" s="12"/>
      <c r="Q565" s="186">
        <f t="shared" si="53"/>
        <v>0</v>
      </c>
      <c r="R565" s="12">
        <v>310</v>
      </c>
      <c r="S565" s="12">
        <v>310</v>
      </c>
      <c r="T565" s="12">
        <v>310</v>
      </c>
      <c r="U565" s="12"/>
      <c r="V565" s="12"/>
      <c r="W565" s="32">
        <f t="shared" si="58"/>
        <v>310</v>
      </c>
    </row>
    <row r="566" spans="1:23" ht="24">
      <c r="A566" s="8" t="s">
        <v>295</v>
      </c>
      <c r="B566" s="8"/>
      <c r="C566" s="26">
        <v>4010</v>
      </c>
      <c r="D566" s="27" t="s">
        <v>29</v>
      </c>
      <c r="E566" s="11">
        <v>0</v>
      </c>
      <c r="F566" s="11">
        <v>0</v>
      </c>
      <c r="G566" s="12">
        <v>54575</v>
      </c>
      <c r="H566" s="12">
        <v>54580</v>
      </c>
      <c r="I566" s="12"/>
      <c r="J566" s="12">
        <v>54580</v>
      </c>
      <c r="K566" s="12">
        <v>54580</v>
      </c>
      <c r="L566" s="12">
        <v>57961</v>
      </c>
      <c r="M566" s="12">
        <v>56585</v>
      </c>
      <c r="N566" s="12">
        <v>56590</v>
      </c>
      <c r="O566" s="12">
        <v>56590</v>
      </c>
      <c r="P566" s="12">
        <v>27183</v>
      </c>
      <c r="Q566" s="186">
        <f t="shared" si="53"/>
        <v>0.48034988513871707</v>
      </c>
      <c r="R566" s="12">
        <v>56327</v>
      </c>
      <c r="S566" s="12">
        <v>60500</v>
      </c>
      <c r="T566" s="12">
        <v>60500</v>
      </c>
      <c r="U566" s="12"/>
      <c r="V566" s="12"/>
      <c r="W566" s="32">
        <f t="shared" si="58"/>
        <v>60500</v>
      </c>
    </row>
    <row r="567" spans="1:23" ht="12">
      <c r="A567" s="8"/>
      <c r="B567" s="8"/>
      <c r="C567" s="26">
        <v>4040</v>
      </c>
      <c r="D567" s="27" t="s">
        <v>30</v>
      </c>
      <c r="E567" s="11">
        <v>0</v>
      </c>
      <c r="F567" s="11">
        <v>0</v>
      </c>
      <c r="G567" s="12">
        <v>3900</v>
      </c>
      <c r="H567" s="12">
        <v>3900</v>
      </c>
      <c r="I567" s="12"/>
      <c r="J567" s="12">
        <v>3900</v>
      </c>
      <c r="K567" s="12">
        <v>3900</v>
      </c>
      <c r="L567" s="12">
        <v>3787</v>
      </c>
      <c r="M567" s="12">
        <v>4700</v>
      </c>
      <c r="N567" s="12">
        <v>4700</v>
      </c>
      <c r="O567" s="12">
        <v>4700</v>
      </c>
      <c r="P567" s="12">
        <v>4437</v>
      </c>
      <c r="Q567" s="186">
        <f t="shared" si="53"/>
        <v>0.9440425531914893</v>
      </c>
      <c r="R567" s="12">
        <v>4437</v>
      </c>
      <c r="S567" s="12">
        <v>4900</v>
      </c>
      <c r="T567" s="12">
        <v>4900</v>
      </c>
      <c r="U567" s="12"/>
      <c r="V567" s="12"/>
      <c r="W567" s="32">
        <f t="shared" si="58"/>
        <v>4900</v>
      </c>
    </row>
    <row r="568" spans="1:23" ht="24">
      <c r="A568" s="8"/>
      <c r="B568" s="8"/>
      <c r="C568" s="26">
        <v>4110</v>
      </c>
      <c r="D568" s="27" t="s">
        <v>113</v>
      </c>
      <c r="E568" s="11">
        <v>0</v>
      </c>
      <c r="F568" s="11">
        <v>0</v>
      </c>
      <c r="G568" s="12">
        <v>8600</v>
      </c>
      <c r="H568" s="12">
        <v>8090</v>
      </c>
      <c r="I568" s="12"/>
      <c r="J568" s="12">
        <v>8090</v>
      </c>
      <c r="K568" s="12">
        <v>8090</v>
      </c>
      <c r="L568" s="12">
        <v>8090</v>
      </c>
      <c r="M568" s="12">
        <v>9464</v>
      </c>
      <c r="N568" s="12">
        <v>9170</v>
      </c>
      <c r="O568" s="12">
        <v>9170</v>
      </c>
      <c r="P568" s="12">
        <v>4087</v>
      </c>
      <c r="Q568" s="186">
        <f t="shared" si="53"/>
        <v>0.44569247546346785</v>
      </c>
      <c r="R568" s="12">
        <v>9946</v>
      </c>
      <c r="S568" s="12">
        <v>9740</v>
      </c>
      <c r="T568" s="12">
        <v>9740</v>
      </c>
      <c r="U568" s="12"/>
      <c r="V568" s="12"/>
      <c r="W568" s="32">
        <f t="shared" si="58"/>
        <v>9740</v>
      </c>
    </row>
    <row r="569" spans="1:23" ht="12">
      <c r="A569" s="8"/>
      <c r="B569" s="8"/>
      <c r="C569" s="26">
        <v>4120</v>
      </c>
      <c r="D569" s="27" t="s">
        <v>32</v>
      </c>
      <c r="E569" s="11">
        <v>0</v>
      </c>
      <c r="F569" s="11">
        <v>0</v>
      </c>
      <c r="G569" s="12">
        <v>1450</v>
      </c>
      <c r="H569" s="12">
        <v>1400</v>
      </c>
      <c r="I569" s="12"/>
      <c r="J569" s="12">
        <v>1400</v>
      </c>
      <c r="K569" s="12">
        <v>1400</v>
      </c>
      <c r="L569" s="12">
        <v>1400</v>
      </c>
      <c r="M569" s="12">
        <v>1500</v>
      </c>
      <c r="N569" s="12">
        <v>1470</v>
      </c>
      <c r="O569" s="12">
        <v>1470</v>
      </c>
      <c r="P569" s="12">
        <v>670</v>
      </c>
      <c r="Q569" s="186">
        <f t="shared" si="53"/>
        <v>0.4557823129251701</v>
      </c>
      <c r="R569" s="12">
        <v>1613</v>
      </c>
      <c r="S569" s="12">
        <v>1570</v>
      </c>
      <c r="T569" s="12">
        <v>1570</v>
      </c>
      <c r="U569" s="12"/>
      <c r="V569" s="12"/>
      <c r="W569" s="32">
        <f t="shared" si="58"/>
        <v>1570</v>
      </c>
    </row>
    <row r="570" spans="1:23" ht="24">
      <c r="A570" s="8"/>
      <c r="B570" s="8"/>
      <c r="C570" s="26">
        <v>4440</v>
      </c>
      <c r="D570" s="27" t="s">
        <v>44</v>
      </c>
      <c r="E570" s="11">
        <v>0</v>
      </c>
      <c r="F570" s="11">
        <v>0</v>
      </c>
      <c r="G570" s="12">
        <v>2283</v>
      </c>
      <c r="H570" s="12">
        <v>2280</v>
      </c>
      <c r="I570" s="12"/>
      <c r="J570" s="12">
        <v>2280</v>
      </c>
      <c r="K570" s="12">
        <v>2280</v>
      </c>
      <c r="L570" s="12">
        <v>2720</v>
      </c>
      <c r="M570" s="12">
        <v>2826</v>
      </c>
      <c r="N570" s="12">
        <v>2590</v>
      </c>
      <c r="O570" s="12">
        <v>2590</v>
      </c>
      <c r="P570" s="12">
        <v>2250</v>
      </c>
      <c r="Q570" s="186">
        <f t="shared" si="53"/>
        <v>0.8687258687258688</v>
      </c>
      <c r="R570" s="12">
        <v>3000</v>
      </c>
      <c r="S570" s="12">
        <v>3000</v>
      </c>
      <c r="T570" s="12">
        <v>3000</v>
      </c>
      <c r="U570" s="12"/>
      <c r="V570" s="12"/>
      <c r="W570" s="32">
        <f t="shared" si="58"/>
        <v>3000</v>
      </c>
    </row>
    <row r="571" spans="1:23" ht="28.5" customHeight="1">
      <c r="A571" s="8"/>
      <c r="B571" s="8"/>
      <c r="C571" s="26">
        <v>6060</v>
      </c>
      <c r="D571" s="10" t="s">
        <v>50</v>
      </c>
      <c r="E571" s="41">
        <v>40000</v>
      </c>
      <c r="F571" s="41">
        <v>66283</v>
      </c>
      <c r="G571" s="59">
        <v>40000</v>
      </c>
      <c r="H571" s="59">
        <v>40000</v>
      </c>
      <c r="I571" s="59"/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86" t="e">
        <f t="shared" si="53"/>
        <v>#DIV/0!</v>
      </c>
      <c r="R571" s="11">
        <v>0</v>
      </c>
      <c r="S571" s="11">
        <v>0</v>
      </c>
      <c r="T571" s="11">
        <v>0</v>
      </c>
      <c r="U571" s="11"/>
      <c r="V571" s="11"/>
      <c r="W571" s="32">
        <f t="shared" si="58"/>
        <v>0</v>
      </c>
    </row>
    <row r="572" spans="1:23" ht="12">
      <c r="A572" s="8"/>
      <c r="B572" s="8"/>
      <c r="C572" s="26"/>
      <c r="D572" s="42" t="s">
        <v>136</v>
      </c>
      <c r="E572" s="11">
        <f>SUM(E573:E584)</f>
        <v>0</v>
      </c>
      <c r="F572" s="11">
        <f>SUM(F573:F584)</f>
        <v>0</v>
      </c>
      <c r="G572" s="11">
        <f>SUM(G573:G584)</f>
        <v>324812</v>
      </c>
      <c r="H572" s="11">
        <f>SUM(H573:H584)</f>
        <v>324010</v>
      </c>
      <c r="I572" s="11"/>
      <c r="J572" s="11">
        <f aca="true" t="shared" si="60" ref="J572:P572">SUM(J573:J584)</f>
        <v>276010</v>
      </c>
      <c r="K572" s="11">
        <f t="shared" si="60"/>
        <v>291010</v>
      </c>
      <c r="L572" s="11">
        <f t="shared" si="60"/>
        <v>295801</v>
      </c>
      <c r="M572" s="11">
        <f t="shared" si="60"/>
        <v>295085</v>
      </c>
      <c r="N572" s="11">
        <v>294200</v>
      </c>
      <c r="O572" s="11">
        <v>294200</v>
      </c>
      <c r="P572" s="11">
        <f t="shared" si="60"/>
        <v>147495</v>
      </c>
      <c r="Q572" s="186">
        <f t="shared" si="53"/>
        <v>0.5013426240652618</v>
      </c>
      <c r="R572" s="11">
        <f>SUM(R573:R584)</f>
        <v>298056</v>
      </c>
      <c r="S572" s="11">
        <f>SUM(S573:S584)</f>
        <v>309670</v>
      </c>
      <c r="T572" s="11">
        <v>307170</v>
      </c>
      <c r="U572" s="11">
        <f>SUM(U573:U584)</f>
        <v>0</v>
      </c>
      <c r="V572" s="11">
        <f>SUM(V573:V584)</f>
        <v>0</v>
      </c>
      <c r="W572" s="32">
        <f t="shared" si="58"/>
        <v>307170</v>
      </c>
    </row>
    <row r="573" spans="1:23" ht="24">
      <c r="A573" s="8"/>
      <c r="B573" s="8"/>
      <c r="C573" s="26">
        <v>3020</v>
      </c>
      <c r="D573" s="27" t="s">
        <v>68</v>
      </c>
      <c r="E573" s="11">
        <v>0</v>
      </c>
      <c r="F573" s="11">
        <v>0</v>
      </c>
      <c r="G573" s="12">
        <v>4176</v>
      </c>
      <c r="H573" s="12">
        <v>4180</v>
      </c>
      <c r="I573" s="12"/>
      <c r="J573" s="12">
        <v>4180</v>
      </c>
      <c r="K573" s="12">
        <v>4180</v>
      </c>
      <c r="L573" s="12">
        <v>4180</v>
      </c>
      <c r="M573" s="12">
        <v>4343</v>
      </c>
      <c r="N573" s="12">
        <v>4340</v>
      </c>
      <c r="O573" s="12">
        <v>4340</v>
      </c>
      <c r="P573" s="12">
        <v>2024</v>
      </c>
      <c r="Q573" s="186">
        <f t="shared" si="53"/>
        <v>0.4663594470046083</v>
      </c>
      <c r="R573" s="12">
        <v>4340</v>
      </c>
      <c r="S573" s="12">
        <v>4340</v>
      </c>
      <c r="T573" s="12">
        <v>4340</v>
      </c>
      <c r="U573" s="12"/>
      <c r="V573" s="12"/>
      <c r="W573" s="32">
        <f t="shared" si="58"/>
        <v>4340</v>
      </c>
    </row>
    <row r="574" spans="1:23" ht="24">
      <c r="A574" s="8"/>
      <c r="B574" s="8"/>
      <c r="C574" s="26">
        <v>4010</v>
      </c>
      <c r="D574" s="27" t="s">
        <v>29</v>
      </c>
      <c r="E574" s="11">
        <v>0</v>
      </c>
      <c r="F574" s="11">
        <v>0</v>
      </c>
      <c r="G574" s="12">
        <v>136454</v>
      </c>
      <c r="H574" s="12">
        <v>136460</v>
      </c>
      <c r="I574" s="12"/>
      <c r="J574" s="12">
        <v>136460</v>
      </c>
      <c r="K574" s="12">
        <v>136460</v>
      </c>
      <c r="L574" s="12">
        <v>143000</v>
      </c>
      <c r="M574" s="12">
        <v>148577</v>
      </c>
      <c r="N574" s="12">
        <v>148580</v>
      </c>
      <c r="O574" s="12">
        <v>148580</v>
      </c>
      <c r="P574" s="12">
        <v>65811</v>
      </c>
      <c r="Q574" s="186">
        <f t="shared" si="53"/>
        <v>0.44293310001346076</v>
      </c>
      <c r="R574" s="12">
        <v>151484</v>
      </c>
      <c r="S574" s="12">
        <v>157470</v>
      </c>
      <c r="T574" s="12">
        <v>157470</v>
      </c>
      <c r="U574" s="12"/>
      <c r="V574" s="12"/>
      <c r="W574" s="32">
        <f t="shared" si="58"/>
        <v>157470</v>
      </c>
    </row>
    <row r="575" spans="1:23" ht="12">
      <c r="A575" s="8"/>
      <c r="B575" s="8"/>
      <c r="C575" s="26">
        <v>4040</v>
      </c>
      <c r="D575" s="27" t="s">
        <v>30</v>
      </c>
      <c r="E575" s="11">
        <v>0</v>
      </c>
      <c r="F575" s="11">
        <v>0</v>
      </c>
      <c r="G575" s="12">
        <v>11598</v>
      </c>
      <c r="H575" s="12">
        <v>11600</v>
      </c>
      <c r="I575" s="12"/>
      <c r="J575" s="12">
        <v>11600</v>
      </c>
      <c r="K575" s="12">
        <v>11600</v>
      </c>
      <c r="L575" s="12">
        <v>10145</v>
      </c>
      <c r="M575" s="12">
        <v>11900</v>
      </c>
      <c r="N575" s="12">
        <v>11900</v>
      </c>
      <c r="O575" s="12">
        <v>11900</v>
      </c>
      <c r="P575" s="12">
        <v>11859</v>
      </c>
      <c r="Q575" s="186">
        <f t="shared" si="53"/>
        <v>0.9965546218487394</v>
      </c>
      <c r="R575" s="12">
        <v>11859</v>
      </c>
      <c r="S575" s="12">
        <v>12880</v>
      </c>
      <c r="T575" s="12">
        <v>12880</v>
      </c>
      <c r="U575" s="12"/>
      <c r="V575" s="12"/>
      <c r="W575" s="32">
        <f t="shared" si="58"/>
        <v>12880</v>
      </c>
    </row>
    <row r="576" spans="1:23" ht="24">
      <c r="A576" s="8"/>
      <c r="B576" s="8"/>
      <c r="C576" s="26">
        <v>4110</v>
      </c>
      <c r="D576" s="27" t="s">
        <v>113</v>
      </c>
      <c r="E576" s="11">
        <v>0</v>
      </c>
      <c r="F576" s="11">
        <v>0</v>
      </c>
      <c r="G576" s="12">
        <v>22711</v>
      </c>
      <c r="H576" s="12">
        <v>21970</v>
      </c>
      <c r="I576" s="12"/>
      <c r="J576" s="12">
        <v>21970</v>
      </c>
      <c r="K576" s="12">
        <v>21970</v>
      </c>
      <c r="L576" s="12">
        <v>22930</v>
      </c>
      <c r="M576" s="12">
        <v>24617</v>
      </c>
      <c r="N576" s="12">
        <v>23820</v>
      </c>
      <c r="O576" s="12">
        <v>23820</v>
      </c>
      <c r="P576" s="12">
        <v>10108</v>
      </c>
      <c r="Q576" s="186">
        <f aca="true" t="shared" si="61" ref="Q576:Q665">P576/O576</f>
        <v>0.42434928631402186</v>
      </c>
      <c r="R576" s="12">
        <v>24330</v>
      </c>
      <c r="S576" s="12">
        <v>25280</v>
      </c>
      <c r="T576" s="12">
        <v>25280</v>
      </c>
      <c r="U576" s="12"/>
      <c r="V576" s="12"/>
      <c r="W576" s="32">
        <f t="shared" si="58"/>
        <v>25280</v>
      </c>
    </row>
    <row r="577" spans="1:23" ht="12">
      <c r="A577" s="8"/>
      <c r="B577" s="8"/>
      <c r="C577" s="26">
        <v>4120</v>
      </c>
      <c r="D577" s="27" t="s">
        <v>32</v>
      </c>
      <c r="E577" s="11">
        <v>0</v>
      </c>
      <c r="F577" s="11">
        <v>0</v>
      </c>
      <c r="G577" s="12">
        <v>3627</v>
      </c>
      <c r="H577" s="12">
        <v>3550</v>
      </c>
      <c r="I577" s="12"/>
      <c r="J577" s="12">
        <v>3550</v>
      </c>
      <c r="K577" s="12">
        <v>3550</v>
      </c>
      <c r="L577" s="12">
        <v>3660</v>
      </c>
      <c r="M577" s="12">
        <v>3932</v>
      </c>
      <c r="N577" s="12">
        <v>3850</v>
      </c>
      <c r="O577" s="12">
        <v>3850</v>
      </c>
      <c r="P577" s="12">
        <v>1600</v>
      </c>
      <c r="Q577" s="186">
        <f t="shared" si="61"/>
        <v>0.4155844155844156</v>
      </c>
      <c r="R577" s="12">
        <v>3913</v>
      </c>
      <c r="S577" s="12">
        <v>4090</v>
      </c>
      <c r="T577" s="12">
        <v>4090</v>
      </c>
      <c r="U577" s="12"/>
      <c r="V577" s="12"/>
      <c r="W577" s="32">
        <f t="shared" si="58"/>
        <v>4090</v>
      </c>
    </row>
    <row r="578" spans="1:23" ht="12">
      <c r="A578" s="8"/>
      <c r="B578" s="8"/>
      <c r="C578" s="26">
        <v>4210</v>
      </c>
      <c r="D578" s="27" t="s">
        <v>34</v>
      </c>
      <c r="E578" s="11">
        <v>0</v>
      </c>
      <c r="F578" s="11">
        <v>0</v>
      </c>
      <c r="G578" s="12">
        <v>71610</v>
      </c>
      <c r="H578" s="12">
        <v>71610</v>
      </c>
      <c r="I578" s="12"/>
      <c r="J578" s="12">
        <v>71610</v>
      </c>
      <c r="K578" s="12">
        <v>68610</v>
      </c>
      <c r="L578" s="12">
        <v>71610</v>
      </c>
      <c r="M578" s="12">
        <v>73687</v>
      </c>
      <c r="N578" s="12">
        <v>73690</v>
      </c>
      <c r="O578" s="12">
        <v>73690</v>
      </c>
      <c r="P578" s="12">
        <v>36323</v>
      </c>
      <c r="Q578" s="186">
        <f t="shared" si="61"/>
        <v>0.49291627086443207</v>
      </c>
      <c r="R578" s="12">
        <v>73690</v>
      </c>
      <c r="S578" s="12">
        <v>76190</v>
      </c>
      <c r="T578" s="12">
        <v>73690</v>
      </c>
      <c r="U578" s="12"/>
      <c r="V578" s="12"/>
      <c r="W578" s="32">
        <f t="shared" si="58"/>
        <v>73690</v>
      </c>
    </row>
    <row r="579" spans="1:23" ht="12">
      <c r="A579" s="8"/>
      <c r="B579" s="8"/>
      <c r="C579" s="26">
        <v>4260</v>
      </c>
      <c r="D579" s="27" t="s">
        <v>35</v>
      </c>
      <c r="E579" s="11">
        <v>0</v>
      </c>
      <c r="F579" s="11">
        <v>0</v>
      </c>
      <c r="G579" s="12">
        <v>15000</v>
      </c>
      <c r="H579" s="12">
        <v>15000</v>
      </c>
      <c r="I579" s="12"/>
      <c r="J579" s="12">
        <v>15000</v>
      </c>
      <c r="K579" s="12">
        <v>20000</v>
      </c>
      <c r="L579" s="12">
        <v>17000</v>
      </c>
      <c r="M579" s="12">
        <v>17493</v>
      </c>
      <c r="N579" s="12">
        <v>17490</v>
      </c>
      <c r="O579" s="12">
        <v>17490</v>
      </c>
      <c r="P579" s="12">
        <v>13235</v>
      </c>
      <c r="Q579" s="186">
        <f t="shared" si="61"/>
        <v>0.756718124642653</v>
      </c>
      <c r="R579" s="12">
        <v>17490</v>
      </c>
      <c r="S579" s="12">
        <v>18370</v>
      </c>
      <c r="T579" s="12">
        <v>18370</v>
      </c>
      <c r="U579" s="12"/>
      <c r="V579" s="12"/>
      <c r="W579" s="32">
        <f t="shared" si="58"/>
        <v>18370</v>
      </c>
    </row>
    <row r="580" spans="1:23" ht="12">
      <c r="A580" s="8"/>
      <c r="B580" s="8"/>
      <c r="C580" s="26">
        <v>4270</v>
      </c>
      <c r="D580" s="27" t="s">
        <v>36</v>
      </c>
      <c r="E580" s="11">
        <v>0</v>
      </c>
      <c r="F580" s="11">
        <v>0</v>
      </c>
      <c r="G580" s="12">
        <v>564</v>
      </c>
      <c r="H580" s="12">
        <v>570</v>
      </c>
      <c r="I580" s="12"/>
      <c r="J580" s="12">
        <v>570</v>
      </c>
      <c r="K580" s="12">
        <v>570</v>
      </c>
      <c r="L580" s="12">
        <v>570</v>
      </c>
      <c r="M580" s="12">
        <v>587</v>
      </c>
      <c r="N580" s="12">
        <v>590</v>
      </c>
      <c r="O580" s="12">
        <v>590</v>
      </c>
      <c r="P580" s="12"/>
      <c r="Q580" s="186">
        <f t="shared" si="61"/>
        <v>0</v>
      </c>
      <c r="R580" s="12">
        <v>590</v>
      </c>
      <c r="S580" s="12">
        <v>590</v>
      </c>
      <c r="T580" s="12">
        <v>590</v>
      </c>
      <c r="U580" s="12"/>
      <c r="V580" s="12"/>
      <c r="W580" s="32">
        <f t="shared" si="58"/>
        <v>590</v>
      </c>
    </row>
    <row r="581" spans="1:23" ht="12">
      <c r="A581" s="8"/>
      <c r="B581" s="8"/>
      <c r="C581" s="26">
        <v>4280</v>
      </c>
      <c r="D581" s="27" t="s">
        <v>37</v>
      </c>
      <c r="E581" s="11">
        <v>0</v>
      </c>
      <c r="F581" s="11">
        <v>0</v>
      </c>
      <c r="G581" s="12">
        <v>262</v>
      </c>
      <c r="H581" s="12">
        <v>260</v>
      </c>
      <c r="I581" s="12"/>
      <c r="J581" s="12">
        <v>260</v>
      </c>
      <c r="K581" s="12">
        <v>260</v>
      </c>
      <c r="L581" s="12">
        <v>260</v>
      </c>
      <c r="M581" s="12">
        <v>268</v>
      </c>
      <c r="N581" s="12">
        <v>270</v>
      </c>
      <c r="O581" s="12">
        <v>270</v>
      </c>
      <c r="P581" s="12"/>
      <c r="Q581" s="186">
        <f t="shared" si="61"/>
        <v>0</v>
      </c>
      <c r="R581" s="12">
        <v>270</v>
      </c>
      <c r="S581" s="12">
        <v>270</v>
      </c>
      <c r="T581" s="12">
        <v>270</v>
      </c>
      <c r="U581" s="12"/>
      <c r="V581" s="12"/>
      <c r="W581" s="32">
        <f t="shared" si="58"/>
        <v>270</v>
      </c>
    </row>
    <row r="582" spans="1:23" ht="12">
      <c r="A582" s="8"/>
      <c r="B582" s="8"/>
      <c r="C582" s="26">
        <v>4300</v>
      </c>
      <c r="D582" s="27" t="s">
        <v>81</v>
      </c>
      <c r="E582" s="11">
        <v>0</v>
      </c>
      <c r="F582" s="11">
        <v>0</v>
      </c>
      <c r="G582" s="12">
        <v>5000</v>
      </c>
      <c r="H582" s="12">
        <v>5000</v>
      </c>
      <c r="I582" s="12"/>
      <c r="J582" s="12">
        <v>5000</v>
      </c>
      <c r="K582" s="12">
        <v>3000</v>
      </c>
      <c r="L582" s="12">
        <v>3000</v>
      </c>
      <c r="M582" s="12">
        <v>3087</v>
      </c>
      <c r="N582" s="12">
        <v>3090</v>
      </c>
      <c r="O582" s="12">
        <v>3090</v>
      </c>
      <c r="P582" s="12">
        <v>1284</v>
      </c>
      <c r="Q582" s="186">
        <f t="shared" si="61"/>
        <v>0.4155339805825243</v>
      </c>
      <c r="R582" s="12">
        <v>3090</v>
      </c>
      <c r="S582" s="12">
        <v>3190</v>
      </c>
      <c r="T582" s="12">
        <v>3190</v>
      </c>
      <c r="U582" s="12"/>
      <c r="V582" s="12"/>
      <c r="W582" s="32">
        <f t="shared" si="58"/>
        <v>3190</v>
      </c>
    </row>
    <row r="583" spans="1:23" ht="24">
      <c r="A583" s="8"/>
      <c r="B583" s="8"/>
      <c r="C583" s="26">
        <v>4440</v>
      </c>
      <c r="D583" s="27" t="s">
        <v>44</v>
      </c>
      <c r="E583" s="11">
        <v>0</v>
      </c>
      <c r="F583" s="11">
        <v>0</v>
      </c>
      <c r="G583" s="12">
        <v>5810</v>
      </c>
      <c r="H583" s="12">
        <v>5810</v>
      </c>
      <c r="I583" s="12"/>
      <c r="J583" s="12">
        <v>5810</v>
      </c>
      <c r="K583" s="12">
        <v>5810</v>
      </c>
      <c r="L583" s="12">
        <v>6346</v>
      </c>
      <c r="M583" s="12">
        <v>6594</v>
      </c>
      <c r="N583" s="12">
        <v>6580</v>
      </c>
      <c r="O583" s="12">
        <v>6580</v>
      </c>
      <c r="P583" s="12">
        <v>5251</v>
      </c>
      <c r="Q583" s="186">
        <f t="shared" si="61"/>
        <v>0.7980243161094225</v>
      </c>
      <c r="R583" s="12">
        <v>7000</v>
      </c>
      <c r="S583" s="12">
        <v>7000</v>
      </c>
      <c r="T583" s="12">
        <v>7000</v>
      </c>
      <c r="U583" s="12"/>
      <c r="V583" s="12"/>
      <c r="W583" s="32">
        <f t="shared" si="58"/>
        <v>7000</v>
      </c>
    </row>
    <row r="584" spans="1:23" ht="45" customHeight="1" hidden="1">
      <c r="A584" s="8"/>
      <c r="B584" s="8"/>
      <c r="C584" s="9">
        <v>6060</v>
      </c>
      <c r="D584" s="10" t="s">
        <v>153</v>
      </c>
      <c r="E584" s="11">
        <v>0</v>
      </c>
      <c r="F584" s="11">
        <v>0</v>
      </c>
      <c r="G584" s="12">
        <v>48000</v>
      </c>
      <c r="H584" s="12">
        <v>48000</v>
      </c>
      <c r="I584" s="12"/>
      <c r="J584" s="12"/>
      <c r="K584" s="12">
        <v>15000</v>
      </c>
      <c r="L584" s="12">
        <v>13100</v>
      </c>
      <c r="M584" s="12">
        <v>0</v>
      </c>
      <c r="N584" s="12">
        <v>0</v>
      </c>
      <c r="O584" s="12">
        <v>0</v>
      </c>
      <c r="P584" s="12">
        <v>0</v>
      </c>
      <c r="Q584" s="186"/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32">
        <f t="shared" si="58"/>
        <v>0</v>
      </c>
    </row>
    <row r="585" spans="1:23" ht="12">
      <c r="A585" s="8"/>
      <c r="B585" s="33">
        <v>80195</v>
      </c>
      <c r="C585" s="26"/>
      <c r="D585" s="42" t="s">
        <v>98</v>
      </c>
      <c r="E585" s="35">
        <f>SUM(E586:E631)</f>
        <v>315100</v>
      </c>
      <c r="F585" s="35">
        <f>SUM(F586:F631)</f>
        <v>342420</v>
      </c>
      <c r="G585" s="35">
        <f>SUM(G586:G631)</f>
        <v>411393</v>
      </c>
      <c r="H585" s="35">
        <f>SUM(H586:H631)</f>
        <v>396260</v>
      </c>
      <c r="I585" s="35"/>
      <c r="J585" s="35">
        <f>SUM(J586:J631)</f>
        <v>384140</v>
      </c>
      <c r="K585" s="35">
        <f>SUM(K586:K631)</f>
        <v>530980</v>
      </c>
      <c r="L585" s="35">
        <f>SUM(L586:L631)</f>
        <v>526456</v>
      </c>
      <c r="M585" s="35">
        <f>SUM(M586:M631)</f>
        <v>433858</v>
      </c>
      <c r="N585" s="35">
        <v>1648946</v>
      </c>
      <c r="O585" s="35">
        <v>420880</v>
      </c>
      <c r="P585" s="35">
        <f>SUM(P586:P631)</f>
        <v>219038</v>
      </c>
      <c r="Q585" s="186">
        <f t="shared" si="61"/>
        <v>0.520428625736552</v>
      </c>
      <c r="R585" s="35">
        <f>SUM(R586:R631)</f>
        <v>99783</v>
      </c>
      <c r="S585" s="35">
        <f>SUM(S586:S631)</f>
        <v>462100</v>
      </c>
      <c r="T585" s="35">
        <v>433278</v>
      </c>
      <c r="U585" s="35">
        <f>SUM(U586:U631)</f>
        <v>150000</v>
      </c>
      <c r="V585" s="35">
        <f>SUM(V586:V631)</f>
        <v>0</v>
      </c>
      <c r="W585" s="32">
        <f t="shared" si="58"/>
        <v>583278</v>
      </c>
    </row>
    <row r="586" spans="1:23" ht="24">
      <c r="A586" s="8"/>
      <c r="B586" s="8"/>
      <c r="C586" s="26">
        <v>3020</v>
      </c>
      <c r="D586" s="27" t="s">
        <v>68</v>
      </c>
      <c r="E586" s="11">
        <v>1600</v>
      </c>
      <c r="F586" s="11">
        <v>1600</v>
      </c>
      <c r="G586" s="12">
        <v>1636</v>
      </c>
      <c r="H586" s="12">
        <v>1640</v>
      </c>
      <c r="I586" s="12"/>
      <c r="J586" s="12">
        <v>1640</v>
      </c>
      <c r="K586" s="12">
        <v>1640</v>
      </c>
      <c r="L586" s="12">
        <v>1640</v>
      </c>
      <c r="M586" s="12">
        <v>1688</v>
      </c>
      <c r="N586" s="12">
        <v>1690</v>
      </c>
      <c r="O586" s="12">
        <v>1690</v>
      </c>
      <c r="P586" s="12">
        <v>800</v>
      </c>
      <c r="Q586" s="186">
        <f t="shared" si="61"/>
        <v>0.47337278106508873</v>
      </c>
      <c r="R586" s="12"/>
      <c r="S586" s="12">
        <v>1690</v>
      </c>
      <c r="T586" s="12">
        <v>1690</v>
      </c>
      <c r="U586" s="12"/>
      <c r="V586" s="12"/>
      <c r="W586" s="32">
        <f t="shared" si="58"/>
        <v>1690</v>
      </c>
    </row>
    <row r="587" spans="1:23" ht="24">
      <c r="A587" s="8"/>
      <c r="B587" s="8"/>
      <c r="C587" s="26">
        <v>4010</v>
      </c>
      <c r="D587" s="27" t="s">
        <v>29</v>
      </c>
      <c r="E587" s="11">
        <v>157740</v>
      </c>
      <c r="F587" s="11">
        <v>168857</v>
      </c>
      <c r="G587" s="12">
        <v>197838</v>
      </c>
      <c r="H587" s="12">
        <v>197840</v>
      </c>
      <c r="I587" s="12">
        <f>197840+20640</f>
        <v>218480</v>
      </c>
      <c r="J587" s="12">
        <f>197840+20640</f>
        <v>218480</v>
      </c>
      <c r="K587" s="12">
        <f>197840+20640</f>
        <v>218480</v>
      </c>
      <c r="L587" s="12">
        <v>201925</v>
      </c>
      <c r="M587" s="12">
        <v>231838</v>
      </c>
      <c r="N587" s="12">
        <v>231840</v>
      </c>
      <c r="O587" s="12">
        <v>231840</v>
      </c>
      <c r="P587" s="12">
        <v>99132</v>
      </c>
      <c r="Q587" s="186">
        <f t="shared" si="61"/>
        <v>0.4275879917184265</v>
      </c>
      <c r="R587" s="12">
        <f>R635+R639</f>
        <v>80977</v>
      </c>
      <c r="S587" s="12">
        <f>175680+22460+73610</f>
        <v>271750</v>
      </c>
      <c r="T587" s="12">
        <v>241078</v>
      </c>
      <c r="U587" s="12">
        <f>U685</f>
        <v>12150</v>
      </c>
      <c r="V587" s="12"/>
      <c r="W587" s="32">
        <f t="shared" si="58"/>
        <v>253228</v>
      </c>
    </row>
    <row r="588" spans="1:23" ht="12">
      <c r="A588" s="8"/>
      <c r="B588" s="8"/>
      <c r="C588" s="26">
        <v>4040</v>
      </c>
      <c r="D588" s="27" t="s">
        <v>30</v>
      </c>
      <c r="E588" s="11">
        <v>11230</v>
      </c>
      <c r="F588" s="11">
        <v>11230</v>
      </c>
      <c r="G588" s="12">
        <v>14640</v>
      </c>
      <c r="H588" s="12">
        <v>14640</v>
      </c>
      <c r="I588" s="12"/>
      <c r="J588" s="12">
        <v>14640</v>
      </c>
      <c r="K588" s="12">
        <v>14640</v>
      </c>
      <c r="L588" s="12">
        <v>12580</v>
      </c>
      <c r="M588" s="12">
        <v>15496</v>
      </c>
      <c r="N588" s="12">
        <v>15500</v>
      </c>
      <c r="O588" s="12">
        <v>14099</v>
      </c>
      <c r="P588" s="12">
        <v>14094</v>
      </c>
      <c r="Q588" s="186">
        <f t="shared" si="61"/>
        <v>0.9996453649194978</v>
      </c>
      <c r="R588" s="12">
        <v>264</v>
      </c>
      <c r="S588" s="12">
        <f>14940+3330</f>
        <v>18270</v>
      </c>
      <c r="T588" s="12">
        <v>18270</v>
      </c>
      <c r="U588" s="12"/>
      <c r="V588" s="12"/>
      <c r="W588" s="32">
        <f t="shared" si="58"/>
        <v>18270</v>
      </c>
    </row>
    <row r="589" spans="1:23" ht="24">
      <c r="A589" s="8"/>
      <c r="B589" s="8"/>
      <c r="C589" s="26">
        <v>4110</v>
      </c>
      <c r="D589" s="27" t="s">
        <v>113</v>
      </c>
      <c r="E589" s="11">
        <v>28750</v>
      </c>
      <c r="F589" s="11">
        <v>30702</v>
      </c>
      <c r="G589" s="12">
        <v>32770</v>
      </c>
      <c r="H589" s="12">
        <v>30280</v>
      </c>
      <c r="I589" s="12"/>
      <c r="J589" s="12">
        <f>30280+780</f>
        <v>31060</v>
      </c>
      <c r="K589" s="12">
        <f>30280+780</f>
        <v>31060</v>
      </c>
      <c r="L589" s="12">
        <v>31699</v>
      </c>
      <c r="M589" s="12">
        <v>36406</v>
      </c>
      <c r="N589" s="12">
        <v>34590</v>
      </c>
      <c r="O589" s="12">
        <v>34590</v>
      </c>
      <c r="P589" s="12">
        <v>16074</v>
      </c>
      <c r="Q589" s="186">
        <f t="shared" si="61"/>
        <v>0.46470078057241976</v>
      </c>
      <c r="R589" s="12">
        <f>R636+R641</f>
        <v>6060</v>
      </c>
      <c r="S589" s="12">
        <f>29280+3410+7030</f>
        <v>39720</v>
      </c>
      <c r="T589" s="12">
        <v>39720</v>
      </c>
      <c r="U589" s="12">
        <f>U687</f>
        <v>3530</v>
      </c>
      <c r="V589" s="12"/>
      <c r="W589" s="32">
        <f t="shared" si="58"/>
        <v>43250</v>
      </c>
    </row>
    <row r="590" spans="1:23" ht="24" hidden="1">
      <c r="A590" s="8"/>
      <c r="B590" s="8"/>
      <c r="C590" s="26">
        <v>4118</v>
      </c>
      <c r="D590" s="27" t="s">
        <v>31</v>
      </c>
      <c r="E590" s="11"/>
      <c r="F590" s="11"/>
      <c r="G590" s="12"/>
      <c r="H590" s="12"/>
      <c r="I590" s="12"/>
      <c r="J590" s="12"/>
      <c r="K590" s="12"/>
      <c r="L590" s="12"/>
      <c r="M590" s="12"/>
      <c r="N590" s="12">
        <v>0</v>
      </c>
      <c r="O590" s="12"/>
      <c r="P590" s="12"/>
      <c r="Q590" s="186"/>
      <c r="R590" s="12"/>
      <c r="S590" s="12"/>
      <c r="T590" s="12">
        <v>0</v>
      </c>
      <c r="U590" s="12"/>
      <c r="V590" s="12"/>
      <c r="W590" s="32">
        <f t="shared" si="58"/>
        <v>0</v>
      </c>
    </row>
    <row r="591" spans="1:23" ht="24" hidden="1">
      <c r="A591" s="8"/>
      <c r="B591" s="8"/>
      <c r="C591" s="26">
        <v>4119</v>
      </c>
      <c r="D591" s="27" t="s">
        <v>31</v>
      </c>
      <c r="E591" s="11"/>
      <c r="F591" s="11"/>
      <c r="G591" s="12"/>
      <c r="H591" s="12"/>
      <c r="I591" s="12"/>
      <c r="J591" s="12"/>
      <c r="K591" s="12"/>
      <c r="L591" s="12"/>
      <c r="M591" s="12"/>
      <c r="N591" s="12">
        <v>0</v>
      </c>
      <c r="O591" s="12"/>
      <c r="P591" s="12"/>
      <c r="Q591" s="186"/>
      <c r="R591" s="12"/>
      <c r="S591" s="12"/>
      <c r="T591" s="12">
        <v>0</v>
      </c>
      <c r="U591" s="12"/>
      <c r="V591" s="12"/>
      <c r="W591" s="32">
        <f t="shared" si="58"/>
        <v>0</v>
      </c>
    </row>
    <row r="592" spans="1:23" ht="12">
      <c r="A592" s="8"/>
      <c r="B592" s="8"/>
      <c r="C592" s="26">
        <v>4120</v>
      </c>
      <c r="D592" s="27" t="s">
        <v>32</v>
      </c>
      <c r="E592" s="11">
        <v>4070</v>
      </c>
      <c r="F592" s="11">
        <v>4346</v>
      </c>
      <c r="G592" s="12">
        <v>5140</v>
      </c>
      <c r="H592" s="12">
        <v>5060</v>
      </c>
      <c r="I592" s="12"/>
      <c r="J592" s="12">
        <f>5060+120</f>
        <v>5180</v>
      </c>
      <c r="K592" s="12">
        <f>5060+120</f>
        <v>5180</v>
      </c>
      <c r="L592" s="12">
        <v>4997</v>
      </c>
      <c r="M592" s="12">
        <v>5746</v>
      </c>
      <c r="N592" s="12">
        <v>5510</v>
      </c>
      <c r="O592" s="12">
        <v>5510</v>
      </c>
      <c r="P592" s="12">
        <v>2778</v>
      </c>
      <c r="Q592" s="186">
        <f t="shared" si="61"/>
        <v>0.5041742286751362</v>
      </c>
      <c r="R592" s="12">
        <f>R637+R642</f>
        <v>7313</v>
      </c>
      <c r="S592" s="12">
        <f>4570+550+1140</f>
        <v>6260</v>
      </c>
      <c r="T592" s="12">
        <v>6260</v>
      </c>
      <c r="U592" s="12">
        <f>U688</f>
        <v>570</v>
      </c>
      <c r="V592" s="12"/>
      <c r="W592" s="32">
        <f t="shared" si="58"/>
        <v>6830</v>
      </c>
    </row>
    <row r="593" spans="1:23" ht="12" hidden="1">
      <c r="A593" s="8"/>
      <c r="B593" s="8"/>
      <c r="C593" s="26">
        <v>4128</v>
      </c>
      <c r="D593" s="27" t="s">
        <v>32</v>
      </c>
      <c r="E593" s="11"/>
      <c r="F593" s="11"/>
      <c r="G593" s="12"/>
      <c r="H593" s="12"/>
      <c r="I593" s="12"/>
      <c r="J593" s="12"/>
      <c r="K593" s="12"/>
      <c r="L593" s="12"/>
      <c r="M593" s="12"/>
      <c r="N593" s="12">
        <v>11320</v>
      </c>
      <c r="O593" s="12"/>
      <c r="P593" s="12"/>
      <c r="Q593" s="186"/>
      <c r="R593" s="12"/>
      <c r="S593" s="12"/>
      <c r="T593" s="12">
        <v>0</v>
      </c>
      <c r="U593" s="12"/>
      <c r="V593" s="12"/>
      <c r="W593" s="32">
        <f t="shared" si="58"/>
        <v>0</v>
      </c>
    </row>
    <row r="594" spans="1:23" ht="12" hidden="1">
      <c r="A594" s="8"/>
      <c r="B594" s="8"/>
      <c r="C594" s="26">
        <v>4129</v>
      </c>
      <c r="D594" s="27" t="s">
        <v>32</v>
      </c>
      <c r="E594" s="11"/>
      <c r="F594" s="11"/>
      <c r="G594" s="12"/>
      <c r="H594" s="12"/>
      <c r="I594" s="12"/>
      <c r="J594" s="12"/>
      <c r="K594" s="12"/>
      <c r="L594" s="12"/>
      <c r="M594" s="12"/>
      <c r="N594" s="12">
        <v>1999</v>
      </c>
      <c r="O594" s="12"/>
      <c r="P594" s="12"/>
      <c r="Q594" s="186"/>
      <c r="R594" s="12"/>
      <c r="S594" s="12"/>
      <c r="T594" s="12">
        <v>0</v>
      </c>
      <c r="U594" s="12"/>
      <c r="V594" s="12"/>
      <c r="W594" s="32">
        <f t="shared" si="58"/>
        <v>0</v>
      </c>
    </row>
    <row r="595" spans="1:23" ht="12">
      <c r="A595" s="8"/>
      <c r="B595" s="8"/>
      <c r="C595" s="26">
        <v>4170</v>
      </c>
      <c r="D595" s="27" t="s">
        <v>69</v>
      </c>
      <c r="E595" s="11">
        <v>2000</v>
      </c>
      <c r="F595" s="11">
        <v>4800</v>
      </c>
      <c r="G595" s="12">
        <v>3446</v>
      </c>
      <c r="H595" s="12">
        <v>3450</v>
      </c>
      <c r="I595" s="12"/>
      <c r="J595" s="12">
        <f>2050+1400</f>
        <v>3450</v>
      </c>
      <c r="K595" s="12">
        <f>2050+1400</f>
        <v>3450</v>
      </c>
      <c r="L595" s="12">
        <v>3450</v>
      </c>
      <c r="M595" s="12">
        <v>6200</v>
      </c>
      <c r="N595" s="12">
        <v>6200</v>
      </c>
      <c r="O595" s="12">
        <v>6200</v>
      </c>
      <c r="P595" s="12">
        <v>3146</v>
      </c>
      <c r="Q595" s="186">
        <f t="shared" si="61"/>
        <v>0.5074193548387097</v>
      </c>
      <c r="R595" s="12">
        <v>1110</v>
      </c>
      <c r="S595" s="12">
        <v>4800</v>
      </c>
      <c r="T595" s="12">
        <v>4800</v>
      </c>
      <c r="U595" s="12">
        <f>U689</f>
        <v>10526</v>
      </c>
      <c r="V595" s="12"/>
      <c r="W595" s="32">
        <f t="shared" si="58"/>
        <v>15326</v>
      </c>
    </row>
    <row r="596" spans="1:23" ht="12" hidden="1">
      <c r="A596" s="8"/>
      <c r="B596" s="8"/>
      <c r="C596" s="26">
        <v>4178</v>
      </c>
      <c r="D596" s="27" t="s">
        <v>195</v>
      </c>
      <c r="E596" s="11"/>
      <c r="F596" s="11"/>
      <c r="G596" s="12"/>
      <c r="H596" s="12"/>
      <c r="I596" s="12"/>
      <c r="J596" s="12"/>
      <c r="K596" s="12"/>
      <c r="L596" s="12"/>
      <c r="M596" s="12"/>
      <c r="N596" s="12">
        <v>480280</v>
      </c>
      <c r="O596" s="12"/>
      <c r="P596" s="12"/>
      <c r="Q596" s="186"/>
      <c r="R596" s="12"/>
      <c r="S596" s="12"/>
      <c r="T596" s="12">
        <v>0</v>
      </c>
      <c r="U596" s="12"/>
      <c r="V596" s="12"/>
      <c r="W596" s="32">
        <f t="shared" si="58"/>
        <v>0</v>
      </c>
    </row>
    <row r="597" spans="1:23" ht="12" hidden="1">
      <c r="A597" s="8"/>
      <c r="B597" s="8"/>
      <c r="C597" s="26">
        <v>4179</v>
      </c>
      <c r="D597" s="27" t="s">
        <v>195</v>
      </c>
      <c r="E597" s="11"/>
      <c r="F597" s="11"/>
      <c r="G597" s="12"/>
      <c r="H597" s="12"/>
      <c r="I597" s="12"/>
      <c r="J597" s="12"/>
      <c r="K597" s="12"/>
      <c r="L597" s="12"/>
      <c r="M597" s="12"/>
      <c r="N597" s="12">
        <v>74314</v>
      </c>
      <c r="O597" s="12"/>
      <c r="P597" s="12"/>
      <c r="Q597" s="186"/>
      <c r="R597" s="12"/>
      <c r="S597" s="12"/>
      <c r="T597" s="12">
        <v>0</v>
      </c>
      <c r="U597" s="12"/>
      <c r="V597" s="12"/>
      <c r="W597" s="32">
        <f t="shared" si="58"/>
        <v>0</v>
      </c>
    </row>
    <row r="598" spans="1:23" ht="24">
      <c r="A598" s="8"/>
      <c r="B598" s="8"/>
      <c r="C598" s="26">
        <v>4240</v>
      </c>
      <c r="D598" s="27" t="s">
        <v>129</v>
      </c>
      <c r="E598" s="11"/>
      <c r="F598" s="11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86"/>
      <c r="R598" s="12"/>
      <c r="S598" s="12"/>
      <c r="T598" s="12"/>
      <c r="U598" s="12">
        <f>U691</f>
        <v>17700</v>
      </c>
      <c r="V598" s="12"/>
      <c r="W598" s="32">
        <f t="shared" si="58"/>
        <v>17700</v>
      </c>
    </row>
    <row r="599" spans="1:23" ht="12">
      <c r="A599" s="8"/>
      <c r="B599" s="8"/>
      <c r="C599" s="26">
        <v>4210</v>
      </c>
      <c r="D599" s="27" t="s">
        <v>34</v>
      </c>
      <c r="E599" s="11">
        <v>8150</v>
      </c>
      <c r="F599" s="11">
        <v>10150</v>
      </c>
      <c r="G599" s="12">
        <v>22715</v>
      </c>
      <c r="H599" s="12">
        <v>10740</v>
      </c>
      <c r="I599" s="12"/>
      <c r="J599" s="12">
        <v>10740</v>
      </c>
      <c r="K599" s="12">
        <v>15570</v>
      </c>
      <c r="L599" s="12">
        <v>15570</v>
      </c>
      <c r="M599" s="12">
        <v>15982</v>
      </c>
      <c r="N599" s="12">
        <v>17980</v>
      </c>
      <c r="O599" s="12">
        <v>17980</v>
      </c>
      <c r="P599" s="12">
        <v>5483</v>
      </c>
      <c r="Q599" s="186">
        <f t="shared" si="61"/>
        <v>0.3049499443826474</v>
      </c>
      <c r="R599" s="12">
        <v>2000</v>
      </c>
      <c r="S599" s="12">
        <v>13580</v>
      </c>
      <c r="T599" s="12">
        <v>13580</v>
      </c>
      <c r="U599" s="12">
        <f>U690</f>
        <v>77000</v>
      </c>
      <c r="V599" s="12"/>
      <c r="W599" s="32">
        <f t="shared" si="58"/>
        <v>90580</v>
      </c>
    </row>
    <row r="600" spans="1:23" ht="12" hidden="1">
      <c r="A600" s="8"/>
      <c r="B600" s="8"/>
      <c r="C600" s="26">
        <v>4218</v>
      </c>
      <c r="D600" s="27" t="s">
        <v>34</v>
      </c>
      <c r="E600" s="11"/>
      <c r="F600" s="11"/>
      <c r="G600" s="12"/>
      <c r="H600" s="12"/>
      <c r="I600" s="12"/>
      <c r="J600" s="12"/>
      <c r="K600" s="12"/>
      <c r="L600" s="12"/>
      <c r="M600" s="12"/>
      <c r="N600" s="12">
        <v>77758</v>
      </c>
      <c r="O600" s="12"/>
      <c r="P600" s="12"/>
      <c r="Q600" s="186"/>
      <c r="R600" s="12"/>
      <c r="S600" s="12"/>
      <c r="T600" s="12">
        <v>0</v>
      </c>
      <c r="U600" s="12"/>
      <c r="V600" s="12"/>
      <c r="W600" s="32">
        <f t="shared" si="58"/>
        <v>0</v>
      </c>
    </row>
    <row r="601" spans="1:23" ht="12" hidden="1">
      <c r="A601" s="8"/>
      <c r="B601" s="8"/>
      <c r="C601" s="26">
        <v>4219</v>
      </c>
      <c r="D601" s="27" t="s">
        <v>34</v>
      </c>
      <c r="E601" s="11"/>
      <c r="F601" s="11"/>
      <c r="G601" s="12"/>
      <c r="H601" s="12"/>
      <c r="I601" s="12"/>
      <c r="J601" s="12"/>
      <c r="K601" s="12"/>
      <c r="L601" s="12"/>
      <c r="M601" s="12"/>
      <c r="N601" s="12">
        <v>13722</v>
      </c>
      <c r="O601" s="12"/>
      <c r="P601" s="12"/>
      <c r="Q601" s="186"/>
      <c r="R601" s="12"/>
      <c r="S601" s="12"/>
      <c r="T601" s="12">
        <v>0</v>
      </c>
      <c r="U601" s="12"/>
      <c r="V601" s="12"/>
      <c r="W601" s="32">
        <f t="shared" si="58"/>
        <v>0</v>
      </c>
    </row>
    <row r="602" spans="1:23" ht="12">
      <c r="A602" s="8"/>
      <c r="B602" s="8"/>
      <c r="C602" s="26">
        <v>4260</v>
      </c>
      <c r="D602" s="27" t="s">
        <v>35</v>
      </c>
      <c r="E602" s="11">
        <v>3210</v>
      </c>
      <c r="F602" s="11">
        <v>3210</v>
      </c>
      <c r="G602" s="12">
        <v>3283</v>
      </c>
      <c r="H602" s="12">
        <v>3280</v>
      </c>
      <c r="I602" s="12"/>
      <c r="J602" s="12">
        <f>3280</f>
        <v>3280</v>
      </c>
      <c r="K602" s="12">
        <f>3280</f>
        <v>3280</v>
      </c>
      <c r="L602" s="12">
        <v>3280</v>
      </c>
      <c r="M602" s="12">
        <v>3375</v>
      </c>
      <c r="N602" s="12">
        <v>3380</v>
      </c>
      <c r="O602" s="12">
        <v>6436</v>
      </c>
      <c r="P602" s="12">
        <v>2820</v>
      </c>
      <c r="Q602" s="186">
        <f t="shared" si="61"/>
        <v>0.4381603480422623</v>
      </c>
      <c r="R602" s="12"/>
      <c r="S602" s="12">
        <v>6760</v>
      </c>
      <c r="T602" s="12">
        <v>6760</v>
      </c>
      <c r="U602" s="12">
        <f>U692</f>
        <v>8000</v>
      </c>
      <c r="V602" s="12"/>
      <c r="W602" s="32">
        <f t="shared" si="58"/>
        <v>14760</v>
      </c>
    </row>
    <row r="603" spans="1:23" ht="12" hidden="1">
      <c r="A603" s="8"/>
      <c r="B603" s="8"/>
      <c r="C603" s="26">
        <v>4268</v>
      </c>
      <c r="D603" s="27" t="s">
        <v>35</v>
      </c>
      <c r="E603" s="11"/>
      <c r="F603" s="11"/>
      <c r="G603" s="12"/>
      <c r="H603" s="12"/>
      <c r="I603" s="12"/>
      <c r="J603" s="12"/>
      <c r="K603" s="12"/>
      <c r="L603" s="12"/>
      <c r="M603" s="12"/>
      <c r="N603" s="12">
        <v>1477</v>
      </c>
      <c r="O603" s="12"/>
      <c r="P603" s="12"/>
      <c r="Q603" s="186"/>
      <c r="R603" s="12"/>
      <c r="S603" s="12"/>
      <c r="T603" s="12">
        <v>0</v>
      </c>
      <c r="U603" s="12"/>
      <c r="V603" s="12"/>
      <c r="W603" s="32">
        <f t="shared" si="58"/>
        <v>0</v>
      </c>
    </row>
    <row r="604" spans="1:23" ht="12" hidden="1">
      <c r="A604" s="8"/>
      <c r="B604" s="8"/>
      <c r="C604" s="26">
        <v>4269</v>
      </c>
      <c r="D604" s="27" t="s">
        <v>35</v>
      </c>
      <c r="E604" s="11"/>
      <c r="F604" s="11"/>
      <c r="G604" s="12"/>
      <c r="H604" s="12"/>
      <c r="I604" s="12"/>
      <c r="J604" s="12"/>
      <c r="K604" s="12"/>
      <c r="L604" s="12"/>
      <c r="M604" s="12"/>
      <c r="N604" s="12">
        <v>261</v>
      </c>
      <c r="O604" s="12"/>
      <c r="P604" s="12"/>
      <c r="Q604" s="186"/>
      <c r="R604" s="12"/>
      <c r="S604" s="12"/>
      <c r="T604" s="12">
        <v>0</v>
      </c>
      <c r="U604" s="12"/>
      <c r="V604" s="12"/>
      <c r="W604" s="32">
        <f t="shared" si="58"/>
        <v>0</v>
      </c>
    </row>
    <row r="605" spans="1:23" ht="12">
      <c r="A605" s="8"/>
      <c r="B605" s="8"/>
      <c r="C605" s="26">
        <v>4270</v>
      </c>
      <c r="D605" s="27" t="s">
        <v>53</v>
      </c>
      <c r="E605" s="11">
        <v>620</v>
      </c>
      <c r="F605" s="11">
        <v>620</v>
      </c>
      <c r="G605" s="12">
        <v>1019</v>
      </c>
      <c r="H605" s="12">
        <v>640</v>
      </c>
      <c r="I605" s="12"/>
      <c r="J605" s="12">
        <v>640</v>
      </c>
      <c r="K605" s="12">
        <v>640</v>
      </c>
      <c r="L605" s="12">
        <v>640</v>
      </c>
      <c r="M605" s="12">
        <v>659</v>
      </c>
      <c r="N605" s="12">
        <v>660</v>
      </c>
      <c r="O605" s="12">
        <v>660</v>
      </c>
      <c r="P605" s="12"/>
      <c r="Q605" s="186">
        <f t="shared" si="61"/>
        <v>0</v>
      </c>
      <c r="R605" s="12"/>
      <c r="S605" s="12">
        <v>660</v>
      </c>
      <c r="T605" s="12">
        <v>660</v>
      </c>
      <c r="U605" s="12">
        <f>U693</f>
        <v>10000</v>
      </c>
      <c r="V605" s="12"/>
      <c r="W605" s="32">
        <f t="shared" si="58"/>
        <v>10660</v>
      </c>
    </row>
    <row r="606" spans="1:23" ht="12">
      <c r="A606" s="8"/>
      <c r="B606" s="8"/>
      <c r="C606" s="26">
        <v>4280</v>
      </c>
      <c r="D606" s="27" t="s">
        <v>37</v>
      </c>
      <c r="E606" s="11">
        <v>150</v>
      </c>
      <c r="F606" s="11">
        <v>150</v>
      </c>
      <c r="G606" s="12">
        <v>250</v>
      </c>
      <c r="H606" s="12">
        <v>160</v>
      </c>
      <c r="I606" s="12"/>
      <c r="J606" s="12">
        <v>160</v>
      </c>
      <c r="K606" s="12">
        <v>460</v>
      </c>
      <c r="L606" s="12">
        <v>160</v>
      </c>
      <c r="M606" s="12">
        <v>165</v>
      </c>
      <c r="N606" s="12">
        <v>170</v>
      </c>
      <c r="O606" s="12">
        <v>170</v>
      </c>
      <c r="P606" s="12">
        <v>140</v>
      </c>
      <c r="Q606" s="186">
        <f t="shared" si="61"/>
        <v>0.8235294117647058</v>
      </c>
      <c r="R606" s="12"/>
      <c r="S606" s="12">
        <v>270</v>
      </c>
      <c r="T606" s="12">
        <v>270</v>
      </c>
      <c r="U606" s="12"/>
      <c r="V606" s="12"/>
      <c r="W606" s="32">
        <f t="shared" si="58"/>
        <v>270</v>
      </c>
    </row>
    <row r="607" spans="1:23" ht="12">
      <c r="A607" s="8"/>
      <c r="B607" s="8"/>
      <c r="C607" s="26">
        <v>4300</v>
      </c>
      <c r="D607" s="27" t="s">
        <v>154</v>
      </c>
      <c r="E607" s="11">
        <v>2550</v>
      </c>
      <c r="F607" s="11">
        <v>4050</v>
      </c>
      <c r="G607" s="12">
        <v>16148</v>
      </c>
      <c r="H607" s="12">
        <v>16110</v>
      </c>
      <c r="I607" s="12"/>
      <c r="J607" s="12">
        <v>2610</v>
      </c>
      <c r="K607" s="12">
        <v>20638</v>
      </c>
      <c r="L607" s="12">
        <v>22138</v>
      </c>
      <c r="M607" s="12">
        <v>16317</v>
      </c>
      <c r="N607" s="12">
        <v>6320</v>
      </c>
      <c r="O607" s="12">
        <v>12220</v>
      </c>
      <c r="P607" s="12">
        <v>10988</v>
      </c>
      <c r="Q607" s="186">
        <f t="shared" si="61"/>
        <v>0.8991816693944353</v>
      </c>
      <c r="R607" s="12"/>
      <c r="S607" s="12">
        <v>9720</v>
      </c>
      <c r="T607" s="12">
        <v>9720</v>
      </c>
      <c r="U607" s="12">
        <f>U695</f>
        <v>10000</v>
      </c>
      <c r="V607" s="12"/>
      <c r="W607" s="32">
        <f t="shared" si="58"/>
        <v>19720</v>
      </c>
    </row>
    <row r="608" spans="1:23" ht="12" hidden="1">
      <c r="A608" s="8"/>
      <c r="B608" s="8"/>
      <c r="C608" s="26">
        <v>4308</v>
      </c>
      <c r="D608" s="27" t="s">
        <v>81</v>
      </c>
      <c r="E608" s="11"/>
      <c r="F608" s="11"/>
      <c r="G608" s="12"/>
      <c r="H608" s="12"/>
      <c r="I608" s="12"/>
      <c r="J608" s="12"/>
      <c r="K608" s="12"/>
      <c r="L608" s="12"/>
      <c r="M608" s="12"/>
      <c r="N608" s="12">
        <v>408038</v>
      </c>
      <c r="O608" s="12"/>
      <c r="P608" s="12"/>
      <c r="Q608" s="186"/>
      <c r="R608" s="12"/>
      <c r="S608" s="12"/>
      <c r="T608" s="12">
        <v>0</v>
      </c>
      <c r="U608" s="12"/>
      <c r="V608" s="12"/>
      <c r="W608" s="32">
        <f t="shared" si="58"/>
        <v>0</v>
      </c>
    </row>
    <row r="609" spans="1:23" ht="12" hidden="1">
      <c r="A609" s="8"/>
      <c r="B609" s="8"/>
      <c r="C609" s="26">
        <v>4309</v>
      </c>
      <c r="D609" s="27" t="s">
        <v>81</v>
      </c>
      <c r="E609" s="11"/>
      <c r="F609" s="11"/>
      <c r="G609" s="12"/>
      <c r="H609" s="12"/>
      <c r="I609" s="12"/>
      <c r="J609" s="12"/>
      <c r="K609" s="12"/>
      <c r="L609" s="12"/>
      <c r="M609" s="12"/>
      <c r="N609" s="12">
        <v>61256</v>
      </c>
      <c r="O609" s="12"/>
      <c r="P609" s="12"/>
      <c r="Q609" s="186"/>
      <c r="R609" s="12"/>
      <c r="S609" s="12"/>
      <c r="T609" s="12">
        <v>0</v>
      </c>
      <c r="U609" s="12"/>
      <c r="V609" s="12"/>
      <c r="W609" s="32">
        <f t="shared" si="58"/>
        <v>0</v>
      </c>
    </row>
    <row r="610" spans="1:23" ht="24">
      <c r="A610" s="8"/>
      <c r="B610" s="8"/>
      <c r="C610" s="26">
        <v>4350</v>
      </c>
      <c r="D610" s="27" t="s">
        <v>38</v>
      </c>
      <c r="E610" s="11">
        <v>1980</v>
      </c>
      <c r="F610" s="11">
        <v>1980</v>
      </c>
      <c r="G610" s="12">
        <v>2025</v>
      </c>
      <c r="H610" s="12">
        <v>2030</v>
      </c>
      <c r="I610" s="12"/>
      <c r="J610" s="12">
        <v>2030</v>
      </c>
      <c r="K610" s="12">
        <v>1730</v>
      </c>
      <c r="L610" s="12">
        <v>2030</v>
      </c>
      <c r="M610" s="12">
        <v>2089</v>
      </c>
      <c r="N610" s="12">
        <v>2090</v>
      </c>
      <c r="O610" s="12">
        <v>2090</v>
      </c>
      <c r="P610" s="12">
        <v>959</v>
      </c>
      <c r="Q610" s="186">
        <f t="shared" si="61"/>
        <v>0.45885167464114834</v>
      </c>
      <c r="R610" s="12"/>
      <c r="S610" s="12">
        <v>2090</v>
      </c>
      <c r="T610" s="12">
        <v>2090</v>
      </c>
      <c r="U610" s="12"/>
      <c r="V610" s="12"/>
      <c r="W610" s="32">
        <f t="shared" si="58"/>
        <v>2090</v>
      </c>
    </row>
    <row r="611" spans="1:23" ht="24" hidden="1">
      <c r="A611" s="8"/>
      <c r="B611" s="8"/>
      <c r="C611" s="26">
        <v>4358</v>
      </c>
      <c r="D611" s="27" t="s">
        <v>38</v>
      </c>
      <c r="E611" s="11"/>
      <c r="F611" s="11"/>
      <c r="G611" s="12"/>
      <c r="H611" s="12"/>
      <c r="I611" s="12"/>
      <c r="J611" s="12"/>
      <c r="K611" s="12"/>
      <c r="L611" s="12"/>
      <c r="M611" s="12"/>
      <c r="N611" s="12">
        <v>739</v>
      </c>
      <c r="O611" s="12"/>
      <c r="P611" s="12"/>
      <c r="Q611" s="186"/>
      <c r="R611" s="12"/>
      <c r="S611" s="12"/>
      <c r="T611" s="12">
        <v>0</v>
      </c>
      <c r="U611" s="12"/>
      <c r="V611" s="12"/>
      <c r="W611" s="32">
        <f t="shared" si="58"/>
        <v>0</v>
      </c>
    </row>
    <row r="612" spans="1:23" ht="24" hidden="1">
      <c r="A612" s="8"/>
      <c r="B612" s="8"/>
      <c r="C612" s="26">
        <v>4359</v>
      </c>
      <c r="D612" s="27" t="s">
        <v>38</v>
      </c>
      <c r="E612" s="11"/>
      <c r="F612" s="11"/>
      <c r="G612" s="12"/>
      <c r="H612" s="12"/>
      <c r="I612" s="12"/>
      <c r="J612" s="12"/>
      <c r="K612" s="12"/>
      <c r="L612" s="12"/>
      <c r="M612" s="12"/>
      <c r="N612" s="12">
        <v>130</v>
      </c>
      <c r="O612" s="12"/>
      <c r="P612" s="12"/>
      <c r="Q612" s="186"/>
      <c r="R612" s="12"/>
      <c r="S612" s="12"/>
      <c r="T612" s="12">
        <v>0</v>
      </c>
      <c r="U612" s="12"/>
      <c r="V612" s="12"/>
      <c r="W612" s="32">
        <f aca="true" t="shared" si="62" ref="W612:W675">T612+U612-V612</f>
        <v>0</v>
      </c>
    </row>
    <row r="613" spans="1:23" ht="36" hidden="1">
      <c r="A613" s="8"/>
      <c r="B613" s="8"/>
      <c r="C613" s="26">
        <v>4368</v>
      </c>
      <c r="D613" s="27" t="s">
        <v>39</v>
      </c>
      <c r="E613" s="11"/>
      <c r="F613" s="11"/>
      <c r="G613" s="12"/>
      <c r="H613" s="12"/>
      <c r="I613" s="12"/>
      <c r="J613" s="12"/>
      <c r="K613" s="12"/>
      <c r="L613" s="12"/>
      <c r="M613" s="12"/>
      <c r="N613" s="12">
        <v>2489</v>
      </c>
      <c r="O613" s="12"/>
      <c r="P613" s="12"/>
      <c r="Q613" s="186"/>
      <c r="R613" s="12"/>
      <c r="S613" s="12"/>
      <c r="T613" s="12">
        <v>0</v>
      </c>
      <c r="U613" s="12"/>
      <c r="V613" s="12"/>
      <c r="W613" s="32">
        <f t="shared" si="62"/>
        <v>0</v>
      </c>
    </row>
    <row r="614" spans="1:23" ht="36" hidden="1">
      <c r="A614" s="8"/>
      <c r="B614" s="8"/>
      <c r="C614" s="26">
        <v>4369</v>
      </c>
      <c r="D614" s="27" t="s">
        <v>39</v>
      </c>
      <c r="E614" s="11"/>
      <c r="F614" s="11"/>
      <c r="G614" s="12"/>
      <c r="H614" s="12"/>
      <c r="I614" s="12"/>
      <c r="J614" s="12"/>
      <c r="K614" s="12"/>
      <c r="L614" s="12"/>
      <c r="M614" s="12"/>
      <c r="N614" s="12">
        <v>439</v>
      </c>
      <c r="O614" s="12"/>
      <c r="P614" s="12"/>
      <c r="Q614" s="186"/>
      <c r="R614" s="12"/>
      <c r="S614" s="12"/>
      <c r="T614" s="12">
        <v>0</v>
      </c>
      <c r="U614" s="12"/>
      <c r="V614" s="12"/>
      <c r="W614" s="32">
        <f t="shared" si="62"/>
        <v>0</v>
      </c>
    </row>
    <row r="615" spans="1:23" ht="36">
      <c r="A615" s="8"/>
      <c r="B615" s="8"/>
      <c r="C615" s="26">
        <v>4370</v>
      </c>
      <c r="D615" s="27" t="s">
        <v>135</v>
      </c>
      <c r="E615" s="11">
        <v>6110</v>
      </c>
      <c r="F615" s="11">
        <v>6110</v>
      </c>
      <c r="G615" s="12">
        <v>6250</v>
      </c>
      <c r="H615" s="12">
        <v>6250</v>
      </c>
      <c r="I615" s="12"/>
      <c r="J615" s="12">
        <v>6250</v>
      </c>
      <c r="K615" s="12">
        <v>6250</v>
      </c>
      <c r="L615" s="12">
        <v>6250</v>
      </c>
      <c r="M615" s="12">
        <v>6431</v>
      </c>
      <c r="N615" s="12">
        <v>6430</v>
      </c>
      <c r="O615" s="12">
        <v>6430</v>
      </c>
      <c r="P615" s="12">
        <v>1107</v>
      </c>
      <c r="Q615" s="186">
        <f t="shared" si="61"/>
        <v>0.17216174183514774</v>
      </c>
      <c r="R615" s="12"/>
      <c r="S615" s="12">
        <v>4330</v>
      </c>
      <c r="T615" s="12">
        <v>3330</v>
      </c>
      <c r="U615" s="12"/>
      <c r="V615" s="12"/>
      <c r="W615" s="32">
        <f t="shared" si="62"/>
        <v>3330</v>
      </c>
    </row>
    <row r="616" spans="1:23" ht="36" hidden="1">
      <c r="A616" s="8"/>
      <c r="B616" s="8"/>
      <c r="C616" s="26">
        <v>4378</v>
      </c>
      <c r="D616" s="27" t="s">
        <v>135</v>
      </c>
      <c r="E616" s="11"/>
      <c r="F616" s="11"/>
      <c r="G616" s="12"/>
      <c r="H616" s="12"/>
      <c r="I616" s="12"/>
      <c r="J616" s="12"/>
      <c r="K616" s="12"/>
      <c r="L616" s="12"/>
      <c r="M616" s="12"/>
      <c r="N616" s="12">
        <v>2959</v>
      </c>
      <c r="O616" s="12"/>
      <c r="P616" s="12"/>
      <c r="Q616" s="186"/>
      <c r="R616" s="12"/>
      <c r="S616" s="12"/>
      <c r="T616" s="12">
        <v>0</v>
      </c>
      <c r="U616" s="12"/>
      <c r="V616" s="12"/>
      <c r="W616" s="32">
        <f t="shared" si="62"/>
        <v>0</v>
      </c>
    </row>
    <row r="617" spans="1:23" ht="36" hidden="1">
      <c r="A617" s="8"/>
      <c r="B617" s="8"/>
      <c r="C617" s="26">
        <v>4379</v>
      </c>
      <c r="D617" s="27" t="s">
        <v>135</v>
      </c>
      <c r="E617" s="11"/>
      <c r="F617" s="11"/>
      <c r="G617" s="12"/>
      <c r="H617" s="12"/>
      <c r="I617" s="12"/>
      <c r="J617" s="12"/>
      <c r="K617" s="12"/>
      <c r="L617" s="12"/>
      <c r="M617" s="12"/>
      <c r="N617" s="12">
        <v>522</v>
      </c>
      <c r="O617" s="12"/>
      <c r="P617" s="12"/>
      <c r="Q617" s="186"/>
      <c r="R617" s="12"/>
      <c r="S617" s="12"/>
      <c r="T617" s="12">
        <v>0</v>
      </c>
      <c r="U617" s="12"/>
      <c r="V617" s="12"/>
      <c r="W617" s="32">
        <f t="shared" si="62"/>
        <v>0</v>
      </c>
    </row>
    <row r="618" spans="1:23" ht="12">
      <c r="A618" s="8"/>
      <c r="B618" s="8"/>
      <c r="C618" s="26">
        <v>4410</v>
      </c>
      <c r="D618" s="27" t="s">
        <v>42</v>
      </c>
      <c r="E618" s="11">
        <v>1070</v>
      </c>
      <c r="F618" s="11">
        <v>1070</v>
      </c>
      <c r="G618" s="12">
        <v>1200</v>
      </c>
      <c r="H618" s="12">
        <v>1100</v>
      </c>
      <c r="I618" s="12"/>
      <c r="J618" s="12">
        <v>1100</v>
      </c>
      <c r="K618" s="12">
        <v>1100</v>
      </c>
      <c r="L618" s="12">
        <v>1100</v>
      </c>
      <c r="M618" s="12">
        <v>1132</v>
      </c>
      <c r="N618" s="12">
        <v>1130</v>
      </c>
      <c r="O618" s="12">
        <v>1130</v>
      </c>
      <c r="P618" s="12">
        <v>213</v>
      </c>
      <c r="Q618" s="186">
        <f t="shared" si="61"/>
        <v>0.18849557522123894</v>
      </c>
      <c r="R618" s="12"/>
      <c r="S618" s="12">
        <v>1130</v>
      </c>
      <c r="T618" s="12">
        <v>1130</v>
      </c>
      <c r="U618" s="12"/>
      <c r="V618" s="12"/>
      <c r="W618" s="32">
        <f t="shared" si="62"/>
        <v>1130</v>
      </c>
    </row>
    <row r="619" spans="1:23" ht="12" hidden="1">
      <c r="A619" s="8"/>
      <c r="B619" s="8"/>
      <c r="C619" s="26">
        <v>4418</v>
      </c>
      <c r="D619" s="27" t="s">
        <v>42</v>
      </c>
      <c r="E619" s="11"/>
      <c r="F619" s="11"/>
      <c r="G619" s="12"/>
      <c r="H619" s="12"/>
      <c r="I619" s="12"/>
      <c r="J619" s="12"/>
      <c r="K619" s="12"/>
      <c r="L619" s="12"/>
      <c r="M619" s="12"/>
      <c r="N619" s="12">
        <v>1856</v>
      </c>
      <c r="O619" s="12"/>
      <c r="P619" s="12"/>
      <c r="Q619" s="186"/>
      <c r="R619" s="12"/>
      <c r="S619" s="12"/>
      <c r="T619" s="12">
        <v>0</v>
      </c>
      <c r="U619" s="12"/>
      <c r="V619" s="12"/>
      <c r="W619" s="32">
        <f t="shared" si="62"/>
        <v>0</v>
      </c>
    </row>
    <row r="620" spans="1:23" ht="12" hidden="1">
      <c r="A620" s="8"/>
      <c r="B620" s="8"/>
      <c r="C620" s="26">
        <v>4419</v>
      </c>
      <c r="D620" s="27" t="s">
        <v>42</v>
      </c>
      <c r="E620" s="11"/>
      <c r="F620" s="11"/>
      <c r="G620" s="12"/>
      <c r="H620" s="12"/>
      <c r="I620" s="12"/>
      <c r="J620" s="12"/>
      <c r="K620" s="12"/>
      <c r="L620" s="12"/>
      <c r="M620" s="12"/>
      <c r="N620" s="12">
        <v>328</v>
      </c>
      <c r="O620" s="12"/>
      <c r="P620" s="12"/>
      <c r="Q620" s="186"/>
      <c r="R620" s="12"/>
      <c r="S620" s="12"/>
      <c r="T620" s="12">
        <v>0</v>
      </c>
      <c r="U620" s="12"/>
      <c r="V620" s="12"/>
      <c r="W620" s="32">
        <f t="shared" si="62"/>
        <v>0</v>
      </c>
    </row>
    <row r="621" spans="1:23" ht="12">
      <c r="A621" s="8"/>
      <c r="B621" s="8"/>
      <c r="C621" s="26">
        <v>4430</v>
      </c>
      <c r="D621" s="27" t="s">
        <v>43</v>
      </c>
      <c r="E621" s="11">
        <v>200</v>
      </c>
      <c r="F621" s="11">
        <v>200</v>
      </c>
      <c r="G621" s="12">
        <v>205</v>
      </c>
      <c r="H621" s="12">
        <v>210</v>
      </c>
      <c r="I621" s="12"/>
      <c r="J621" s="12">
        <v>210</v>
      </c>
      <c r="K621" s="12">
        <v>210</v>
      </c>
      <c r="L621" s="12">
        <v>210</v>
      </c>
      <c r="M621" s="12">
        <v>216</v>
      </c>
      <c r="N621" s="12">
        <v>220</v>
      </c>
      <c r="O621" s="12">
        <v>220</v>
      </c>
      <c r="P621" s="12"/>
      <c r="Q621" s="186">
        <f t="shared" si="61"/>
        <v>0</v>
      </c>
      <c r="R621" s="12"/>
      <c r="S621" s="12">
        <v>220</v>
      </c>
      <c r="T621" s="12">
        <v>220</v>
      </c>
      <c r="U621" s="12"/>
      <c r="V621" s="12"/>
      <c r="W621" s="32">
        <f t="shared" si="62"/>
        <v>220</v>
      </c>
    </row>
    <row r="622" spans="1:23" ht="24">
      <c r="A622" s="8"/>
      <c r="B622" s="8"/>
      <c r="C622" s="26">
        <v>4440</v>
      </c>
      <c r="D622" s="27" t="s">
        <v>44</v>
      </c>
      <c r="E622" s="11">
        <v>79550</v>
      </c>
      <c r="F622" s="11">
        <v>79575</v>
      </c>
      <c r="G622" s="12">
        <v>74100</v>
      </c>
      <c r="H622" s="12">
        <v>74100</v>
      </c>
      <c r="I622" s="12"/>
      <c r="J622" s="12">
        <v>74100</v>
      </c>
      <c r="K622" s="12">
        <v>74176</v>
      </c>
      <c r="L622" s="12">
        <v>86311</v>
      </c>
      <c r="M622" s="12">
        <v>71170</v>
      </c>
      <c r="N622" s="12">
        <v>71160</v>
      </c>
      <c r="O622" s="12">
        <v>69769</v>
      </c>
      <c r="P622" s="12">
        <v>57135</v>
      </c>
      <c r="Q622" s="186">
        <f t="shared" si="61"/>
        <v>0.8189167108601241</v>
      </c>
      <c r="R622" s="12">
        <v>2059</v>
      </c>
      <c r="S622" s="12">
        <f>5000+64700</f>
        <v>69700</v>
      </c>
      <c r="T622" s="12">
        <v>71550</v>
      </c>
      <c r="U622" s="12">
        <f>U700</f>
        <v>524</v>
      </c>
      <c r="V622" s="12"/>
      <c r="W622" s="32">
        <f t="shared" si="62"/>
        <v>72074</v>
      </c>
    </row>
    <row r="623" spans="1:23" ht="12">
      <c r="A623" s="8"/>
      <c r="B623" s="8"/>
      <c r="C623" s="26">
        <v>4510</v>
      </c>
      <c r="D623" s="27" t="s">
        <v>91</v>
      </c>
      <c r="E623" s="11">
        <v>0</v>
      </c>
      <c r="F623" s="11">
        <v>0</v>
      </c>
      <c r="G623" s="12">
        <v>150</v>
      </c>
      <c r="H623" s="12">
        <v>150</v>
      </c>
      <c r="I623" s="12"/>
      <c r="J623" s="12">
        <v>150</v>
      </c>
      <c r="K623" s="12">
        <v>150</v>
      </c>
      <c r="L623" s="12">
        <v>150</v>
      </c>
      <c r="M623" s="12">
        <v>155</v>
      </c>
      <c r="N623" s="12">
        <v>160</v>
      </c>
      <c r="O623" s="12">
        <v>160</v>
      </c>
      <c r="P623" s="12">
        <v>118</v>
      </c>
      <c r="Q623" s="186">
        <f t="shared" si="61"/>
        <v>0.7375</v>
      </c>
      <c r="R623" s="12"/>
      <c r="S623" s="12">
        <v>160</v>
      </c>
      <c r="T623" s="12">
        <v>160</v>
      </c>
      <c r="U623" s="12"/>
      <c r="V623" s="12"/>
      <c r="W623" s="32">
        <f t="shared" si="62"/>
        <v>160</v>
      </c>
    </row>
    <row r="624" spans="1:23" ht="12">
      <c r="A624" s="8"/>
      <c r="B624" s="8"/>
      <c r="C624" s="26">
        <v>4480</v>
      </c>
      <c r="D624" s="27" t="s">
        <v>132</v>
      </c>
      <c r="E624" s="11">
        <v>0</v>
      </c>
      <c r="F624" s="11">
        <v>0</v>
      </c>
      <c r="G624" s="12">
        <v>150</v>
      </c>
      <c r="H624" s="12">
        <v>150</v>
      </c>
      <c r="I624" s="12"/>
      <c r="J624" s="12">
        <v>150</v>
      </c>
      <c r="K624" s="12">
        <v>150</v>
      </c>
      <c r="L624" s="12">
        <v>150</v>
      </c>
      <c r="M624" s="12">
        <v>155</v>
      </c>
      <c r="N624" s="12">
        <v>0</v>
      </c>
      <c r="O624" s="12">
        <v>346</v>
      </c>
      <c r="P624" s="12"/>
      <c r="Q624" s="186">
        <f t="shared" si="61"/>
        <v>0</v>
      </c>
      <c r="R624" s="12"/>
      <c r="S624" s="12">
        <v>650</v>
      </c>
      <c r="T624" s="12">
        <v>650</v>
      </c>
      <c r="U624" s="12"/>
      <c r="V624" s="12"/>
      <c r="W624" s="32">
        <f t="shared" si="62"/>
        <v>650</v>
      </c>
    </row>
    <row r="625" spans="1:23" ht="36">
      <c r="A625" s="8"/>
      <c r="B625" s="8"/>
      <c r="C625" s="26">
        <v>4700</v>
      </c>
      <c r="D625" s="27" t="s">
        <v>46</v>
      </c>
      <c r="E625" s="11"/>
      <c r="F625" s="11">
        <v>2000</v>
      </c>
      <c r="G625" s="12">
        <v>2046</v>
      </c>
      <c r="H625" s="12">
        <v>2050</v>
      </c>
      <c r="I625" s="12"/>
      <c r="J625" s="12">
        <v>2000</v>
      </c>
      <c r="K625" s="12">
        <v>2000</v>
      </c>
      <c r="L625" s="12">
        <v>2000</v>
      </c>
      <c r="M625" s="12">
        <v>2058</v>
      </c>
      <c r="N625" s="12">
        <v>2060</v>
      </c>
      <c r="O625" s="12">
        <v>2060</v>
      </c>
      <c r="P625" s="12">
        <v>760</v>
      </c>
      <c r="Q625" s="186">
        <f t="shared" si="61"/>
        <v>0.36893203883495146</v>
      </c>
      <c r="R625" s="12"/>
      <c r="S625" s="12">
        <v>2060</v>
      </c>
      <c r="T625" s="12">
        <v>3060</v>
      </c>
      <c r="U625" s="12"/>
      <c r="V625" s="12"/>
      <c r="W625" s="32">
        <f t="shared" si="62"/>
        <v>3060</v>
      </c>
    </row>
    <row r="626" spans="1:23" ht="36">
      <c r="A626" s="8"/>
      <c r="B626" s="8"/>
      <c r="C626" s="26">
        <v>4740</v>
      </c>
      <c r="D626" s="27" t="s">
        <v>73</v>
      </c>
      <c r="E626" s="11">
        <v>1020</v>
      </c>
      <c r="F626" s="11">
        <v>1170</v>
      </c>
      <c r="G626" s="12">
        <v>1050</v>
      </c>
      <c r="H626" s="12">
        <v>1050</v>
      </c>
      <c r="I626" s="12"/>
      <c r="J626" s="12">
        <v>1050</v>
      </c>
      <c r="K626" s="12">
        <v>1050</v>
      </c>
      <c r="L626" s="12">
        <v>1050</v>
      </c>
      <c r="M626" s="12">
        <v>1080</v>
      </c>
      <c r="N626" s="12">
        <v>1080</v>
      </c>
      <c r="O626" s="12">
        <v>1080</v>
      </c>
      <c r="P626" s="12">
        <v>129</v>
      </c>
      <c r="Q626" s="186">
        <f t="shared" si="61"/>
        <v>0.11944444444444445</v>
      </c>
      <c r="R626" s="12"/>
      <c r="S626" s="12">
        <v>1080</v>
      </c>
      <c r="T626" s="12">
        <v>1080</v>
      </c>
      <c r="U626" s="12"/>
      <c r="V626" s="12"/>
      <c r="W626" s="32">
        <f t="shared" si="62"/>
        <v>1080</v>
      </c>
    </row>
    <row r="627" spans="1:23" ht="36" hidden="1">
      <c r="A627" s="8"/>
      <c r="B627" s="8"/>
      <c r="C627" s="26">
        <v>4748</v>
      </c>
      <c r="D627" s="27" t="s">
        <v>73</v>
      </c>
      <c r="E627" s="11"/>
      <c r="F627" s="11"/>
      <c r="G627" s="12"/>
      <c r="H627" s="12"/>
      <c r="I627" s="12"/>
      <c r="J627" s="12"/>
      <c r="K627" s="12"/>
      <c r="L627" s="12"/>
      <c r="M627" s="12"/>
      <c r="N627" s="12">
        <v>5663</v>
      </c>
      <c r="O627" s="12"/>
      <c r="P627" s="12"/>
      <c r="Q627" s="186"/>
      <c r="R627" s="12"/>
      <c r="S627" s="12"/>
      <c r="T627" s="12">
        <v>0</v>
      </c>
      <c r="U627" s="12"/>
      <c r="V627" s="12"/>
      <c r="W627" s="32">
        <f t="shared" si="62"/>
        <v>0</v>
      </c>
    </row>
    <row r="628" spans="1:23" ht="36" hidden="1">
      <c r="A628" s="8"/>
      <c r="B628" s="8"/>
      <c r="C628" s="26">
        <v>4749</v>
      </c>
      <c r="D628" s="27" t="s">
        <v>73</v>
      </c>
      <c r="E628" s="11"/>
      <c r="F628" s="11"/>
      <c r="G628" s="12"/>
      <c r="H628" s="12"/>
      <c r="I628" s="12"/>
      <c r="J628" s="12"/>
      <c r="K628" s="12"/>
      <c r="L628" s="12"/>
      <c r="M628" s="12"/>
      <c r="N628" s="12">
        <v>999</v>
      </c>
      <c r="O628" s="12"/>
      <c r="P628" s="12"/>
      <c r="Q628" s="186"/>
      <c r="R628" s="12"/>
      <c r="S628" s="12"/>
      <c r="T628" s="12">
        <v>0</v>
      </c>
      <c r="U628" s="12"/>
      <c r="V628" s="12"/>
      <c r="W628" s="32">
        <f t="shared" si="62"/>
        <v>0</v>
      </c>
    </row>
    <row r="629" spans="1:23" ht="24">
      <c r="A629" s="8"/>
      <c r="B629" s="8"/>
      <c r="C629" s="26">
        <v>4750</v>
      </c>
      <c r="D629" s="27" t="s">
        <v>118</v>
      </c>
      <c r="E629" s="11">
        <v>5100</v>
      </c>
      <c r="F629" s="11">
        <v>10600</v>
      </c>
      <c r="G629" s="12">
        <v>10332</v>
      </c>
      <c r="H629" s="12">
        <v>10330</v>
      </c>
      <c r="I629" s="12"/>
      <c r="J629" s="12">
        <v>5220</v>
      </c>
      <c r="K629" s="12">
        <v>6026</v>
      </c>
      <c r="L629" s="12">
        <v>6026</v>
      </c>
      <c r="M629" s="12">
        <v>15500</v>
      </c>
      <c r="N629" s="12">
        <v>6200</v>
      </c>
      <c r="O629" s="12">
        <v>6200</v>
      </c>
      <c r="P629" s="12">
        <v>3162</v>
      </c>
      <c r="Q629" s="186">
        <f t="shared" si="61"/>
        <v>0.51</v>
      </c>
      <c r="R629" s="12"/>
      <c r="S629" s="12">
        <v>7200</v>
      </c>
      <c r="T629" s="12">
        <v>7200</v>
      </c>
      <c r="U629" s="12"/>
      <c r="V629" s="12"/>
      <c r="W629" s="32">
        <f t="shared" si="62"/>
        <v>7200</v>
      </c>
    </row>
    <row r="630" spans="1:23" ht="28.5" customHeight="1" hidden="1">
      <c r="A630" s="8"/>
      <c r="B630" s="8"/>
      <c r="C630" s="26">
        <v>6050</v>
      </c>
      <c r="D630" s="10" t="s">
        <v>155</v>
      </c>
      <c r="E630" s="11"/>
      <c r="F630" s="11"/>
      <c r="G630" s="12"/>
      <c r="H630" s="12"/>
      <c r="I630" s="12"/>
      <c r="J630" s="12">
        <v>0</v>
      </c>
      <c r="K630" s="12">
        <v>110000</v>
      </c>
      <c r="L630" s="12">
        <v>110000</v>
      </c>
      <c r="M630" s="12">
        <v>0</v>
      </c>
      <c r="N630" s="12">
        <v>0</v>
      </c>
      <c r="O630" s="12">
        <v>0</v>
      </c>
      <c r="P630" s="12">
        <v>0</v>
      </c>
      <c r="Q630" s="186"/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32">
        <f t="shared" si="62"/>
        <v>0</v>
      </c>
    </row>
    <row r="631" spans="1:23" ht="38.25" customHeight="1" hidden="1">
      <c r="A631" s="8"/>
      <c r="B631" s="8"/>
      <c r="C631" s="9">
        <v>6060</v>
      </c>
      <c r="D631" s="10" t="s">
        <v>153</v>
      </c>
      <c r="E631" s="11">
        <v>0</v>
      </c>
      <c r="F631" s="11">
        <v>0</v>
      </c>
      <c r="G631" s="12">
        <v>15000</v>
      </c>
      <c r="H631" s="12">
        <v>15000</v>
      </c>
      <c r="I631" s="12"/>
      <c r="J631" s="12">
        <v>0</v>
      </c>
      <c r="K631" s="12">
        <v>13100</v>
      </c>
      <c r="L631" s="12">
        <v>13100</v>
      </c>
      <c r="M631" s="12">
        <v>0</v>
      </c>
      <c r="N631" s="12">
        <v>0</v>
      </c>
      <c r="O631" s="12">
        <v>0</v>
      </c>
      <c r="P631" s="12">
        <v>0</v>
      </c>
      <c r="Q631" s="186"/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32">
        <f t="shared" si="62"/>
        <v>0</v>
      </c>
    </row>
    <row r="632" spans="1:23" ht="37.5" customHeight="1" hidden="1">
      <c r="A632" s="8"/>
      <c r="B632" s="8"/>
      <c r="C632" s="9">
        <v>4758</v>
      </c>
      <c r="D632" s="27" t="s">
        <v>118</v>
      </c>
      <c r="E632" s="11"/>
      <c r="F632" s="11"/>
      <c r="G632" s="12"/>
      <c r="H632" s="12"/>
      <c r="I632" s="12"/>
      <c r="J632" s="12"/>
      <c r="K632" s="12"/>
      <c r="L632" s="12"/>
      <c r="M632" s="12"/>
      <c r="N632" s="12">
        <v>3995</v>
      </c>
      <c r="O632" s="12"/>
      <c r="P632" s="12"/>
      <c r="Q632" s="186"/>
      <c r="R632" s="12"/>
      <c r="S632" s="12"/>
      <c r="T632" s="12">
        <v>0</v>
      </c>
      <c r="U632" s="12"/>
      <c r="V632" s="12"/>
      <c r="W632" s="32">
        <f t="shared" si="62"/>
        <v>0</v>
      </c>
    </row>
    <row r="633" spans="1:23" ht="38.25" customHeight="1" hidden="1">
      <c r="A633" s="8"/>
      <c r="B633" s="8"/>
      <c r="C633" s="9">
        <v>4759</v>
      </c>
      <c r="D633" s="27" t="s">
        <v>118</v>
      </c>
      <c r="E633" s="11"/>
      <c r="F633" s="11"/>
      <c r="G633" s="12"/>
      <c r="H633" s="12"/>
      <c r="I633" s="12"/>
      <c r="J633" s="12"/>
      <c r="K633" s="12"/>
      <c r="L633" s="12"/>
      <c r="M633" s="12"/>
      <c r="N633" s="12">
        <v>645</v>
      </c>
      <c r="O633" s="12"/>
      <c r="P633" s="12"/>
      <c r="Q633" s="186"/>
      <c r="R633" s="12"/>
      <c r="S633" s="12"/>
      <c r="T633" s="12">
        <v>0</v>
      </c>
      <c r="U633" s="12"/>
      <c r="V633" s="12"/>
      <c r="W633" s="32">
        <f t="shared" si="62"/>
        <v>0</v>
      </c>
    </row>
    <row r="634" spans="1:23" ht="24">
      <c r="A634" s="8"/>
      <c r="B634" s="8"/>
      <c r="C634" s="88" t="s">
        <v>156</v>
      </c>
      <c r="D634" s="42" t="s">
        <v>157</v>
      </c>
      <c r="E634" s="11">
        <f>SUM(E635:E637)</f>
        <v>19240</v>
      </c>
      <c r="F634" s="11">
        <f>SUM(F635:F637)</f>
        <v>19240</v>
      </c>
      <c r="G634" s="12">
        <f>SUM(G635:G637)</f>
        <v>20190</v>
      </c>
      <c r="H634" s="12">
        <f>SUM(H635:H637)</f>
        <v>20190</v>
      </c>
      <c r="I634" s="12"/>
      <c r="J634" s="12">
        <f aca="true" t="shared" si="63" ref="J634:P634">SUM(J635:J637)</f>
        <v>20190</v>
      </c>
      <c r="K634" s="12">
        <f t="shared" si="63"/>
        <v>20190</v>
      </c>
      <c r="L634" s="12">
        <f t="shared" si="63"/>
        <v>20190</v>
      </c>
      <c r="M634" s="12">
        <f t="shared" si="63"/>
        <v>22760</v>
      </c>
      <c r="N634" s="12">
        <v>22760</v>
      </c>
      <c r="O634" s="12">
        <v>22760</v>
      </c>
      <c r="P634" s="12">
        <f t="shared" si="63"/>
        <v>0</v>
      </c>
      <c r="Q634" s="186">
        <f t="shared" si="61"/>
        <v>0</v>
      </c>
      <c r="R634" s="12">
        <f>SUM(R635:R637)</f>
        <v>22760</v>
      </c>
      <c r="S634" s="12">
        <f>SUM(S635:S637)</f>
        <v>26420</v>
      </c>
      <c r="T634" s="12">
        <v>26420</v>
      </c>
      <c r="U634" s="12">
        <f>SUM(U635:U637)</f>
        <v>0</v>
      </c>
      <c r="V634" s="12">
        <f>SUM(V635:V637)</f>
        <v>0</v>
      </c>
      <c r="W634" s="32">
        <f t="shared" si="62"/>
        <v>26420</v>
      </c>
    </row>
    <row r="635" spans="1:23" ht="24">
      <c r="A635" s="8"/>
      <c r="B635" s="8"/>
      <c r="C635" s="26">
        <v>4010</v>
      </c>
      <c r="D635" s="27" t="s">
        <v>29</v>
      </c>
      <c r="E635" s="11">
        <v>15990</v>
      </c>
      <c r="F635" s="11">
        <v>15990</v>
      </c>
      <c r="G635" s="12">
        <v>17190</v>
      </c>
      <c r="H635" s="12">
        <v>17190</v>
      </c>
      <c r="I635" s="12"/>
      <c r="J635" s="12">
        <v>17190</v>
      </c>
      <c r="K635" s="12">
        <v>17190</v>
      </c>
      <c r="L635" s="12">
        <v>17190</v>
      </c>
      <c r="M635" s="12">
        <v>19340</v>
      </c>
      <c r="N635" s="12">
        <v>19340</v>
      </c>
      <c r="O635" s="12">
        <v>19340</v>
      </c>
      <c r="P635" s="12"/>
      <c r="Q635" s="186">
        <f t="shared" si="61"/>
        <v>0</v>
      </c>
      <c r="R635" s="12">
        <v>19340</v>
      </c>
      <c r="S635" s="12">
        <v>22460</v>
      </c>
      <c r="T635" s="12">
        <v>22460</v>
      </c>
      <c r="U635" s="12"/>
      <c r="V635" s="12"/>
      <c r="W635" s="32">
        <f t="shared" si="62"/>
        <v>22460</v>
      </c>
    </row>
    <row r="636" spans="1:23" ht="24">
      <c r="A636" s="8"/>
      <c r="B636" s="8"/>
      <c r="C636" s="26">
        <v>4110</v>
      </c>
      <c r="D636" s="27" t="s">
        <v>113</v>
      </c>
      <c r="E636" s="55">
        <v>2860</v>
      </c>
      <c r="F636" s="55">
        <v>2860</v>
      </c>
      <c r="G636" s="56">
        <v>2580</v>
      </c>
      <c r="H636" s="56">
        <v>2580</v>
      </c>
      <c r="I636" s="56"/>
      <c r="J636" s="56">
        <v>2580</v>
      </c>
      <c r="K636" s="56">
        <v>2580</v>
      </c>
      <c r="L636" s="56">
        <v>2580</v>
      </c>
      <c r="M636" s="56">
        <v>2940</v>
      </c>
      <c r="N636" s="56">
        <v>2940</v>
      </c>
      <c r="O636" s="56">
        <v>2940</v>
      </c>
      <c r="P636" s="56"/>
      <c r="Q636" s="186">
        <f t="shared" si="61"/>
        <v>0</v>
      </c>
      <c r="R636" s="56">
        <v>2940</v>
      </c>
      <c r="S636" s="56">
        <v>3410</v>
      </c>
      <c r="T636" s="56">
        <v>3410</v>
      </c>
      <c r="U636" s="56"/>
      <c r="V636" s="56"/>
      <c r="W636" s="32">
        <f t="shared" si="62"/>
        <v>3410</v>
      </c>
    </row>
    <row r="637" spans="1:23" ht="12">
      <c r="A637" s="8"/>
      <c r="B637" s="8"/>
      <c r="C637" s="26">
        <v>4120</v>
      </c>
      <c r="D637" s="27" t="s">
        <v>32</v>
      </c>
      <c r="E637" s="55">
        <v>390</v>
      </c>
      <c r="F637" s="55">
        <v>390</v>
      </c>
      <c r="G637" s="56">
        <v>420</v>
      </c>
      <c r="H637" s="56">
        <v>420</v>
      </c>
      <c r="I637" s="56"/>
      <c r="J637" s="56">
        <v>420</v>
      </c>
      <c r="K637" s="56">
        <v>420</v>
      </c>
      <c r="L637" s="56">
        <v>420</v>
      </c>
      <c r="M637" s="56">
        <v>480</v>
      </c>
      <c r="N637" s="56">
        <v>480</v>
      </c>
      <c r="O637" s="56">
        <v>480</v>
      </c>
      <c r="P637" s="56"/>
      <c r="Q637" s="186">
        <f t="shared" si="61"/>
        <v>0</v>
      </c>
      <c r="R637" s="56">
        <v>480</v>
      </c>
      <c r="S637" s="56">
        <v>550</v>
      </c>
      <c r="T637" s="56">
        <v>550</v>
      </c>
      <c r="U637" s="56"/>
      <c r="V637" s="56"/>
      <c r="W637" s="32">
        <f t="shared" si="62"/>
        <v>550</v>
      </c>
    </row>
    <row r="638" spans="1:23" ht="24">
      <c r="A638" s="8"/>
      <c r="B638" s="8"/>
      <c r="C638" s="26"/>
      <c r="D638" s="42" t="s">
        <v>158</v>
      </c>
      <c r="E638" s="11">
        <f>SUM(E639:E645)</f>
        <v>123000</v>
      </c>
      <c r="F638" s="11">
        <f>SUM(F639:F645)</f>
        <v>68230</v>
      </c>
      <c r="G638" s="12">
        <f>SUM(G639:G645)</f>
        <v>137155</v>
      </c>
      <c r="H638" s="12">
        <f>SUM(H639:H645)</f>
        <v>125180</v>
      </c>
      <c r="I638" s="12"/>
      <c r="J638" s="12">
        <f>SUM(J639:J645)</f>
        <v>138380</v>
      </c>
      <c r="K638" s="12">
        <f>SUM(K639:K645)</f>
        <v>69336</v>
      </c>
      <c r="L638" s="12">
        <f>SUM(L639:L645)</f>
        <v>50141</v>
      </c>
      <c r="M638" s="12">
        <v>138670</v>
      </c>
      <c r="N638" s="12">
        <v>140670</v>
      </c>
      <c r="O638" s="12">
        <v>76209</v>
      </c>
      <c r="P638" s="12">
        <f>SUM(P639:P645)</f>
        <v>26656</v>
      </c>
      <c r="Q638" s="186">
        <f t="shared" si="61"/>
        <v>0.34977496096261596</v>
      </c>
      <c r="R638" s="12">
        <f>SUM(R639:R645)</f>
        <v>77023</v>
      </c>
      <c r="S638" s="12">
        <f>SUM(S639:S645)</f>
        <v>149810</v>
      </c>
      <c r="T638" s="12">
        <v>55438</v>
      </c>
      <c r="U638" s="12">
        <f>SUM(U639:U645)</f>
        <v>0</v>
      </c>
      <c r="V638" s="12">
        <f>SUM(V639:V645)</f>
        <v>0</v>
      </c>
      <c r="W638" s="32">
        <f t="shared" si="62"/>
        <v>55438</v>
      </c>
    </row>
    <row r="639" spans="1:23" ht="24">
      <c r="A639" s="8"/>
      <c r="B639" s="8"/>
      <c r="C639" s="26">
        <v>4010</v>
      </c>
      <c r="D639" s="27" t="s">
        <v>29</v>
      </c>
      <c r="E639" s="11">
        <v>30200</v>
      </c>
      <c r="F639" s="11">
        <v>31710</v>
      </c>
      <c r="G639" s="12">
        <v>37440</v>
      </c>
      <c r="H639" s="12">
        <v>37440</v>
      </c>
      <c r="I639" s="12"/>
      <c r="J639" s="12">
        <v>58080</v>
      </c>
      <c r="K639" s="12">
        <v>58080</v>
      </c>
      <c r="L639" s="12">
        <v>39135</v>
      </c>
      <c r="M639" s="12">
        <v>61220</v>
      </c>
      <c r="N639" s="12">
        <v>61220</v>
      </c>
      <c r="O639" s="12">
        <v>61220</v>
      </c>
      <c r="P639" s="12">
        <v>19898</v>
      </c>
      <c r="Q639" s="186">
        <f t="shared" si="61"/>
        <v>0.3250245017967984</v>
      </c>
      <c r="R639" s="12">
        <v>61637</v>
      </c>
      <c r="S639" s="12">
        <v>73610</v>
      </c>
      <c r="T639" s="12">
        <v>42938</v>
      </c>
      <c r="U639" s="12"/>
      <c r="V639" s="12"/>
      <c r="W639" s="32">
        <f t="shared" si="62"/>
        <v>42938</v>
      </c>
    </row>
    <row r="640" spans="1:23" ht="12">
      <c r="A640" s="8"/>
      <c r="B640" s="8"/>
      <c r="C640" s="26">
        <v>4040</v>
      </c>
      <c r="D640" s="27" t="s">
        <v>30</v>
      </c>
      <c r="E640" s="11">
        <v>2600</v>
      </c>
      <c r="F640" s="11">
        <v>2600</v>
      </c>
      <c r="G640" s="12">
        <v>2840</v>
      </c>
      <c r="H640" s="12">
        <v>2840</v>
      </c>
      <c r="I640" s="12"/>
      <c r="J640" s="12">
        <v>2840</v>
      </c>
      <c r="K640" s="12">
        <v>2840</v>
      </c>
      <c r="L640" s="12">
        <v>2830</v>
      </c>
      <c r="M640" s="12">
        <v>3120</v>
      </c>
      <c r="N640" s="12">
        <v>3120</v>
      </c>
      <c r="O640" s="12">
        <v>3120</v>
      </c>
      <c r="P640" s="12">
        <v>3115</v>
      </c>
      <c r="Q640" s="186">
        <f t="shared" si="61"/>
        <v>0.9983974358974359</v>
      </c>
      <c r="R640" s="12">
        <v>264</v>
      </c>
      <c r="S640" s="12">
        <v>3330</v>
      </c>
      <c r="T640" s="12">
        <v>3330</v>
      </c>
      <c r="U640" s="12"/>
      <c r="V640" s="12"/>
      <c r="W640" s="32">
        <f t="shared" si="62"/>
        <v>3330</v>
      </c>
    </row>
    <row r="641" spans="1:23" ht="24">
      <c r="A641" s="8"/>
      <c r="B641" s="8"/>
      <c r="C641" s="26">
        <v>4110</v>
      </c>
      <c r="D641" s="27" t="s">
        <v>113</v>
      </c>
      <c r="E641" s="11">
        <v>5600</v>
      </c>
      <c r="F641" s="11">
        <v>5870</v>
      </c>
      <c r="G641" s="12">
        <v>5690</v>
      </c>
      <c r="H641" s="12">
        <v>5690</v>
      </c>
      <c r="I641" s="12"/>
      <c r="J641" s="12">
        <v>6470</v>
      </c>
      <c r="K641" s="12">
        <v>6470</v>
      </c>
      <c r="L641" s="12">
        <v>6260</v>
      </c>
      <c r="M641" s="12">
        <v>6770</v>
      </c>
      <c r="N641" s="12">
        <v>6770</v>
      </c>
      <c r="O641" s="12">
        <v>6770</v>
      </c>
      <c r="P641" s="12">
        <v>3137</v>
      </c>
      <c r="Q641" s="186">
        <f t="shared" si="61"/>
        <v>0.4633677991137371</v>
      </c>
      <c r="R641" s="12">
        <v>3120</v>
      </c>
      <c r="S641" s="12">
        <v>7030</v>
      </c>
      <c r="T641" s="12">
        <v>7030</v>
      </c>
      <c r="U641" s="12"/>
      <c r="V641" s="12"/>
      <c r="W641" s="32">
        <f t="shared" si="62"/>
        <v>7030</v>
      </c>
    </row>
    <row r="642" spans="1:23" ht="12">
      <c r="A642" s="8"/>
      <c r="B642" s="8"/>
      <c r="C642" s="26">
        <v>4120</v>
      </c>
      <c r="D642" s="27" t="s">
        <v>32</v>
      </c>
      <c r="E642" s="11">
        <v>800</v>
      </c>
      <c r="F642" s="11">
        <v>840</v>
      </c>
      <c r="G642" s="12">
        <v>920</v>
      </c>
      <c r="H642" s="12">
        <v>920</v>
      </c>
      <c r="I642" s="12"/>
      <c r="J642" s="12">
        <v>1040</v>
      </c>
      <c r="K642" s="12">
        <v>1040</v>
      </c>
      <c r="L642" s="12">
        <v>1010</v>
      </c>
      <c r="M642" s="12">
        <v>1100</v>
      </c>
      <c r="N642" s="12">
        <v>1100</v>
      </c>
      <c r="O642" s="12">
        <v>1100</v>
      </c>
      <c r="P642" s="12">
        <v>506</v>
      </c>
      <c r="Q642" s="186">
        <f t="shared" si="61"/>
        <v>0.46</v>
      </c>
      <c r="R642" s="12">
        <v>6833</v>
      </c>
      <c r="S642" s="12">
        <v>1140</v>
      </c>
      <c r="T642" s="12">
        <v>1140</v>
      </c>
      <c r="U642" s="12"/>
      <c r="V642" s="12"/>
      <c r="W642" s="32">
        <f t="shared" si="62"/>
        <v>1140</v>
      </c>
    </row>
    <row r="643" spans="1:23" ht="12" hidden="1">
      <c r="A643" s="8"/>
      <c r="B643" s="8"/>
      <c r="C643" s="26">
        <v>4170</v>
      </c>
      <c r="D643" s="27" t="s">
        <v>210</v>
      </c>
      <c r="E643" s="11"/>
      <c r="F643" s="11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86"/>
      <c r="R643" s="12">
        <v>1110</v>
      </c>
      <c r="S643" s="12"/>
      <c r="T643" s="12">
        <v>0</v>
      </c>
      <c r="U643" s="12"/>
      <c r="V643" s="12"/>
      <c r="W643" s="32">
        <f t="shared" si="62"/>
        <v>0</v>
      </c>
    </row>
    <row r="644" spans="1:23" ht="12" hidden="1">
      <c r="A644" s="8"/>
      <c r="B644" s="8"/>
      <c r="C644" s="26">
        <v>4210</v>
      </c>
      <c r="D644" s="27" t="s">
        <v>34</v>
      </c>
      <c r="E644" s="11">
        <f>ROUND(14000*101.9%,-1)-6120</f>
        <v>8150</v>
      </c>
      <c r="F644" s="11">
        <f>ROUND(14000*101.9%,-1)-6120</f>
        <v>8150</v>
      </c>
      <c r="G644" s="12">
        <v>20315</v>
      </c>
      <c r="H644" s="12">
        <v>8340</v>
      </c>
      <c r="I644" s="12"/>
      <c r="J644" s="12"/>
      <c r="K644" s="12"/>
      <c r="L644" s="12"/>
      <c r="M644" s="12"/>
      <c r="N644" s="12">
        <v>2000</v>
      </c>
      <c r="O644" s="12">
        <v>2000</v>
      </c>
      <c r="P644" s="12"/>
      <c r="Q644" s="186">
        <f t="shared" si="61"/>
        <v>0</v>
      </c>
      <c r="R644" s="12">
        <v>2000</v>
      </c>
      <c r="S644" s="12"/>
      <c r="T644" s="12">
        <v>0</v>
      </c>
      <c r="U644" s="12"/>
      <c r="V644" s="12"/>
      <c r="W644" s="32">
        <f t="shared" si="62"/>
        <v>0</v>
      </c>
    </row>
    <row r="645" spans="1:23" ht="24">
      <c r="A645" s="8"/>
      <c r="B645" s="8"/>
      <c r="C645" s="26">
        <v>4440</v>
      </c>
      <c r="D645" s="27" t="s">
        <v>44</v>
      </c>
      <c r="E645" s="11">
        <v>75650</v>
      </c>
      <c r="F645" s="11">
        <v>19060</v>
      </c>
      <c r="G645" s="12">
        <v>69950</v>
      </c>
      <c r="H645" s="12">
        <v>69950</v>
      </c>
      <c r="I645" s="12"/>
      <c r="J645" s="12">
        <v>69950</v>
      </c>
      <c r="K645" s="12">
        <v>906</v>
      </c>
      <c r="L645" s="12">
        <v>906</v>
      </c>
      <c r="M645" s="12">
        <v>66460</v>
      </c>
      <c r="N645" s="12">
        <v>66460</v>
      </c>
      <c r="O645" s="12">
        <v>1999</v>
      </c>
      <c r="P645" s="12"/>
      <c r="Q645" s="186">
        <f t="shared" si="61"/>
        <v>0</v>
      </c>
      <c r="R645" s="12">
        <v>2059</v>
      </c>
      <c r="S645" s="12">
        <v>64700</v>
      </c>
      <c r="T645" s="12">
        <v>1000</v>
      </c>
      <c r="U645" s="12"/>
      <c r="V645" s="12"/>
      <c r="W645" s="32">
        <f t="shared" si="62"/>
        <v>1000</v>
      </c>
    </row>
    <row r="646" spans="1:23" ht="18" customHeight="1">
      <c r="A646" s="8"/>
      <c r="B646" s="8"/>
      <c r="C646" s="26"/>
      <c r="D646" s="42" t="s">
        <v>149</v>
      </c>
      <c r="E646" s="87">
        <f>SUM(E647:E657)</f>
        <v>2684730</v>
      </c>
      <c r="F646" s="87">
        <f>SUM(F647:F657)</f>
        <v>2740730</v>
      </c>
      <c r="G646" s="87">
        <f>SUM(G647:G657)</f>
        <v>3683670</v>
      </c>
      <c r="H646" s="87">
        <f>SUM(H647:H657)</f>
        <v>3471370</v>
      </c>
      <c r="I646" s="87"/>
      <c r="J646" s="87">
        <f>SUM(J647:J647)</f>
        <v>0</v>
      </c>
      <c r="K646" s="87">
        <f>SUM(K647:K647)</f>
        <v>44850</v>
      </c>
      <c r="L646" s="87">
        <f>SUM(L647:L647)</f>
        <v>44850</v>
      </c>
      <c r="M646" s="87">
        <f>SUM(M647:M647)</f>
        <v>0</v>
      </c>
      <c r="N646" s="92">
        <v>0</v>
      </c>
      <c r="O646" s="87">
        <v>38743</v>
      </c>
      <c r="P646" s="87">
        <f>SUM(P647:P647)</f>
        <v>29058</v>
      </c>
      <c r="Q646" s="186">
        <f t="shared" si="61"/>
        <v>0.7500193583356993</v>
      </c>
      <c r="R646" s="87">
        <f>SUM(R647:R647)</f>
        <v>38743</v>
      </c>
      <c r="S646" s="87">
        <f>SUM(S647:S647)</f>
        <v>0</v>
      </c>
      <c r="T646" s="87">
        <v>39900</v>
      </c>
      <c r="U646" s="87">
        <f>SUM(U647:U647)</f>
        <v>0</v>
      </c>
      <c r="V646" s="87">
        <f>SUM(V647:V647)</f>
        <v>0</v>
      </c>
      <c r="W646" s="32">
        <f t="shared" si="62"/>
        <v>39900</v>
      </c>
    </row>
    <row r="647" spans="1:23" ht="28.5" customHeight="1">
      <c r="A647" s="8"/>
      <c r="B647" s="8"/>
      <c r="C647" s="26">
        <v>4440</v>
      </c>
      <c r="D647" s="27" t="s">
        <v>44</v>
      </c>
      <c r="E647" s="11">
        <v>1600</v>
      </c>
      <c r="F647" s="11">
        <v>1600</v>
      </c>
      <c r="G647" s="12">
        <v>1636</v>
      </c>
      <c r="H647" s="12">
        <v>1640</v>
      </c>
      <c r="I647" s="12"/>
      <c r="J647" s="12"/>
      <c r="K647" s="12">
        <v>44850</v>
      </c>
      <c r="L647" s="12">
        <v>44850</v>
      </c>
      <c r="M647" s="12">
        <v>0</v>
      </c>
      <c r="N647" s="12">
        <v>0</v>
      </c>
      <c r="O647" s="12">
        <v>38743</v>
      </c>
      <c r="P647" s="12">
        <v>29058</v>
      </c>
      <c r="Q647" s="186">
        <f t="shared" si="61"/>
        <v>0.7500193583356993</v>
      </c>
      <c r="R647" s="12">
        <v>38743</v>
      </c>
      <c r="S647" s="12"/>
      <c r="T647" s="12">
        <v>39900</v>
      </c>
      <c r="U647" s="12"/>
      <c r="V647" s="12"/>
      <c r="W647" s="32">
        <f t="shared" si="62"/>
        <v>39900</v>
      </c>
    </row>
    <row r="648" spans="1:23" ht="12">
      <c r="A648" s="8"/>
      <c r="B648" s="8"/>
      <c r="C648" s="26"/>
      <c r="D648" s="42" t="s">
        <v>159</v>
      </c>
      <c r="E648" s="87">
        <f>SUM(E649:E659)</f>
        <v>1353150</v>
      </c>
      <c r="F648" s="87">
        <f>SUM(F649:F659)</f>
        <v>1381150</v>
      </c>
      <c r="G648" s="87">
        <f>SUM(G649:G659)</f>
        <v>1855167</v>
      </c>
      <c r="H648" s="87">
        <f>SUM(H649:H659)</f>
        <v>1747730</v>
      </c>
      <c r="I648" s="87"/>
      <c r="J648" s="87">
        <f aca="true" t="shared" si="64" ref="J648:S648">SUM(J649)</f>
        <v>0</v>
      </c>
      <c r="K648" s="87">
        <f t="shared" si="64"/>
        <v>11326</v>
      </c>
      <c r="L648" s="87">
        <f t="shared" si="64"/>
        <v>11326</v>
      </c>
      <c r="M648" s="87">
        <f t="shared" si="64"/>
        <v>0</v>
      </c>
      <c r="N648" s="92">
        <v>0</v>
      </c>
      <c r="O648" s="87">
        <v>10812</v>
      </c>
      <c r="P648" s="87">
        <f t="shared" si="64"/>
        <v>10812</v>
      </c>
      <c r="Q648" s="186">
        <f t="shared" si="61"/>
        <v>1</v>
      </c>
      <c r="R648" s="87">
        <f t="shared" si="64"/>
        <v>10812</v>
      </c>
      <c r="S648" s="87">
        <f t="shared" si="64"/>
        <v>0</v>
      </c>
      <c r="T648" s="87">
        <v>11400</v>
      </c>
      <c r="U648" s="87">
        <f>SUM(U649)</f>
        <v>0</v>
      </c>
      <c r="V648" s="87">
        <f>SUM(V649)</f>
        <v>0</v>
      </c>
      <c r="W648" s="32">
        <f t="shared" si="62"/>
        <v>11400</v>
      </c>
    </row>
    <row r="649" spans="1:23" ht="24">
      <c r="A649" s="8"/>
      <c r="B649" s="8"/>
      <c r="C649" s="26">
        <v>4440</v>
      </c>
      <c r="D649" s="27" t="s">
        <v>44</v>
      </c>
      <c r="E649" s="11">
        <v>1600</v>
      </c>
      <c r="F649" s="11">
        <v>1600</v>
      </c>
      <c r="G649" s="12">
        <v>1636</v>
      </c>
      <c r="H649" s="12">
        <v>1640</v>
      </c>
      <c r="I649" s="12"/>
      <c r="J649" s="12"/>
      <c r="K649" s="12">
        <v>11326</v>
      </c>
      <c r="L649" s="12">
        <v>11326</v>
      </c>
      <c r="M649" s="12"/>
      <c r="N649" s="12">
        <v>0</v>
      </c>
      <c r="O649" s="12">
        <v>10812</v>
      </c>
      <c r="P649" s="12">
        <v>10812</v>
      </c>
      <c r="Q649" s="186">
        <f t="shared" si="61"/>
        <v>1</v>
      </c>
      <c r="R649" s="12">
        <v>10812</v>
      </c>
      <c r="S649" s="12"/>
      <c r="T649" s="12">
        <v>11400</v>
      </c>
      <c r="U649" s="12"/>
      <c r="V649" s="12"/>
      <c r="W649" s="32">
        <f t="shared" si="62"/>
        <v>11400</v>
      </c>
    </row>
    <row r="650" spans="1:23" ht="12">
      <c r="A650" s="8"/>
      <c r="B650" s="8"/>
      <c r="C650" s="26"/>
      <c r="D650" s="42" t="s">
        <v>148</v>
      </c>
      <c r="E650" s="87">
        <f>SUM(E651:E661)</f>
        <v>680850</v>
      </c>
      <c r="F650" s="87">
        <f>SUM(F651:F661)</f>
        <v>694850</v>
      </c>
      <c r="G650" s="87">
        <f>SUM(G651:G661)</f>
        <v>937946</v>
      </c>
      <c r="H650" s="87">
        <f>SUM(H651:H661)</f>
        <v>878240</v>
      </c>
      <c r="I650" s="87"/>
      <c r="J650" s="87">
        <f aca="true" t="shared" si="65" ref="J650:S650">SUM(J651)</f>
        <v>0</v>
      </c>
      <c r="K650" s="87">
        <f t="shared" si="65"/>
        <v>10517</v>
      </c>
      <c r="L650" s="87">
        <f t="shared" si="65"/>
        <v>10517</v>
      </c>
      <c r="M650" s="87">
        <f t="shared" si="65"/>
        <v>0</v>
      </c>
      <c r="N650" s="92">
        <v>0</v>
      </c>
      <c r="O650" s="87">
        <v>11713</v>
      </c>
      <c r="P650" s="87">
        <f t="shared" si="65"/>
        <v>11713</v>
      </c>
      <c r="Q650" s="186">
        <f t="shared" si="61"/>
        <v>1</v>
      </c>
      <c r="R650" s="87">
        <f t="shared" si="65"/>
        <v>11713</v>
      </c>
      <c r="S650" s="87">
        <f t="shared" si="65"/>
        <v>0</v>
      </c>
      <c r="T650" s="87">
        <v>11400</v>
      </c>
      <c r="U650" s="87">
        <f>SUM(U651)</f>
        <v>0</v>
      </c>
      <c r="V650" s="87">
        <f>SUM(V651)</f>
        <v>0</v>
      </c>
      <c r="W650" s="32">
        <f t="shared" si="62"/>
        <v>11400</v>
      </c>
    </row>
    <row r="651" spans="1:23" ht="24">
      <c r="A651" s="8"/>
      <c r="B651" s="8"/>
      <c r="C651" s="26">
        <v>4440</v>
      </c>
      <c r="D651" s="27" t="s">
        <v>44</v>
      </c>
      <c r="E651" s="11">
        <v>1600</v>
      </c>
      <c r="F651" s="11">
        <v>1600</v>
      </c>
      <c r="G651" s="12">
        <v>1636</v>
      </c>
      <c r="H651" s="12">
        <v>1640</v>
      </c>
      <c r="I651" s="12"/>
      <c r="J651" s="12"/>
      <c r="K651" s="12">
        <v>10517</v>
      </c>
      <c r="L651" s="12">
        <v>10517</v>
      </c>
      <c r="M651" s="12"/>
      <c r="N651" s="12">
        <v>0</v>
      </c>
      <c r="O651" s="12">
        <v>11713</v>
      </c>
      <c r="P651" s="12">
        <v>11713</v>
      </c>
      <c r="Q651" s="186">
        <f t="shared" si="61"/>
        <v>1</v>
      </c>
      <c r="R651" s="12">
        <v>11713</v>
      </c>
      <c r="S651" s="12"/>
      <c r="T651" s="12">
        <v>11400</v>
      </c>
      <c r="U651" s="12"/>
      <c r="V651" s="12"/>
      <c r="W651" s="32">
        <f t="shared" si="62"/>
        <v>11400</v>
      </c>
    </row>
    <row r="652" spans="1:23" ht="12">
      <c r="A652" s="8"/>
      <c r="B652" s="8"/>
      <c r="C652" s="26"/>
      <c r="D652" s="42" t="s">
        <v>160</v>
      </c>
      <c r="E652" s="87">
        <f>SUM(E653:E663)</f>
        <v>341540</v>
      </c>
      <c r="F652" s="87">
        <f>SUM(F653:F663)</f>
        <v>348540</v>
      </c>
      <c r="G652" s="87">
        <f>SUM(G653:G663)</f>
        <v>470306</v>
      </c>
      <c r="H652" s="87">
        <f>SUM(H653:H663)</f>
        <v>440260</v>
      </c>
      <c r="I652" s="87"/>
      <c r="J652" s="87">
        <f aca="true" t="shared" si="66" ref="J652:S652">SUM(J653)</f>
        <v>0</v>
      </c>
      <c r="K652" s="87">
        <f t="shared" si="66"/>
        <v>2427</v>
      </c>
      <c r="L652" s="87">
        <f t="shared" si="66"/>
        <v>2427</v>
      </c>
      <c r="M652" s="87">
        <f t="shared" si="66"/>
        <v>0</v>
      </c>
      <c r="N652" s="92">
        <v>0</v>
      </c>
      <c r="O652" s="87">
        <v>1802</v>
      </c>
      <c r="P652" s="87">
        <f t="shared" si="66"/>
        <v>1802</v>
      </c>
      <c r="Q652" s="186">
        <f t="shared" si="61"/>
        <v>1</v>
      </c>
      <c r="R652" s="87">
        <f t="shared" si="66"/>
        <v>1802</v>
      </c>
      <c r="S652" s="87">
        <f t="shared" si="66"/>
        <v>0</v>
      </c>
      <c r="T652" s="87">
        <v>2850</v>
      </c>
      <c r="U652" s="87">
        <f>SUM(U653)</f>
        <v>0</v>
      </c>
      <c r="V652" s="87">
        <f>SUM(V653)</f>
        <v>0</v>
      </c>
      <c r="W652" s="32">
        <f t="shared" si="62"/>
        <v>2850</v>
      </c>
    </row>
    <row r="653" spans="1:23" ht="24">
      <c r="A653" s="8"/>
      <c r="B653" s="8"/>
      <c r="C653" s="26">
        <v>4440</v>
      </c>
      <c r="D653" s="27" t="s">
        <v>44</v>
      </c>
      <c r="E653" s="11">
        <v>1600</v>
      </c>
      <c r="F653" s="11">
        <v>1600</v>
      </c>
      <c r="G653" s="12">
        <v>1636</v>
      </c>
      <c r="H653" s="12">
        <v>1640</v>
      </c>
      <c r="I653" s="12"/>
      <c r="J653" s="12"/>
      <c r="K653" s="12">
        <v>2427</v>
      </c>
      <c r="L653" s="12">
        <v>2427</v>
      </c>
      <c r="M653" s="12"/>
      <c r="N653" s="12">
        <v>0</v>
      </c>
      <c r="O653" s="12">
        <v>1802</v>
      </c>
      <c r="P653" s="12">
        <v>1802</v>
      </c>
      <c r="Q653" s="186">
        <f t="shared" si="61"/>
        <v>1</v>
      </c>
      <c r="R653" s="12">
        <v>1802</v>
      </c>
      <c r="S653" s="12"/>
      <c r="T653" s="12">
        <v>2850</v>
      </c>
      <c r="U653" s="12"/>
      <c r="V653" s="12"/>
      <c r="W653" s="32">
        <f t="shared" si="62"/>
        <v>2850</v>
      </c>
    </row>
    <row r="654" spans="1:23" ht="12">
      <c r="A654" s="8"/>
      <c r="B654" s="8"/>
      <c r="C654" s="26"/>
      <c r="D654" s="42" t="s">
        <v>161</v>
      </c>
      <c r="E654" s="87">
        <f>SUM(E655:E676)</f>
        <v>181010</v>
      </c>
      <c r="F654" s="87">
        <f>SUM(F655:F676)</f>
        <v>188010</v>
      </c>
      <c r="G654" s="87">
        <f>SUM(G655:G676)</f>
        <v>257063</v>
      </c>
      <c r="H654" s="87">
        <f>SUM(H655:H676)</f>
        <v>241930</v>
      </c>
      <c r="I654" s="87"/>
      <c r="J654" s="87">
        <f aca="true" t="shared" si="67" ref="J654:P654">SUM(J655:J676)</f>
        <v>221770</v>
      </c>
      <c r="K654" s="87">
        <f t="shared" si="67"/>
        <v>235804</v>
      </c>
      <c r="L654" s="87">
        <f t="shared" si="67"/>
        <v>248975</v>
      </c>
      <c r="M654" s="87">
        <f t="shared" si="67"/>
        <v>255128</v>
      </c>
      <c r="N654" s="87">
        <v>243640</v>
      </c>
      <c r="O654" s="87">
        <v>251541</v>
      </c>
      <c r="P654" s="87">
        <f t="shared" si="67"/>
        <v>131697</v>
      </c>
      <c r="Q654" s="186">
        <f t="shared" si="61"/>
        <v>0.5235607714050592</v>
      </c>
      <c r="R654" s="87">
        <f>SUM(R655:R676)</f>
        <v>282602</v>
      </c>
      <c r="S654" s="87">
        <f>SUM(S655:S676)</f>
        <v>285870</v>
      </c>
      <c r="T654" s="87">
        <v>285870</v>
      </c>
      <c r="U654" s="87">
        <f>SUM(U655:U676)</f>
        <v>0</v>
      </c>
      <c r="V654" s="87">
        <f>SUM(V655:V676)</f>
        <v>0</v>
      </c>
      <c r="W654" s="32">
        <f t="shared" si="62"/>
        <v>285870</v>
      </c>
    </row>
    <row r="655" spans="1:23" ht="24">
      <c r="A655" s="8"/>
      <c r="B655" s="8"/>
      <c r="C655" s="26">
        <v>3020</v>
      </c>
      <c r="D655" s="27" t="s">
        <v>68</v>
      </c>
      <c r="E655" s="11">
        <v>1600</v>
      </c>
      <c r="F655" s="11">
        <v>1600</v>
      </c>
      <c r="G655" s="12">
        <v>1636</v>
      </c>
      <c r="H655" s="12">
        <v>1640</v>
      </c>
      <c r="I655" s="12"/>
      <c r="J655" s="12">
        <v>1640</v>
      </c>
      <c r="K655" s="12">
        <v>1640</v>
      </c>
      <c r="L655" s="12">
        <v>1640</v>
      </c>
      <c r="M655" s="12">
        <v>1688</v>
      </c>
      <c r="N655" s="12">
        <v>1690</v>
      </c>
      <c r="O655" s="12">
        <v>1690</v>
      </c>
      <c r="P655" s="12">
        <v>800</v>
      </c>
      <c r="Q655" s="186">
        <f t="shared" si="61"/>
        <v>0.47337278106508873</v>
      </c>
      <c r="R655" s="12">
        <v>1690</v>
      </c>
      <c r="S655" s="12">
        <v>1690</v>
      </c>
      <c r="T655" s="12">
        <v>1690</v>
      </c>
      <c r="U655" s="12"/>
      <c r="V655" s="12"/>
      <c r="W655" s="32">
        <f t="shared" si="62"/>
        <v>1690</v>
      </c>
    </row>
    <row r="656" spans="1:23" ht="24">
      <c r="A656" s="8"/>
      <c r="B656" s="8"/>
      <c r="C656" s="26">
        <v>4010</v>
      </c>
      <c r="D656" s="27" t="s">
        <v>29</v>
      </c>
      <c r="E656" s="11">
        <v>111550</v>
      </c>
      <c r="F656" s="11">
        <v>111550</v>
      </c>
      <c r="G656" s="12">
        <v>143208</v>
      </c>
      <c r="H656" s="12">
        <v>143210</v>
      </c>
      <c r="I656" s="12"/>
      <c r="J656" s="12">
        <v>143210</v>
      </c>
      <c r="K656" s="12">
        <v>143210</v>
      </c>
      <c r="L656" s="12">
        <v>145600</v>
      </c>
      <c r="M656" s="12">
        <v>151278</v>
      </c>
      <c r="N656" s="12">
        <v>151280</v>
      </c>
      <c r="O656" s="12">
        <v>151280</v>
      </c>
      <c r="P656" s="12">
        <v>79234</v>
      </c>
      <c r="Q656" s="186">
        <f t="shared" si="61"/>
        <v>0.5237572712850344</v>
      </c>
      <c r="R656" s="12">
        <v>175680</v>
      </c>
      <c r="S656" s="12">
        <v>175680</v>
      </c>
      <c r="T656" s="12">
        <v>175680</v>
      </c>
      <c r="U656" s="12"/>
      <c r="V656" s="12"/>
      <c r="W656" s="32">
        <f t="shared" si="62"/>
        <v>175680</v>
      </c>
    </row>
    <row r="657" spans="1:23" ht="12">
      <c r="A657" s="8"/>
      <c r="B657" s="8"/>
      <c r="C657" s="26">
        <v>4040</v>
      </c>
      <c r="D657" s="27" t="s">
        <v>30</v>
      </c>
      <c r="E657" s="11">
        <v>8630</v>
      </c>
      <c r="F657" s="11">
        <v>8630</v>
      </c>
      <c r="G657" s="12">
        <v>11800</v>
      </c>
      <c r="H657" s="12">
        <v>11800</v>
      </c>
      <c r="I657" s="12"/>
      <c r="J657" s="12">
        <v>11800</v>
      </c>
      <c r="K657" s="12">
        <v>11800</v>
      </c>
      <c r="L657" s="12">
        <v>9750</v>
      </c>
      <c r="M657" s="12">
        <v>12376</v>
      </c>
      <c r="N657" s="12">
        <v>12380</v>
      </c>
      <c r="O657" s="12">
        <v>10979</v>
      </c>
      <c r="P657" s="12">
        <v>10979</v>
      </c>
      <c r="Q657" s="186">
        <f t="shared" si="61"/>
        <v>1</v>
      </c>
      <c r="R657" s="12">
        <v>10979</v>
      </c>
      <c r="S657" s="12">
        <v>14940</v>
      </c>
      <c r="T657" s="12">
        <v>14940</v>
      </c>
      <c r="U657" s="12"/>
      <c r="V657" s="12"/>
      <c r="W657" s="32">
        <f t="shared" si="62"/>
        <v>14940</v>
      </c>
    </row>
    <row r="658" spans="1:23" ht="24">
      <c r="A658" s="8"/>
      <c r="B658" s="8"/>
      <c r="C658" s="26">
        <v>4110</v>
      </c>
      <c r="D658" s="27" t="s">
        <v>113</v>
      </c>
      <c r="E658" s="11">
        <v>20290</v>
      </c>
      <c r="F658" s="11">
        <v>20290</v>
      </c>
      <c r="G658" s="12">
        <v>24500</v>
      </c>
      <c r="H658" s="12">
        <v>22010</v>
      </c>
      <c r="I658" s="12"/>
      <c r="J658" s="12">
        <v>22010</v>
      </c>
      <c r="K658" s="12">
        <v>22010</v>
      </c>
      <c r="L658" s="12">
        <v>22859</v>
      </c>
      <c r="M658" s="12">
        <v>26696</v>
      </c>
      <c r="N658" s="12">
        <v>24880</v>
      </c>
      <c r="O658" s="12">
        <v>24880</v>
      </c>
      <c r="P658" s="12">
        <v>12936</v>
      </c>
      <c r="Q658" s="186">
        <f t="shared" si="61"/>
        <v>0.519935691318328</v>
      </c>
      <c r="R658" s="12">
        <v>30198</v>
      </c>
      <c r="S658" s="12">
        <v>29280</v>
      </c>
      <c r="T658" s="12">
        <v>29280</v>
      </c>
      <c r="U658" s="12"/>
      <c r="V658" s="12"/>
      <c r="W658" s="32">
        <f t="shared" si="62"/>
        <v>29280</v>
      </c>
    </row>
    <row r="659" spans="1:23" ht="12">
      <c r="A659" s="8"/>
      <c r="B659" s="8"/>
      <c r="C659" s="26">
        <v>4120</v>
      </c>
      <c r="D659" s="27" t="s">
        <v>32</v>
      </c>
      <c r="E659" s="11">
        <v>2880</v>
      </c>
      <c r="F659" s="11">
        <v>2880</v>
      </c>
      <c r="G659" s="12">
        <v>3800</v>
      </c>
      <c r="H659" s="12">
        <v>3720</v>
      </c>
      <c r="I659" s="12"/>
      <c r="J659" s="12">
        <v>3720</v>
      </c>
      <c r="K659" s="12">
        <v>3720</v>
      </c>
      <c r="L659" s="12">
        <v>3567</v>
      </c>
      <c r="M659" s="12">
        <v>4166</v>
      </c>
      <c r="N659" s="12">
        <v>3930</v>
      </c>
      <c r="O659" s="12">
        <v>3930</v>
      </c>
      <c r="P659" s="12">
        <v>2272</v>
      </c>
      <c r="Q659" s="186">
        <f t="shared" si="61"/>
        <v>0.5781170483460559</v>
      </c>
      <c r="R659" s="12">
        <v>4973</v>
      </c>
      <c r="S659" s="12">
        <v>4570</v>
      </c>
      <c r="T659" s="12">
        <v>4570</v>
      </c>
      <c r="U659" s="12"/>
      <c r="V659" s="12"/>
      <c r="W659" s="32">
        <f t="shared" si="62"/>
        <v>4570</v>
      </c>
    </row>
    <row r="660" spans="1:23" ht="12">
      <c r="A660" s="8"/>
      <c r="B660" s="8"/>
      <c r="C660" s="26">
        <v>4170</v>
      </c>
      <c r="D660" s="27" t="s">
        <v>69</v>
      </c>
      <c r="E660" s="11">
        <v>2000</v>
      </c>
      <c r="F660" s="11">
        <v>2000</v>
      </c>
      <c r="G660" s="12">
        <v>2046</v>
      </c>
      <c r="H660" s="12">
        <v>2050</v>
      </c>
      <c r="I660" s="12"/>
      <c r="J660" s="12">
        <v>2050</v>
      </c>
      <c r="K660" s="12">
        <v>2050</v>
      </c>
      <c r="L660" s="12">
        <v>2050</v>
      </c>
      <c r="M660" s="12">
        <v>4800</v>
      </c>
      <c r="N660" s="12">
        <v>4800</v>
      </c>
      <c r="O660" s="12">
        <v>4800</v>
      </c>
      <c r="P660" s="12">
        <v>1746</v>
      </c>
      <c r="Q660" s="186">
        <f t="shared" si="61"/>
        <v>0.36375</v>
      </c>
      <c r="R660" s="12">
        <v>4800</v>
      </c>
      <c r="S660" s="12">
        <v>4800</v>
      </c>
      <c r="T660" s="12">
        <v>4800</v>
      </c>
      <c r="U660" s="12"/>
      <c r="V660" s="12"/>
      <c r="W660" s="32">
        <f t="shared" si="62"/>
        <v>4800</v>
      </c>
    </row>
    <row r="661" spans="1:23" ht="12">
      <c r="A661" s="8"/>
      <c r="B661" s="8"/>
      <c r="C661" s="26">
        <v>4210</v>
      </c>
      <c r="D661" s="27" t="s">
        <v>34</v>
      </c>
      <c r="E661" s="11">
        <f>ROUND(14000*101.9%,-1)-6120</f>
        <v>8150</v>
      </c>
      <c r="F661" s="11">
        <f>ROUND(14000*101.9%,-1)-6120</f>
        <v>8150</v>
      </c>
      <c r="G661" s="12">
        <v>20315</v>
      </c>
      <c r="H661" s="12">
        <v>8340</v>
      </c>
      <c r="I661" s="12"/>
      <c r="J661" s="12">
        <v>8340</v>
      </c>
      <c r="K661" s="12">
        <v>8340</v>
      </c>
      <c r="L661" s="12">
        <v>8340</v>
      </c>
      <c r="M661" s="12">
        <v>13582</v>
      </c>
      <c r="N661" s="12">
        <v>13580</v>
      </c>
      <c r="O661" s="12">
        <v>13580</v>
      </c>
      <c r="P661" s="12">
        <v>3083</v>
      </c>
      <c r="Q661" s="186">
        <f t="shared" si="61"/>
        <v>0.22702503681885125</v>
      </c>
      <c r="R661" s="12">
        <v>13580</v>
      </c>
      <c r="S661" s="12">
        <v>13580</v>
      </c>
      <c r="T661" s="12">
        <v>13580</v>
      </c>
      <c r="U661" s="12"/>
      <c r="V661" s="12"/>
      <c r="W661" s="32">
        <f t="shared" si="62"/>
        <v>13580</v>
      </c>
    </row>
    <row r="662" spans="1:23" ht="12">
      <c r="A662" s="8"/>
      <c r="B662" s="8"/>
      <c r="C662" s="26">
        <v>4260</v>
      </c>
      <c r="D662" s="27" t="s">
        <v>35</v>
      </c>
      <c r="E662" s="11">
        <v>3210</v>
      </c>
      <c r="F662" s="11">
        <v>3210</v>
      </c>
      <c r="G662" s="12">
        <v>3283</v>
      </c>
      <c r="H662" s="12">
        <v>3280</v>
      </c>
      <c r="I662" s="12"/>
      <c r="J662" s="12">
        <v>3280</v>
      </c>
      <c r="K662" s="12">
        <v>3280</v>
      </c>
      <c r="L662" s="12">
        <v>3280</v>
      </c>
      <c r="M662" s="12">
        <v>3375</v>
      </c>
      <c r="N662" s="12">
        <v>3380</v>
      </c>
      <c r="O662" s="12">
        <v>6436</v>
      </c>
      <c r="P662" s="12">
        <v>2821</v>
      </c>
      <c r="Q662" s="186">
        <f t="shared" si="61"/>
        <v>0.4383157240522063</v>
      </c>
      <c r="R662" s="12">
        <v>6436</v>
      </c>
      <c r="S662" s="12">
        <v>6760</v>
      </c>
      <c r="T662" s="12">
        <v>6760</v>
      </c>
      <c r="U662" s="12"/>
      <c r="V662" s="12"/>
      <c r="W662" s="32">
        <f t="shared" si="62"/>
        <v>6760</v>
      </c>
    </row>
    <row r="663" spans="1:23" ht="12">
      <c r="A663" s="8"/>
      <c r="B663" s="8"/>
      <c r="C663" s="26">
        <v>4270</v>
      </c>
      <c r="D663" s="27" t="s">
        <v>53</v>
      </c>
      <c r="E663" s="11">
        <v>620</v>
      </c>
      <c r="F663" s="11">
        <v>620</v>
      </c>
      <c r="G663" s="12">
        <v>1019</v>
      </c>
      <c r="H663" s="12">
        <v>640</v>
      </c>
      <c r="I663" s="12"/>
      <c r="J663" s="12">
        <v>640</v>
      </c>
      <c r="K663" s="12">
        <v>640</v>
      </c>
      <c r="L663" s="12">
        <v>640</v>
      </c>
      <c r="M663" s="12">
        <v>659</v>
      </c>
      <c r="N663" s="12">
        <v>660</v>
      </c>
      <c r="O663" s="12">
        <v>660</v>
      </c>
      <c r="P663" s="12"/>
      <c r="Q663" s="186">
        <f t="shared" si="61"/>
        <v>0</v>
      </c>
      <c r="R663" s="12">
        <v>660</v>
      </c>
      <c r="S663" s="12">
        <v>660</v>
      </c>
      <c r="T663" s="12">
        <v>660</v>
      </c>
      <c r="U663" s="12"/>
      <c r="V663" s="12"/>
      <c r="W663" s="32">
        <f t="shared" si="62"/>
        <v>660</v>
      </c>
    </row>
    <row r="664" spans="1:23" ht="12">
      <c r="A664" s="8"/>
      <c r="B664" s="8"/>
      <c r="C664" s="26">
        <v>4280</v>
      </c>
      <c r="D664" s="27" t="s">
        <v>37</v>
      </c>
      <c r="E664" s="11">
        <v>150</v>
      </c>
      <c r="F664" s="11">
        <v>150</v>
      </c>
      <c r="G664" s="12">
        <v>250</v>
      </c>
      <c r="H664" s="12">
        <v>160</v>
      </c>
      <c r="I664" s="12"/>
      <c r="J664" s="12">
        <v>160</v>
      </c>
      <c r="K664" s="12">
        <v>460</v>
      </c>
      <c r="L664" s="12">
        <v>160</v>
      </c>
      <c r="M664" s="12">
        <v>165</v>
      </c>
      <c r="N664" s="12">
        <v>170</v>
      </c>
      <c r="O664" s="12">
        <v>170</v>
      </c>
      <c r="P664" s="12">
        <v>140</v>
      </c>
      <c r="Q664" s="186">
        <f t="shared" si="61"/>
        <v>0.8235294117647058</v>
      </c>
      <c r="R664" s="12">
        <v>270</v>
      </c>
      <c r="S664" s="12">
        <v>270</v>
      </c>
      <c r="T664" s="12">
        <v>270</v>
      </c>
      <c r="U664" s="12"/>
      <c r="V664" s="12"/>
      <c r="W664" s="32">
        <f t="shared" si="62"/>
        <v>270</v>
      </c>
    </row>
    <row r="665" spans="1:23" ht="12">
      <c r="A665" s="8"/>
      <c r="B665" s="8"/>
      <c r="C665" s="26">
        <v>4300</v>
      </c>
      <c r="D665" s="27" t="s">
        <v>154</v>
      </c>
      <c r="E665" s="11">
        <v>2550</v>
      </c>
      <c r="F665" s="11">
        <v>2550</v>
      </c>
      <c r="G665" s="12">
        <v>2648</v>
      </c>
      <c r="H665" s="12">
        <v>2610</v>
      </c>
      <c r="I665" s="12"/>
      <c r="J665" s="12">
        <v>2610</v>
      </c>
      <c r="K665" s="12">
        <v>2738</v>
      </c>
      <c r="L665" s="12">
        <v>2738</v>
      </c>
      <c r="M665" s="12">
        <v>2817</v>
      </c>
      <c r="N665" s="12">
        <v>2820</v>
      </c>
      <c r="O665" s="12">
        <v>8720</v>
      </c>
      <c r="P665" s="12">
        <v>7488</v>
      </c>
      <c r="Q665" s="186">
        <f t="shared" si="61"/>
        <v>0.8587155963302753</v>
      </c>
      <c r="R665" s="12">
        <v>9720</v>
      </c>
      <c r="S665" s="12">
        <v>9720</v>
      </c>
      <c r="T665" s="12">
        <v>9720</v>
      </c>
      <c r="U665" s="12"/>
      <c r="V665" s="12"/>
      <c r="W665" s="32">
        <f t="shared" si="62"/>
        <v>9720</v>
      </c>
    </row>
    <row r="666" spans="1:23" ht="24">
      <c r="A666" s="8"/>
      <c r="B666" s="8"/>
      <c r="C666" s="26">
        <v>4350</v>
      </c>
      <c r="D666" s="27" t="s">
        <v>38</v>
      </c>
      <c r="E666" s="11">
        <v>1980</v>
      </c>
      <c r="F666" s="11">
        <v>1980</v>
      </c>
      <c r="G666" s="12">
        <v>2025</v>
      </c>
      <c r="H666" s="12">
        <v>2030</v>
      </c>
      <c r="I666" s="12"/>
      <c r="J666" s="12">
        <v>2030</v>
      </c>
      <c r="K666" s="12">
        <v>1730</v>
      </c>
      <c r="L666" s="12">
        <v>2030</v>
      </c>
      <c r="M666" s="12">
        <v>2089</v>
      </c>
      <c r="N666" s="12">
        <v>2090</v>
      </c>
      <c r="O666" s="12">
        <v>2090</v>
      </c>
      <c r="P666" s="12">
        <v>959</v>
      </c>
      <c r="Q666" s="186">
        <f aca="true" t="shared" si="68" ref="Q666:Q756">P666/O666</f>
        <v>0.45885167464114834</v>
      </c>
      <c r="R666" s="12">
        <v>2090</v>
      </c>
      <c r="S666" s="12">
        <v>2090</v>
      </c>
      <c r="T666" s="12">
        <v>2090</v>
      </c>
      <c r="U666" s="12"/>
      <c r="V666" s="12"/>
      <c r="W666" s="32">
        <f t="shared" si="62"/>
        <v>2090</v>
      </c>
    </row>
    <row r="667" spans="1:23" ht="36">
      <c r="A667" s="8"/>
      <c r="B667" s="8"/>
      <c r="C667" s="26">
        <v>4370</v>
      </c>
      <c r="D667" s="27" t="s">
        <v>135</v>
      </c>
      <c r="E667" s="11">
        <v>6110</v>
      </c>
      <c r="F667" s="11">
        <v>6110</v>
      </c>
      <c r="G667" s="12">
        <v>6250</v>
      </c>
      <c r="H667" s="12">
        <v>6250</v>
      </c>
      <c r="I667" s="12"/>
      <c r="J667" s="12">
        <v>6250</v>
      </c>
      <c r="K667" s="12">
        <v>6250</v>
      </c>
      <c r="L667" s="12">
        <v>6250</v>
      </c>
      <c r="M667" s="12">
        <v>6431</v>
      </c>
      <c r="N667" s="12">
        <v>6430</v>
      </c>
      <c r="O667" s="12">
        <v>6430</v>
      </c>
      <c r="P667" s="12">
        <v>1107</v>
      </c>
      <c r="Q667" s="186">
        <f t="shared" si="68"/>
        <v>0.17216174183514774</v>
      </c>
      <c r="R667" s="12">
        <v>4330</v>
      </c>
      <c r="S667" s="12">
        <v>4330</v>
      </c>
      <c r="T667" s="12">
        <v>3330</v>
      </c>
      <c r="U667" s="12"/>
      <c r="V667" s="12"/>
      <c r="W667" s="32">
        <f t="shared" si="62"/>
        <v>3330</v>
      </c>
    </row>
    <row r="668" spans="1:23" ht="12">
      <c r="A668" s="8"/>
      <c r="B668" s="8"/>
      <c r="C668" s="26">
        <v>4410</v>
      </c>
      <c r="D668" s="27" t="s">
        <v>42</v>
      </c>
      <c r="E668" s="11">
        <v>1070</v>
      </c>
      <c r="F668" s="11">
        <v>1070</v>
      </c>
      <c r="G668" s="12">
        <v>1200</v>
      </c>
      <c r="H668" s="12">
        <v>1100</v>
      </c>
      <c r="I668" s="12"/>
      <c r="J668" s="12">
        <v>1100</v>
      </c>
      <c r="K668" s="12">
        <v>1100</v>
      </c>
      <c r="L668" s="12">
        <v>1100</v>
      </c>
      <c r="M668" s="12">
        <v>1132</v>
      </c>
      <c r="N668" s="12">
        <v>1130</v>
      </c>
      <c r="O668" s="12">
        <v>1130</v>
      </c>
      <c r="P668" s="12">
        <v>213</v>
      </c>
      <c r="Q668" s="186">
        <f t="shared" si="68"/>
        <v>0.18849557522123894</v>
      </c>
      <c r="R668" s="12">
        <v>1130</v>
      </c>
      <c r="S668" s="12">
        <v>1130</v>
      </c>
      <c r="T668" s="12">
        <v>1130</v>
      </c>
      <c r="U668" s="12"/>
      <c r="V668" s="12"/>
      <c r="W668" s="32">
        <f t="shared" si="62"/>
        <v>1130</v>
      </c>
    </row>
    <row r="669" spans="1:23" ht="12">
      <c r="A669" s="8"/>
      <c r="B669" s="8"/>
      <c r="C669" s="26">
        <v>4430</v>
      </c>
      <c r="D669" s="27" t="s">
        <v>43</v>
      </c>
      <c r="E669" s="11">
        <v>200</v>
      </c>
      <c r="F669" s="11">
        <v>200</v>
      </c>
      <c r="G669" s="12">
        <v>205</v>
      </c>
      <c r="H669" s="12">
        <v>210</v>
      </c>
      <c r="I669" s="12"/>
      <c r="J669" s="12">
        <v>210</v>
      </c>
      <c r="K669" s="12">
        <v>210</v>
      </c>
      <c r="L669" s="12">
        <v>210</v>
      </c>
      <c r="M669" s="12">
        <v>216</v>
      </c>
      <c r="N669" s="12">
        <v>220</v>
      </c>
      <c r="O669" s="12">
        <v>220</v>
      </c>
      <c r="P669" s="12"/>
      <c r="Q669" s="186">
        <f t="shared" si="68"/>
        <v>0</v>
      </c>
      <c r="R669" s="12">
        <v>220</v>
      </c>
      <c r="S669" s="12">
        <v>220</v>
      </c>
      <c r="T669" s="12">
        <v>220</v>
      </c>
      <c r="U669" s="12"/>
      <c r="V669" s="12"/>
      <c r="W669" s="32">
        <f t="shared" si="62"/>
        <v>220</v>
      </c>
    </row>
    <row r="670" spans="1:23" ht="24">
      <c r="A670" s="8"/>
      <c r="B670" s="8"/>
      <c r="C670" s="26">
        <v>4440</v>
      </c>
      <c r="D670" s="27" t="s">
        <v>44</v>
      </c>
      <c r="E670" s="11">
        <v>3900</v>
      </c>
      <c r="F670" s="11">
        <v>3900</v>
      </c>
      <c r="G670" s="12">
        <v>4150</v>
      </c>
      <c r="H670" s="12">
        <v>4150</v>
      </c>
      <c r="I670" s="12"/>
      <c r="J670" s="12">
        <v>4150</v>
      </c>
      <c r="K670" s="12">
        <v>4150</v>
      </c>
      <c r="L670" s="12">
        <v>16285</v>
      </c>
      <c r="M670" s="12">
        <v>4710</v>
      </c>
      <c r="N670" s="12">
        <v>4700</v>
      </c>
      <c r="O670" s="12">
        <v>4700</v>
      </c>
      <c r="P670" s="12">
        <v>3750</v>
      </c>
      <c r="Q670" s="186">
        <f t="shared" si="68"/>
        <v>0.7978723404255319</v>
      </c>
      <c r="R670" s="12">
        <v>5000</v>
      </c>
      <c r="S670" s="12">
        <v>5000</v>
      </c>
      <c r="T670" s="12">
        <v>5000</v>
      </c>
      <c r="U670" s="12"/>
      <c r="V670" s="12"/>
      <c r="W670" s="32">
        <f t="shared" si="62"/>
        <v>5000</v>
      </c>
    </row>
    <row r="671" spans="1:23" ht="12">
      <c r="A671" s="8"/>
      <c r="B671" s="8"/>
      <c r="C671" s="26">
        <v>4510</v>
      </c>
      <c r="D671" s="27" t="s">
        <v>91</v>
      </c>
      <c r="E671" s="11">
        <v>0</v>
      </c>
      <c r="F671" s="11">
        <v>0</v>
      </c>
      <c r="G671" s="12">
        <v>150</v>
      </c>
      <c r="H671" s="12">
        <v>150</v>
      </c>
      <c r="I671" s="12"/>
      <c r="J671" s="12">
        <v>150</v>
      </c>
      <c r="K671" s="12">
        <v>150</v>
      </c>
      <c r="L671" s="12">
        <v>150</v>
      </c>
      <c r="M671" s="12">
        <v>155</v>
      </c>
      <c r="N671" s="12">
        <v>160</v>
      </c>
      <c r="O671" s="12">
        <v>160</v>
      </c>
      <c r="P671" s="12"/>
      <c r="Q671" s="186">
        <f t="shared" si="68"/>
        <v>0</v>
      </c>
      <c r="R671" s="12">
        <v>160</v>
      </c>
      <c r="S671" s="12">
        <v>160</v>
      </c>
      <c r="T671" s="12">
        <v>160</v>
      </c>
      <c r="U671" s="12"/>
      <c r="V671" s="12"/>
      <c r="W671" s="32">
        <f t="shared" si="62"/>
        <v>160</v>
      </c>
    </row>
    <row r="672" spans="1:23" ht="12">
      <c r="A672" s="8"/>
      <c r="B672" s="8"/>
      <c r="C672" s="26">
        <v>4480</v>
      </c>
      <c r="D672" s="27" t="s">
        <v>132</v>
      </c>
      <c r="E672" s="11">
        <v>0</v>
      </c>
      <c r="F672" s="11">
        <v>0</v>
      </c>
      <c r="G672" s="12">
        <v>150</v>
      </c>
      <c r="H672" s="12">
        <v>150</v>
      </c>
      <c r="I672" s="12"/>
      <c r="J672" s="12">
        <v>150</v>
      </c>
      <c r="K672" s="12">
        <v>150</v>
      </c>
      <c r="L672" s="12">
        <v>150</v>
      </c>
      <c r="M672" s="12">
        <v>155</v>
      </c>
      <c r="N672" s="12">
        <v>0</v>
      </c>
      <c r="O672" s="12">
        <v>346</v>
      </c>
      <c r="P672" s="12">
        <v>118</v>
      </c>
      <c r="Q672" s="186">
        <f t="shared" si="68"/>
        <v>0.34104046242774566</v>
      </c>
      <c r="R672" s="12">
        <v>346</v>
      </c>
      <c r="S672" s="12">
        <v>650</v>
      </c>
      <c r="T672" s="12">
        <v>650</v>
      </c>
      <c r="U672" s="12"/>
      <c r="V672" s="12"/>
      <c r="W672" s="32">
        <f t="shared" si="62"/>
        <v>650</v>
      </c>
    </row>
    <row r="673" spans="1:23" ht="36">
      <c r="A673" s="8"/>
      <c r="B673" s="88"/>
      <c r="C673" s="26">
        <v>4700</v>
      </c>
      <c r="D673" s="27" t="s">
        <v>46</v>
      </c>
      <c r="E673" s="11"/>
      <c r="F673" s="11">
        <v>2000</v>
      </c>
      <c r="G673" s="12">
        <v>2046</v>
      </c>
      <c r="H673" s="12">
        <v>2050</v>
      </c>
      <c r="I673" s="12"/>
      <c r="J673" s="12">
        <v>2000</v>
      </c>
      <c r="K673" s="12">
        <v>2000</v>
      </c>
      <c r="L673" s="12">
        <v>2000</v>
      </c>
      <c r="M673" s="12">
        <v>2058</v>
      </c>
      <c r="N673" s="12">
        <v>2060</v>
      </c>
      <c r="O673" s="12">
        <v>2060</v>
      </c>
      <c r="P673" s="12">
        <v>760</v>
      </c>
      <c r="Q673" s="186">
        <f t="shared" si="68"/>
        <v>0.36893203883495146</v>
      </c>
      <c r="R673" s="12">
        <v>2060</v>
      </c>
      <c r="S673" s="12">
        <v>2060</v>
      </c>
      <c r="T673" s="12">
        <v>3060</v>
      </c>
      <c r="U673" s="12"/>
      <c r="V673" s="12"/>
      <c r="W673" s="32">
        <f t="shared" si="62"/>
        <v>3060</v>
      </c>
    </row>
    <row r="674" spans="1:23" ht="36">
      <c r="A674" s="8"/>
      <c r="B674" s="8"/>
      <c r="C674" s="26">
        <v>4740</v>
      </c>
      <c r="D674" s="27" t="s">
        <v>73</v>
      </c>
      <c r="E674" s="11">
        <v>1020</v>
      </c>
      <c r="F674" s="11">
        <v>1020</v>
      </c>
      <c r="G674" s="12">
        <v>1050</v>
      </c>
      <c r="H674" s="12">
        <v>1050</v>
      </c>
      <c r="I674" s="12"/>
      <c r="J674" s="12">
        <v>1050</v>
      </c>
      <c r="K674" s="12">
        <v>1050</v>
      </c>
      <c r="L674" s="12">
        <v>1050</v>
      </c>
      <c r="M674" s="12">
        <v>1080</v>
      </c>
      <c r="N674" s="12">
        <v>1080</v>
      </c>
      <c r="O674" s="12">
        <v>1080</v>
      </c>
      <c r="P674" s="12">
        <v>129</v>
      </c>
      <c r="Q674" s="186">
        <f t="shared" si="68"/>
        <v>0.11944444444444445</v>
      </c>
      <c r="R674" s="12">
        <v>1080</v>
      </c>
      <c r="S674" s="12">
        <v>1080</v>
      </c>
      <c r="T674" s="12">
        <v>1080</v>
      </c>
      <c r="U674" s="12"/>
      <c r="V674" s="12"/>
      <c r="W674" s="32">
        <f t="shared" si="62"/>
        <v>1080</v>
      </c>
    </row>
    <row r="675" spans="1:23" ht="24">
      <c r="A675" s="8"/>
      <c r="B675" s="8"/>
      <c r="C675" s="26">
        <v>4750</v>
      </c>
      <c r="D675" s="27" t="s">
        <v>118</v>
      </c>
      <c r="E675" s="11">
        <v>5100</v>
      </c>
      <c r="F675" s="11">
        <v>10100</v>
      </c>
      <c r="G675" s="12">
        <v>10332</v>
      </c>
      <c r="H675" s="12">
        <v>10330</v>
      </c>
      <c r="I675" s="12"/>
      <c r="J675" s="12">
        <v>5220</v>
      </c>
      <c r="K675" s="12">
        <v>6026</v>
      </c>
      <c r="L675" s="12">
        <v>6026</v>
      </c>
      <c r="M675" s="12">
        <v>15500</v>
      </c>
      <c r="N675" s="12">
        <v>6200</v>
      </c>
      <c r="O675" s="12">
        <v>6200</v>
      </c>
      <c r="P675" s="12">
        <v>3162</v>
      </c>
      <c r="Q675" s="186">
        <f t="shared" si="68"/>
        <v>0.51</v>
      </c>
      <c r="R675" s="12">
        <v>7200</v>
      </c>
      <c r="S675" s="12">
        <v>7200</v>
      </c>
      <c r="T675" s="12">
        <v>7200</v>
      </c>
      <c r="U675" s="12"/>
      <c r="V675" s="12"/>
      <c r="W675" s="32">
        <f t="shared" si="62"/>
        <v>7200</v>
      </c>
    </row>
    <row r="676" spans="1:23" ht="28.5" customHeight="1">
      <c r="A676" s="8"/>
      <c r="B676" s="8"/>
      <c r="C676" s="9">
        <v>6060</v>
      </c>
      <c r="D676" s="10" t="s">
        <v>153</v>
      </c>
      <c r="E676" s="11">
        <v>0</v>
      </c>
      <c r="F676" s="11">
        <v>0</v>
      </c>
      <c r="G676" s="12">
        <v>15000</v>
      </c>
      <c r="H676" s="12">
        <v>15000</v>
      </c>
      <c r="I676" s="12"/>
      <c r="J676" s="12"/>
      <c r="K676" s="12">
        <v>13100</v>
      </c>
      <c r="L676" s="12">
        <v>13100</v>
      </c>
      <c r="M676" s="12">
        <v>0</v>
      </c>
      <c r="N676" s="12">
        <v>0</v>
      </c>
      <c r="O676" s="12">
        <v>0</v>
      </c>
      <c r="P676" s="12">
        <v>0</v>
      </c>
      <c r="Q676" s="186"/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32">
        <f aca="true" t="shared" si="69" ref="W676:W762">T676+U676-V676</f>
        <v>0</v>
      </c>
    </row>
    <row r="677" spans="1:23" ht="24" hidden="1">
      <c r="A677" s="25"/>
      <c r="B677" s="9"/>
      <c r="C677" s="33"/>
      <c r="D677" s="42" t="s">
        <v>162</v>
      </c>
      <c r="E677" s="11">
        <f>SUM(E678:E679)</f>
        <v>4800</v>
      </c>
      <c r="F677" s="11">
        <f>SUM(F678:F679)</f>
        <v>4800</v>
      </c>
      <c r="G677" s="11">
        <f>SUM(G678:G679)</f>
        <v>3800</v>
      </c>
      <c r="H677" s="11">
        <f>SUM(H678:H679)</f>
        <v>3800</v>
      </c>
      <c r="I677" s="11"/>
      <c r="J677" s="11">
        <f>SUM(J678:J679)</f>
        <v>3800</v>
      </c>
      <c r="K677" s="11">
        <f>SUM(K678:K679)</f>
        <v>3800</v>
      </c>
      <c r="L677" s="11">
        <f>SUM(L678:L680)</f>
        <v>5300</v>
      </c>
      <c r="M677" s="11">
        <f>SUM(M678:M680)</f>
        <v>17300</v>
      </c>
      <c r="N677" s="11">
        <v>7300</v>
      </c>
      <c r="O677" s="11">
        <v>7300</v>
      </c>
      <c r="P677" s="11">
        <f>SUM(P678:P680)</f>
        <v>7300</v>
      </c>
      <c r="Q677" s="186">
        <f t="shared" si="68"/>
        <v>1</v>
      </c>
      <c r="R677" s="11">
        <f>SUM(R678:R680)</f>
        <v>0</v>
      </c>
      <c r="S677" s="11">
        <f>SUM(S678:S680)</f>
        <v>0</v>
      </c>
      <c r="T677" s="11">
        <v>0</v>
      </c>
      <c r="U677" s="11">
        <f>SUM(U678:U680)</f>
        <v>0</v>
      </c>
      <c r="V677" s="11">
        <f>SUM(V678:V680)</f>
        <v>0</v>
      </c>
      <c r="W677" s="32">
        <f t="shared" si="69"/>
        <v>0</v>
      </c>
    </row>
    <row r="678" spans="1:23" ht="12" hidden="1">
      <c r="A678" s="25"/>
      <c r="B678" s="25"/>
      <c r="C678" s="26">
        <v>4210</v>
      </c>
      <c r="D678" s="27" t="s">
        <v>34</v>
      </c>
      <c r="E678" s="86">
        <v>2000</v>
      </c>
      <c r="F678" s="86">
        <v>2000</v>
      </c>
      <c r="G678" s="86">
        <v>2400</v>
      </c>
      <c r="H678" s="86">
        <v>2400</v>
      </c>
      <c r="I678" s="86"/>
      <c r="J678" s="86">
        <v>2400</v>
      </c>
      <c r="K678" s="86">
        <v>2400</v>
      </c>
      <c r="L678" s="86">
        <v>2400</v>
      </c>
      <c r="M678" s="86">
        <v>2400</v>
      </c>
      <c r="N678" s="86">
        <v>2400</v>
      </c>
      <c r="O678" s="86">
        <v>2400</v>
      </c>
      <c r="P678" s="86">
        <v>2400</v>
      </c>
      <c r="Q678" s="186">
        <f t="shared" si="68"/>
        <v>1</v>
      </c>
      <c r="R678" s="86"/>
      <c r="S678" s="86"/>
      <c r="T678" s="86">
        <v>0</v>
      </c>
      <c r="U678" s="86"/>
      <c r="V678" s="86"/>
      <c r="W678" s="32">
        <f t="shared" si="69"/>
        <v>0</v>
      </c>
    </row>
    <row r="679" spans="1:23" ht="12" hidden="1">
      <c r="A679" s="25"/>
      <c r="B679" s="25"/>
      <c r="C679" s="26">
        <v>4170</v>
      </c>
      <c r="D679" s="27" t="s">
        <v>69</v>
      </c>
      <c r="E679" s="12">
        <v>2800</v>
      </c>
      <c r="F679" s="12">
        <v>2800</v>
      </c>
      <c r="G679" s="12">
        <v>1400</v>
      </c>
      <c r="H679" s="12">
        <v>1400</v>
      </c>
      <c r="I679" s="12"/>
      <c r="J679" s="12">
        <v>1400</v>
      </c>
      <c r="K679" s="12">
        <v>1400</v>
      </c>
      <c r="L679" s="12">
        <v>1400</v>
      </c>
      <c r="M679" s="12">
        <v>1400</v>
      </c>
      <c r="N679" s="12">
        <v>1400</v>
      </c>
      <c r="O679" s="12">
        <v>1400</v>
      </c>
      <c r="P679" s="12">
        <v>1400</v>
      </c>
      <c r="Q679" s="186">
        <f t="shared" si="68"/>
        <v>1</v>
      </c>
      <c r="R679" s="12"/>
      <c r="S679" s="12"/>
      <c r="T679" s="12">
        <v>0</v>
      </c>
      <c r="U679" s="12"/>
      <c r="V679" s="12"/>
      <c r="W679" s="32">
        <f t="shared" si="69"/>
        <v>0</v>
      </c>
    </row>
    <row r="680" spans="1:23" ht="12" hidden="1">
      <c r="A680" s="25"/>
      <c r="B680" s="25"/>
      <c r="C680" s="26">
        <v>4300</v>
      </c>
      <c r="D680" s="27" t="s">
        <v>154</v>
      </c>
      <c r="E680" s="12"/>
      <c r="F680" s="12"/>
      <c r="G680" s="12"/>
      <c r="H680" s="12"/>
      <c r="I680" s="12"/>
      <c r="J680" s="12"/>
      <c r="K680" s="12"/>
      <c r="L680" s="12">
        <v>1500</v>
      </c>
      <c r="M680" s="12">
        <v>13500</v>
      </c>
      <c r="N680" s="12">
        <v>3500</v>
      </c>
      <c r="O680" s="12">
        <v>3500</v>
      </c>
      <c r="P680" s="12">
        <v>3500</v>
      </c>
      <c r="Q680" s="186">
        <f t="shared" si="68"/>
        <v>1</v>
      </c>
      <c r="R680" s="12"/>
      <c r="S680" s="12"/>
      <c r="T680" s="12">
        <v>0</v>
      </c>
      <c r="U680" s="12"/>
      <c r="V680" s="12"/>
      <c r="W680" s="32">
        <f t="shared" si="69"/>
        <v>0</v>
      </c>
    </row>
    <row r="681" spans="1:23" ht="30" customHeight="1" hidden="1">
      <c r="A681" s="25"/>
      <c r="B681" s="25"/>
      <c r="C681" s="26"/>
      <c r="D681" s="42" t="s">
        <v>163</v>
      </c>
      <c r="E681" s="12"/>
      <c r="F681" s="12"/>
      <c r="G681" s="12"/>
      <c r="H681" s="12"/>
      <c r="I681" s="12"/>
      <c r="J681" s="12">
        <f aca="true" t="shared" si="70" ref="J681:S681">SUM(J682)</f>
        <v>110000</v>
      </c>
      <c r="K681" s="12">
        <f t="shared" si="70"/>
        <v>110000</v>
      </c>
      <c r="L681" s="12">
        <f t="shared" si="70"/>
        <v>110000</v>
      </c>
      <c r="M681" s="12">
        <f t="shared" si="70"/>
        <v>0</v>
      </c>
      <c r="N681" s="12">
        <v>0</v>
      </c>
      <c r="O681" s="12">
        <v>0</v>
      </c>
      <c r="P681" s="12">
        <f t="shared" si="70"/>
        <v>0</v>
      </c>
      <c r="Q681" s="186"/>
      <c r="R681" s="12">
        <f t="shared" si="70"/>
        <v>0</v>
      </c>
      <c r="S681" s="12">
        <f t="shared" si="70"/>
        <v>0</v>
      </c>
      <c r="T681" s="12">
        <v>0</v>
      </c>
      <c r="U681" s="12">
        <f>SUM(U682)</f>
        <v>0</v>
      </c>
      <c r="V681" s="12">
        <f>SUM(V682)</f>
        <v>0</v>
      </c>
      <c r="W681" s="32">
        <f t="shared" si="69"/>
        <v>0</v>
      </c>
    </row>
    <row r="682" spans="1:23" ht="28.5" customHeight="1" hidden="1">
      <c r="A682" s="8"/>
      <c r="B682" s="8"/>
      <c r="C682" s="26">
        <v>6050</v>
      </c>
      <c r="D682" s="10" t="s">
        <v>155</v>
      </c>
      <c r="E682" s="11"/>
      <c r="F682" s="11"/>
      <c r="G682" s="12"/>
      <c r="H682" s="12"/>
      <c r="I682" s="12"/>
      <c r="J682" s="12">
        <v>110000</v>
      </c>
      <c r="K682" s="12">
        <v>110000</v>
      </c>
      <c r="L682" s="12">
        <v>110000</v>
      </c>
      <c r="M682" s="12">
        <v>0</v>
      </c>
      <c r="N682" s="12">
        <v>0</v>
      </c>
      <c r="O682" s="12">
        <v>0</v>
      </c>
      <c r="P682" s="12">
        <v>0</v>
      </c>
      <c r="Q682" s="186"/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32">
        <f t="shared" si="69"/>
        <v>0</v>
      </c>
    </row>
    <row r="683" spans="1:26" s="80" customFormat="1" ht="28.5" customHeight="1">
      <c r="A683" s="8"/>
      <c r="B683" s="8"/>
      <c r="C683" s="36"/>
      <c r="D683" s="89" t="s">
        <v>382</v>
      </c>
      <c r="E683" s="35"/>
      <c r="F683" s="35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186"/>
      <c r="R683" s="37"/>
      <c r="S683" s="37"/>
      <c r="T683" s="37">
        <f>SUM(T684:T705)</f>
        <v>0</v>
      </c>
      <c r="U683" s="37">
        <f>SUM(U684:U705)</f>
        <v>150000</v>
      </c>
      <c r="V683" s="37">
        <f>SUM(V684:V705)</f>
        <v>0</v>
      </c>
      <c r="W683" s="32">
        <f t="shared" si="69"/>
        <v>150000</v>
      </c>
      <c r="Y683" s="227"/>
      <c r="Z683" s="227"/>
    </row>
    <row r="684" spans="1:23" ht="24">
      <c r="A684" s="8"/>
      <c r="B684" s="8"/>
      <c r="C684" s="26">
        <v>3020</v>
      </c>
      <c r="D684" s="27" t="s">
        <v>68</v>
      </c>
      <c r="E684" s="11">
        <v>1600</v>
      </c>
      <c r="F684" s="11">
        <v>1600</v>
      </c>
      <c r="G684" s="12">
        <v>1636</v>
      </c>
      <c r="H684" s="12">
        <v>1640</v>
      </c>
      <c r="I684" s="12"/>
      <c r="J684" s="12">
        <v>1640</v>
      </c>
      <c r="K684" s="12">
        <v>1640</v>
      </c>
      <c r="L684" s="12">
        <v>1640</v>
      </c>
      <c r="M684" s="12">
        <v>1688</v>
      </c>
      <c r="N684" s="12">
        <v>1690</v>
      </c>
      <c r="O684" s="12">
        <v>1690</v>
      </c>
      <c r="P684" s="12">
        <v>800</v>
      </c>
      <c r="Q684" s="186">
        <f aca="true" t="shared" si="71" ref="Q684:Q705">P684/O684</f>
        <v>0.47337278106508873</v>
      </c>
      <c r="R684" s="12">
        <v>1690</v>
      </c>
      <c r="S684" s="12">
        <v>1690</v>
      </c>
      <c r="T684" s="12"/>
      <c r="U684" s="12"/>
      <c r="V684" s="12"/>
      <c r="W684" s="32">
        <f aca="true" t="shared" si="72" ref="W684:W705">T684+U684-V684</f>
        <v>0</v>
      </c>
    </row>
    <row r="685" spans="1:23" ht="24">
      <c r="A685" s="8"/>
      <c r="B685" s="8"/>
      <c r="C685" s="26">
        <v>4010</v>
      </c>
      <c r="D685" s="27" t="s">
        <v>29</v>
      </c>
      <c r="E685" s="11">
        <v>111550</v>
      </c>
      <c r="F685" s="11">
        <v>111550</v>
      </c>
      <c r="G685" s="12">
        <v>143208</v>
      </c>
      <c r="H685" s="12">
        <v>143210</v>
      </c>
      <c r="I685" s="12"/>
      <c r="J685" s="12">
        <v>143210</v>
      </c>
      <c r="K685" s="12">
        <v>143210</v>
      </c>
      <c r="L685" s="12">
        <v>145600</v>
      </c>
      <c r="M685" s="12">
        <v>151278</v>
      </c>
      <c r="N685" s="12">
        <v>151280</v>
      </c>
      <c r="O685" s="12">
        <v>151280</v>
      </c>
      <c r="P685" s="12">
        <v>79234</v>
      </c>
      <c r="Q685" s="186">
        <f t="shared" si="71"/>
        <v>0.5237572712850344</v>
      </c>
      <c r="R685" s="12">
        <v>175680</v>
      </c>
      <c r="S685" s="12">
        <v>175680</v>
      </c>
      <c r="T685" s="12"/>
      <c r="U685" s="12">
        <v>12150</v>
      </c>
      <c r="V685" s="12"/>
      <c r="W685" s="32">
        <f t="shared" si="72"/>
        <v>12150</v>
      </c>
    </row>
    <row r="686" spans="1:23" ht="12">
      <c r="A686" s="8"/>
      <c r="B686" s="8"/>
      <c r="C686" s="26">
        <v>4040</v>
      </c>
      <c r="D686" s="27" t="s">
        <v>30</v>
      </c>
      <c r="E686" s="11">
        <v>8630</v>
      </c>
      <c r="F686" s="11">
        <v>8630</v>
      </c>
      <c r="G686" s="12">
        <v>11800</v>
      </c>
      <c r="H686" s="12">
        <v>11800</v>
      </c>
      <c r="I686" s="12"/>
      <c r="J686" s="12">
        <v>11800</v>
      </c>
      <c r="K686" s="12">
        <v>11800</v>
      </c>
      <c r="L686" s="12">
        <v>9750</v>
      </c>
      <c r="M686" s="12">
        <v>12376</v>
      </c>
      <c r="N686" s="12">
        <v>12380</v>
      </c>
      <c r="O686" s="12">
        <v>10979</v>
      </c>
      <c r="P686" s="12">
        <v>10979</v>
      </c>
      <c r="Q686" s="186">
        <f t="shared" si="71"/>
        <v>1</v>
      </c>
      <c r="R686" s="12">
        <v>10979</v>
      </c>
      <c r="S686" s="12">
        <v>14940</v>
      </c>
      <c r="T686" s="12"/>
      <c r="U686" s="12"/>
      <c r="V686" s="12"/>
      <c r="W686" s="32">
        <f t="shared" si="72"/>
        <v>0</v>
      </c>
    </row>
    <row r="687" spans="1:23" ht="24">
      <c r="A687" s="8"/>
      <c r="B687" s="8"/>
      <c r="C687" s="26">
        <v>4110</v>
      </c>
      <c r="D687" s="27" t="s">
        <v>113</v>
      </c>
      <c r="E687" s="11">
        <v>20290</v>
      </c>
      <c r="F687" s="11">
        <v>20290</v>
      </c>
      <c r="G687" s="12">
        <v>24500</v>
      </c>
      <c r="H687" s="12">
        <v>22010</v>
      </c>
      <c r="I687" s="12"/>
      <c r="J687" s="12">
        <v>22010</v>
      </c>
      <c r="K687" s="12">
        <v>22010</v>
      </c>
      <c r="L687" s="12">
        <v>22859</v>
      </c>
      <c r="M687" s="12">
        <v>26696</v>
      </c>
      <c r="N687" s="12">
        <v>24880</v>
      </c>
      <c r="O687" s="12">
        <v>24880</v>
      </c>
      <c r="P687" s="12">
        <v>12936</v>
      </c>
      <c r="Q687" s="186">
        <f t="shared" si="71"/>
        <v>0.519935691318328</v>
      </c>
      <c r="R687" s="12">
        <v>30198</v>
      </c>
      <c r="S687" s="12">
        <v>29280</v>
      </c>
      <c r="T687" s="12"/>
      <c r="U687" s="12">
        <v>3530</v>
      </c>
      <c r="V687" s="12"/>
      <c r="W687" s="32">
        <f t="shared" si="72"/>
        <v>3530</v>
      </c>
    </row>
    <row r="688" spans="1:23" ht="12">
      <c r="A688" s="8"/>
      <c r="B688" s="8"/>
      <c r="C688" s="26">
        <v>4120</v>
      </c>
      <c r="D688" s="27" t="s">
        <v>32</v>
      </c>
      <c r="E688" s="11">
        <v>2880</v>
      </c>
      <c r="F688" s="11">
        <v>2880</v>
      </c>
      <c r="G688" s="12">
        <v>3800</v>
      </c>
      <c r="H688" s="12">
        <v>3720</v>
      </c>
      <c r="I688" s="12"/>
      <c r="J688" s="12">
        <v>3720</v>
      </c>
      <c r="K688" s="12">
        <v>3720</v>
      </c>
      <c r="L688" s="12">
        <v>3567</v>
      </c>
      <c r="M688" s="12">
        <v>4166</v>
      </c>
      <c r="N688" s="12">
        <v>3930</v>
      </c>
      <c r="O688" s="12">
        <v>3930</v>
      </c>
      <c r="P688" s="12">
        <v>2272</v>
      </c>
      <c r="Q688" s="186">
        <f t="shared" si="71"/>
        <v>0.5781170483460559</v>
      </c>
      <c r="R688" s="12">
        <v>4973</v>
      </c>
      <c r="S688" s="12">
        <v>4570</v>
      </c>
      <c r="T688" s="12"/>
      <c r="U688" s="12">
        <v>570</v>
      </c>
      <c r="V688" s="12"/>
      <c r="W688" s="32">
        <f t="shared" si="72"/>
        <v>570</v>
      </c>
    </row>
    <row r="689" spans="1:23" ht="12">
      <c r="A689" s="8"/>
      <c r="B689" s="8"/>
      <c r="C689" s="26">
        <v>4170</v>
      </c>
      <c r="D689" s="27" t="s">
        <v>69</v>
      </c>
      <c r="E689" s="11">
        <v>2000</v>
      </c>
      <c r="F689" s="11">
        <v>2000</v>
      </c>
      <c r="G689" s="12">
        <v>2046</v>
      </c>
      <c r="H689" s="12">
        <v>2050</v>
      </c>
      <c r="I689" s="12"/>
      <c r="J689" s="12">
        <v>2050</v>
      </c>
      <c r="K689" s="12">
        <v>2050</v>
      </c>
      <c r="L689" s="12">
        <v>2050</v>
      </c>
      <c r="M689" s="12">
        <v>4800</v>
      </c>
      <c r="N689" s="12">
        <v>4800</v>
      </c>
      <c r="O689" s="12">
        <v>4800</v>
      </c>
      <c r="P689" s="12">
        <v>1746</v>
      </c>
      <c r="Q689" s="186">
        <f t="shared" si="71"/>
        <v>0.36375</v>
      </c>
      <c r="R689" s="12">
        <v>4800</v>
      </c>
      <c r="S689" s="12">
        <v>4800</v>
      </c>
      <c r="T689" s="12"/>
      <c r="U689" s="12">
        <v>10526</v>
      </c>
      <c r="V689" s="12"/>
      <c r="W689" s="32">
        <f t="shared" si="72"/>
        <v>10526</v>
      </c>
    </row>
    <row r="690" spans="1:23" ht="12">
      <c r="A690" s="8"/>
      <c r="B690" s="8"/>
      <c r="C690" s="26">
        <v>4210</v>
      </c>
      <c r="D690" s="27" t="s">
        <v>34</v>
      </c>
      <c r="E690" s="11">
        <f>ROUND(14000*101.9%,-1)-6120</f>
        <v>8150</v>
      </c>
      <c r="F690" s="11">
        <f>ROUND(14000*101.9%,-1)-6120</f>
        <v>8150</v>
      </c>
      <c r="G690" s="12">
        <v>20315</v>
      </c>
      <c r="H690" s="12">
        <v>8340</v>
      </c>
      <c r="I690" s="12"/>
      <c r="J690" s="12">
        <v>8340</v>
      </c>
      <c r="K690" s="12">
        <v>8340</v>
      </c>
      <c r="L690" s="12">
        <v>8340</v>
      </c>
      <c r="M690" s="12">
        <v>13582</v>
      </c>
      <c r="N690" s="12">
        <v>13580</v>
      </c>
      <c r="O690" s="12">
        <v>13580</v>
      </c>
      <c r="P690" s="12">
        <v>3083</v>
      </c>
      <c r="Q690" s="186">
        <f t="shared" si="71"/>
        <v>0.22702503681885125</v>
      </c>
      <c r="R690" s="12">
        <v>13580</v>
      </c>
      <c r="S690" s="12">
        <v>13580</v>
      </c>
      <c r="T690" s="12"/>
      <c r="U690" s="12">
        <v>77000</v>
      </c>
      <c r="V690" s="12"/>
      <c r="W690" s="32">
        <f t="shared" si="72"/>
        <v>77000</v>
      </c>
    </row>
    <row r="691" spans="1:23" ht="24">
      <c r="A691" s="8"/>
      <c r="B691" s="8"/>
      <c r="C691" s="26">
        <v>4240</v>
      </c>
      <c r="D691" s="27" t="s">
        <v>129</v>
      </c>
      <c r="E691" s="11"/>
      <c r="F691" s="11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86"/>
      <c r="R691" s="12"/>
      <c r="S691" s="12"/>
      <c r="T691" s="12"/>
      <c r="U691" s="12">
        <v>17700</v>
      </c>
      <c r="V691" s="12"/>
      <c r="W691" s="32">
        <f t="shared" si="72"/>
        <v>17700</v>
      </c>
    </row>
    <row r="692" spans="1:23" ht="12">
      <c r="A692" s="8"/>
      <c r="B692" s="8"/>
      <c r="C692" s="26">
        <v>4260</v>
      </c>
      <c r="D692" s="27" t="s">
        <v>35</v>
      </c>
      <c r="E692" s="11">
        <v>3210</v>
      </c>
      <c r="F692" s="11">
        <v>3210</v>
      </c>
      <c r="G692" s="12">
        <v>3283</v>
      </c>
      <c r="H692" s="12">
        <v>3280</v>
      </c>
      <c r="I692" s="12"/>
      <c r="J692" s="12">
        <v>3280</v>
      </c>
      <c r="K692" s="12">
        <v>3280</v>
      </c>
      <c r="L692" s="12">
        <v>3280</v>
      </c>
      <c r="M692" s="12">
        <v>3375</v>
      </c>
      <c r="N692" s="12">
        <v>3380</v>
      </c>
      <c r="O692" s="12">
        <v>6436</v>
      </c>
      <c r="P692" s="12">
        <v>2821</v>
      </c>
      <c r="Q692" s="186">
        <f t="shared" si="71"/>
        <v>0.4383157240522063</v>
      </c>
      <c r="R692" s="12">
        <v>6436</v>
      </c>
      <c r="S692" s="12">
        <v>6760</v>
      </c>
      <c r="T692" s="12"/>
      <c r="U692" s="12">
        <v>8000</v>
      </c>
      <c r="V692" s="12"/>
      <c r="W692" s="32">
        <f t="shared" si="72"/>
        <v>8000</v>
      </c>
    </row>
    <row r="693" spans="1:23" ht="12">
      <c r="A693" s="8"/>
      <c r="B693" s="8"/>
      <c r="C693" s="26">
        <v>4270</v>
      </c>
      <c r="D693" s="27" t="s">
        <v>53</v>
      </c>
      <c r="E693" s="11">
        <v>620</v>
      </c>
      <c r="F693" s="11">
        <v>620</v>
      </c>
      <c r="G693" s="12">
        <v>1019</v>
      </c>
      <c r="H693" s="12">
        <v>640</v>
      </c>
      <c r="I693" s="12"/>
      <c r="J693" s="12">
        <v>640</v>
      </c>
      <c r="K693" s="12">
        <v>640</v>
      </c>
      <c r="L693" s="12">
        <v>640</v>
      </c>
      <c r="M693" s="12">
        <v>659</v>
      </c>
      <c r="N693" s="12">
        <v>660</v>
      </c>
      <c r="O693" s="12">
        <v>660</v>
      </c>
      <c r="P693" s="12"/>
      <c r="Q693" s="186">
        <f t="shared" si="71"/>
        <v>0</v>
      </c>
      <c r="R693" s="12">
        <v>660</v>
      </c>
      <c r="S693" s="12">
        <v>660</v>
      </c>
      <c r="T693" s="12"/>
      <c r="U693" s="12">
        <v>10000</v>
      </c>
      <c r="V693" s="12"/>
      <c r="W693" s="32">
        <f t="shared" si="72"/>
        <v>10000</v>
      </c>
    </row>
    <row r="694" spans="1:23" ht="12" hidden="1">
      <c r="A694" s="8"/>
      <c r="B694" s="8"/>
      <c r="C694" s="26">
        <v>4280</v>
      </c>
      <c r="D694" s="27" t="s">
        <v>37</v>
      </c>
      <c r="E694" s="11">
        <v>150</v>
      </c>
      <c r="F694" s="11">
        <v>150</v>
      </c>
      <c r="G694" s="12">
        <v>250</v>
      </c>
      <c r="H694" s="12">
        <v>160</v>
      </c>
      <c r="I694" s="12"/>
      <c r="J694" s="12">
        <v>160</v>
      </c>
      <c r="K694" s="12">
        <v>460</v>
      </c>
      <c r="L694" s="12">
        <v>160</v>
      </c>
      <c r="M694" s="12">
        <v>165</v>
      </c>
      <c r="N694" s="12">
        <v>170</v>
      </c>
      <c r="O694" s="12">
        <v>170</v>
      </c>
      <c r="P694" s="12">
        <v>140</v>
      </c>
      <c r="Q694" s="186">
        <f t="shared" si="71"/>
        <v>0.8235294117647058</v>
      </c>
      <c r="R694" s="12">
        <v>270</v>
      </c>
      <c r="S694" s="12">
        <v>270</v>
      </c>
      <c r="T694" s="12"/>
      <c r="U694" s="12"/>
      <c r="V694" s="12"/>
      <c r="W694" s="32">
        <f t="shared" si="72"/>
        <v>0</v>
      </c>
    </row>
    <row r="695" spans="1:23" ht="12">
      <c r="A695" s="8"/>
      <c r="B695" s="8"/>
      <c r="C695" s="26">
        <v>4300</v>
      </c>
      <c r="D695" s="27" t="s">
        <v>154</v>
      </c>
      <c r="E695" s="11">
        <v>2550</v>
      </c>
      <c r="F695" s="11">
        <v>2550</v>
      </c>
      <c r="G695" s="12">
        <v>2648</v>
      </c>
      <c r="H695" s="12">
        <v>2610</v>
      </c>
      <c r="I695" s="12"/>
      <c r="J695" s="12">
        <v>2610</v>
      </c>
      <c r="K695" s="12">
        <v>2738</v>
      </c>
      <c r="L695" s="12">
        <v>2738</v>
      </c>
      <c r="M695" s="12">
        <v>2817</v>
      </c>
      <c r="N695" s="12">
        <v>2820</v>
      </c>
      <c r="O695" s="12">
        <v>8720</v>
      </c>
      <c r="P695" s="12">
        <v>7488</v>
      </c>
      <c r="Q695" s="186">
        <f t="shared" si="71"/>
        <v>0.8587155963302753</v>
      </c>
      <c r="R695" s="12">
        <v>9720</v>
      </c>
      <c r="S695" s="12">
        <v>9720</v>
      </c>
      <c r="T695" s="12"/>
      <c r="U695" s="12">
        <v>10000</v>
      </c>
      <c r="V695" s="12"/>
      <c r="W695" s="32">
        <f t="shared" si="72"/>
        <v>10000</v>
      </c>
    </row>
    <row r="696" spans="1:23" ht="24" hidden="1">
      <c r="A696" s="8"/>
      <c r="B696" s="8"/>
      <c r="C696" s="26">
        <v>4350</v>
      </c>
      <c r="D696" s="27" t="s">
        <v>38</v>
      </c>
      <c r="E696" s="11">
        <v>1980</v>
      </c>
      <c r="F696" s="11">
        <v>1980</v>
      </c>
      <c r="G696" s="12">
        <v>2025</v>
      </c>
      <c r="H696" s="12">
        <v>2030</v>
      </c>
      <c r="I696" s="12"/>
      <c r="J696" s="12">
        <v>2030</v>
      </c>
      <c r="K696" s="12">
        <v>1730</v>
      </c>
      <c r="L696" s="12">
        <v>2030</v>
      </c>
      <c r="M696" s="12">
        <v>2089</v>
      </c>
      <c r="N696" s="12">
        <v>2090</v>
      </c>
      <c r="O696" s="12">
        <v>2090</v>
      </c>
      <c r="P696" s="12">
        <v>959</v>
      </c>
      <c r="Q696" s="186">
        <f t="shared" si="71"/>
        <v>0.45885167464114834</v>
      </c>
      <c r="R696" s="12">
        <v>2090</v>
      </c>
      <c r="S696" s="12">
        <v>2090</v>
      </c>
      <c r="T696" s="12"/>
      <c r="U696" s="12"/>
      <c r="V696" s="12"/>
      <c r="W696" s="32">
        <f t="shared" si="72"/>
        <v>0</v>
      </c>
    </row>
    <row r="697" spans="1:23" ht="36" hidden="1">
      <c r="A697" s="8"/>
      <c r="B697" s="8"/>
      <c r="C697" s="26">
        <v>4370</v>
      </c>
      <c r="D697" s="27" t="s">
        <v>135</v>
      </c>
      <c r="E697" s="11">
        <v>6110</v>
      </c>
      <c r="F697" s="11">
        <v>6110</v>
      </c>
      <c r="G697" s="12">
        <v>6250</v>
      </c>
      <c r="H697" s="12">
        <v>6250</v>
      </c>
      <c r="I697" s="12"/>
      <c r="J697" s="12">
        <v>6250</v>
      </c>
      <c r="K697" s="12">
        <v>6250</v>
      </c>
      <c r="L697" s="12">
        <v>6250</v>
      </c>
      <c r="M697" s="12">
        <v>6431</v>
      </c>
      <c r="N697" s="12">
        <v>6430</v>
      </c>
      <c r="O697" s="12">
        <v>6430</v>
      </c>
      <c r="P697" s="12">
        <v>1107</v>
      </c>
      <c r="Q697" s="186">
        <f t="shared" si="71"/>
        <v>0.17216174183514774</v>
      </c>
      <c r="R697" s="12">
        <v>4330</v>
      </c>
      <c r="S697" s="12">
        <v>4330</v>
      </c>
      <c r="T697" s="12"/>
      <c r="U697" s="12"/>
      <c r="V697" s="12"/>
      <c r="W697" s="32">
        <f t="shared" si="72"/>
        <v>0</v>
      </c>
    </row>
    <row r="698" spans="1:23" ht="12" hidden="1">
      <c r="A698" s="8"/>
      <c r="B698" s="8"/>
      <c r="C698" s="26">
        <v>4410</v>
      </c>
      <c r="D698" s="27" t="s">
        <v>42</v>
      </c>
      <c r="E698" s="11">
        <v>1070</v>
      </c>
      <c r="F698" s="11">
        <v>1070</v>
      </c>
      <c r="G698" s="12">
        <v>1200</v>
      </c>
      <c r="H698" s="12">
        <v>1100</v>
      </c>
      <c r="I698" s="12"/>
      <c r="J698" s="12">
        <v>1100</v>
      </c>
      <c r="K698" s="12">
        <v>1100</v>
      </c>
      <c r="L698" s="12">
        <v>1100</v>
      </c>
      <c r="M698" s="12">
        <v>1132</v>
      </c>
      <c r="N698" s="12">
        <v>1130</v>
      </c>
      <c r="O698" s="12">
        <v>1130</v>
      </c>
      <c r="P698" s="12">
        <v>213</v>
      </c>
      <c r="Q698" s="186">
        <f t="shared" si="71"/>
        <v>0.18849557522123894</v>
      </c>
      <c r="R698" s="12">
        <v>1130</v>
      </c>
      <c r="S698" s="12">
        <v>1130</v>
      </c>
      <c r="T698" s="12"/>
      <c r="U698" s="12"/>
      <c r="V698" s="12"/>
      <c r="W698" s="32">
        <f t="shared" si="72"/>
        <v>0</v>
      </c>
    </row>
    <row r="699" spans="1:23" ht="12" hidden="1">
      <c r="A699" s="8"/>
      <c r="B699" s="8"/>
      <c r="C699" s="26">
        <v>4430</v>
      </c>
      <c r="D699" s="27" t="s">
        <v>43</v>
      </c>
      <c r="E699" s="11">
        <v>200</v>
      </c>
      <c r="F699" s="11">
        <v>200</v>
      </c>
      <c r="G699" s="12">
        <v>205</v>
      </c>
      <c r="H699" s="12">
        <v>210</v>
      </c>
      <c r="I699" s="12"/>
      <c r="J699" s="12">
        <v>210</v>
      </c>
      <c r="K699" s="12">
        <v>210</v>
      </c>
      <c r="L699" s="12">
        <v>210</v>
      </c>
      <c r="M699" s="12">
        <v>216</v>
      </c>
      <c r="N699" s="12">
        <v>220</v>
      </c>
      <c r="O699" s="12">
        <v>220</v>
      </c>
      <c r="P699" s="12"/>
      <c r="Q699" s="186">
        <f t="shared" si="71"/>
        <v>0</v>
      </c>
      <c r="R699" s="12">
        <v>220</v>
      </c>
      <c r="S699" s="12">
        <v>220</v>
      </c>
      <c r="T699" s="12"/>
      <c r="U699" s="12"/>
      <c r="V699" s="12"/>
      <c r="W699" s="32">
        <f t="shared" si="72"/>
        <v>0</v>
      </c>
    </row>
    <row r="700" spans="1:23" ht="24">
      <c r="A700" s="8"/>
      <c r="B700" s="8"/>
      <c r="C700" s="26">
        <v>4440</v>
      </c>
      <c r="D700" s="27" t="s">
        <v>44</v>
      </c>
      <c r="E700" s="11">
        <v>3900</v>
      </c>
      <c r="F700" s="11">
        <v>3900</v>
      </c>
      <c r="G700" s="12">
        <v>4150</v>
      </c>
      <c r="H700" s="12">
        <v>4150</v>
      </c>
      <c r="I700" s="12"/>
      <c r="J700" s="12">
        <v>4150</v>
      </c>
      <c r="K700" s="12">
        <v>4150</v>
      </c>
      <c r="L700" s="12">
        <v>16285</v>
      </c>
      <c r="M700" s="12">
        <v>4710</v>
      </c>
      <c r="N700" s="12">
        <v>4700</v>
      </c>
      <c r="O700" s="12">
        <v>4700</v>
      </c>
      <c r="P700" s="12">
        <v>3750</v>
      </c>
      <c r="Q700" s="186">
        <f t="shared" si="71"/>
        <v>0.7978723404255319</v>
      </c>
      <c r="R700" s="12">
        <v>5000</v>
      </c>
      <c r="S700" s="12">
        <v>5000</v>
      </c>
      <c r="T700" s="12"/>
      <c r="U700" s="12">
        <v>524</v>
      </c>
      <c r="V700" s="12"/>
      <c r="W700" s="32">
        <f t="shared" si="72"/>
        <v>524</v>
      </c>
    </row>
    <row r="701" spans="1:23" ht="12.75" customHeight="1" hidden="1">
      <c r="A701" s="8"/>
      <c r="B701" s="8"/>
      <c r="C701" s="26">
        <v>4510</v>
      </c>
      <c r="D701" s="27" t="s">
        <v>91</v>
      </c>
      <c r="E701" s="11">
        <v>0</v>
      </c>
      <c r="F701" s="11">
        <v>0</v>
      </c>
      <c r="G701" s="12">
        <v>150</v>
      </c>
      <c r="H701" s="12">
        <v>150</v>
      </c>
      <c r="I701" s="12"/>
      <c r="J701" s="12">
        <v>150</v>
      </c>
      <c r="K701" s="12">
        <v>150</v>
      </c>
      <c r="L701" s="12">
        <v>150</v>
      </c>
      <c r="M701" s="12">
        <v>155</v>
      </c>
      <c r="N701" s="12">
        <v>160</v>
      </c>
      <c r="O701" s="12">
        <v>160</v>
      </c>
      <c r="P701" s="12"/>
      <c r="Q701" s="186">
        <f t="shared" si="71"/>
        <v>0</v>
      </c>
      <c r="R701" s="12">
        <v>160</v>
      </c>
      <c r="S701" s="12">
        <v>160</v>
      </c>
      <c r="T701" s="12"/>
      <c r="U701" s="12"/>
      <c r="V701" s="12"/>
      <c r="W701" s="32">
        <f t="shared" si="72"/>
        <v>0</v>
      </c>
    </row>
    <row r="702" spans="1:23" ht="12" hidden="1">
      <c r="A702" s="8"/>
      <c r="B702" s="8"/>
      <c r="C702" s="26">
        <v>4480</v>
      </c>
      <c r="D702" s="27" t="s">
        <v>132</v>
      </c>
      <c r="E702" s="11">
        <v>0</v>
      </c>
      <c r="F702" s="11">
        <v>0</v>
      </c>
      <c r="G702" s="12">
        <v>150</v>
      </c>
      <c r="H702" s="12">
        <v>150</v>
      </c>
      <c r="I702" s="12"/>
      <c r="J702" s="12">
        <v>150</v>
      </c>
      <c r="K702" s="12">
        <v>150</v>
      </c>
      <c r="L702" s="12">
        <v>150</v>
      </c>
      <c r="M702" s="12">
        <v>155</v>
      </c>
      <c r="N702" s="12">
        <v>0</v>
      </c>
      <c r="O702" s="12">
        <v>346</v>
      </c>
      <c r="P702" s="12">
        <v>118</v>
      </c>
      <c r="Q702" s="186">
        <f t="shared" si="71"/>
        <v>0.34104046242774566</v>
      </c>
      <c r="R702" s="12">
        <v>346</v>
      </c>
      <c r="S702" s="12">
        <v>650</v>
      </c>
      <c r="T702" s="12"/>
      <c r="U702" s="12"/>
      <c r="V702" s="12"/>
      <c r="W702" s="32">
        <f t="shared" si="72"/>
        <v>0</v>
      </c>
    </row>
    <row r="703" spans="1:23" ht="36" hidden="1">
      <c r="A703" s="8"/>
      <c r="B703" s="88"/>
      <c r="C703" s="26">
        <v>4700</v>
      </c>
      <c r="D703" s="27" t="s">
        <v>46</v>
      </c>
      <c r="E703" s="11"/>
      <c r="F703" s="11">
        <v>2000</v>
      </c>
      <c r="G703" s="12">
        <v>2046</v>
      </c>
      <c r="H703" s="12">
        <v>2050</v>
      </c>
      <c r="I703" s="12"/>
      <c r="J703" s="12">
        <v>2000</v>
      </c>
      <c r="K703" s="12">
        <v>2000</v>
      </c>
      <c r="L703" s="12">
        <v>2000</v>
      </c>
      <c r="M703" s="12">
        <v>2058</v>
      </c>
      <c r="N703" s="12">
        <v>2060</v>
      </c>
      <c r="O703" s="12">
        <v>2060</v>
      </c>
      <c r="P703" s="12">
        <v>760</v>
      </c>
      <c r="Q703" s="186">
        <f t="shared" si="71"/>
        <v>0.36893203883495146</v>
      </c>
      <c r="R703" s="12">
        <v>2060</v>
      </c>
      <c r="S703" s="12">
        <v>2060</v>
      </c>
      <c r="T703" s="12"/>
      <c r="U703" s="12"/>
      <c r="V703" s="12"/>
      <c r="W703" s="32">
        <f t="shared" si="72"/>
        <v>0</v>
      </c>
    </row>
    <row r="704" spans="1:23" ht="36" hidden="1">
      <c r="A704" s="8"/>
      <c r="B704" s="8"/>
      <c r="C704" s="26">
        <v>4740</v>
      </c>
      <c r="D704" s="27" t="s">
        <v>73</v>
      </c>
      <c r="E704" s="11">
        <v>1020</v>
      </c>
      <c r="F704" s="11">
        <v>1020</v>
      </c>
      <c r="G704" s="12">
        <v>1050</v>
      </c>
      <c r="H704" s="12">
        <v>1050</v>
      </c>
      <c r="I704" s="12"/>
      <c r="J704" s="12">
        <v>1050</v>
      </c>
      <c r="K704" s="12">
        <v>1050</v>
      </c>
      <c r="L704" s="12">
        <v>1050</v>
      </c>
      <c r="M704" s="12">
        <v>1080</v>
      </c>
      <c r="N704" s="12">
        <v>1080</v>
      </c>
      <c r="O704" s="12">
        <v>1080</v>
      </c>
      <c r="P704" s="12">
        <v>129</v>
      </c>
      <c r="Q704" s="186">
        <f t="shared" si="71"/>
        <v>0.11944444444444445</v>
      </c>
      <c r="R704" s="12">
        <v>1080</v>
      </c>
      <c r="S704" s="12">
        <v>1080</v>
      </c>
      <c r="T704" s="12"/>
      <c r="U704" s="12"/>
      <c r="V704" s="12"/>
      <c r="W704" s="32">
        <f t="shared" si="72"/>
        <v>0</v>
      </c>
    </row>
    <row r="705" spans="1:23" ht="24" hidden="1">
      <c r="A705" s="8"/>
      <c r="B705" s="8"/>
      <c r="C705" s="26">
        <v>4750</v>
      </c>
      <c r="D705" s="27" t="s">
        <v>118</v>
      </c>
      <c r="E705" s="11">
        <v>5100</v>
      </c>
      <c r="F705" s="11">
        <v>10100</v>
      </c>
      <c r="G705" s="12">
        <v>10332</v>
      </c>
      <c r="H705" s="12">
        <v>10330</v>
      </c>
      <c r="I705" s="12"/>
      <c r="J705" s="12">
        <v>5220</v>
      </c>
      <c r="K705" s="12">
        <v>6026</v>
      </c>
      <c r="L705" s="12">
        <v>6026</v>
      </c>
      <c r="M705" s="12">
        <v>15500</v>
      </c>
      <c r="N705" s="12">
        <v>6200</v>
      </c>
      <c r="O705" s="12">
        <v>6200</v>
      </c>
      <c r="P705" s="12">
        <v>3162</v>
      </c>
      <c r="Q705" s="186">
        <f t="shared" si="71"/>
        <v>0.51</v>
      </c>
      <c r="R705" s="12">
        <v>7200</v>
      </c>
      <c r="S705" s="12">
        <v>7200</v>
      </c>
      <c r="T705" s="12"/>
      <c r="U705" s="12"/>
      <c r="V705" s="12"/>
      <c r="W705" s="32">
        <f t="shared" si="72"/>
        <v>0</v>
      </c>
    </row>
    <row r="706" spans="1:26" s="178" customFormat="1" ht="12">
      <c r="A706" s="174">
        <v>851</v>
      </c>
      <c r="B706" s="174"/>
      <c r="C706" s="175"/>
      <c r="D706" s="176" t="s">
        <v>167</v>
      </c>
      <c r="E706" s="177" t="e">
        <f>E709+E721+#REF!</f>
        <v>#REF!</v>
      </c>
      <c r="F706" s="177" t="e">
        <f>F709+F721+#REF!</f>
        <v>#REF!</v>
      </c>
      <c r="G706" s="177" t="e">
        <f>G709+G721+#REF!</f>
        <v>#REF!</v>
      </c>
      <c r="H706" s="177" t="e">
        <f>H709+H721+#REF!</f>
        <v>#REF!</v>
      </c>
      <c r="I706" s="177"/>
      <c r="J706" s="177" t="e">
        <f>J709+J721+#REF!</f>
        <v>#REF!</v>
      </c>
      <c r="K706" s="177" t="e">
        <f>K709+K721+#REF!</f>
        <v>#REF!</v>
      </c>
      <c r="L706" s="177" t="e">
        <f>L709+L721+#REF!</f>
        <v>#REF!</v>
      </c>
      <c r="M706" s="177" t="e">
        <f>M709+M721+#REF!</f>
        <v>#REF!</v>
      </c>
      <c r="N706" s="177">
        <v>1224000</v>
      </c>
      <c r="O706" s="177">
        <v>2340000</v>
      </c>
      <c r="P706" s="177">
        <f>P709+P721+P707</f>
        <v>1094700</v>
      </c>
      <c r="Q706" s="187">
        <f t="shared" si="68"/>
        <v>0.46782051282051285</v>
      </c>
      <c r="R706" s="177">
        <f>R709+R721+R707</f>
        <v>2483884</v>
      </c>
      <c r="S706" s="177">
        <f>S709+S721+S707</f>
        <v>7930940</v>
      </c>
      <c r="T706" s="177">
        <v>5674300</v>
      </c>
      <c r="U706" s="177">
        <f>U709+U721+U707</f>
        <v>0</v>
      </c>
      <c r="V706" s="177">
        <f>V709+V721+V707</f>
        <v>0</v>
      </c>
      <c r="W706" s="32">
        <f t="shared" si="69"/>
        <v>5674300</v>
      </c>
      <c r="Y706" s="230"/>
      <c r="Z706" s="230"/>
    </row>
    <row r="707" spans="1:26" s="180" customFormat="1" ht="14.25">
      <c r="A707" s="249"/>
      <c r="B707" s="250">
        <v>85111</v>
      </c>
      <c r="C707" s="251"/>
      <c r="D707" s="252" t="s">
        <v>310</v>
      </c>
      <c r="E707" s="177"/>
      <c r="F707" s="177"/>
      <c r="G707" s="177"/>
      <c r="H707" s="177"/>
      <c r="I707" s="177"/>
      <c r="J707" s="177">
        <f>SUM(J708)</f>
        <v>300000</v>
      </c>
      <c r="K707" s="177">
        <f>SUM(K708)</f>
        <v>0</v>
      </c>
      <c r="L707" s="177">
        <f>SUM(L708)</f>
        <v>0</v>
      </c>
      <c r="M707" s="179">
        <f>J707+K707-L707</f>
        <v>300000</v>
      </c>
      <c r="N707" s="253">
        <v>0</v>
      </c>
      <c r="O707" s="253">
        <v>1200000</v>
      </c>
      <c r="P707" s="253">
        <f>SUM(P708)</f>
        <v>0</v>
      </c>
      <c r="Q707" s="187">
        <f t="shared" si="68"/>
        <v>0</v>
      </c>
      <c r="R707" s="253">
        <f>SUM(R708)</f>
        <v>1340000</v>
      </c>
      <c r="S707" s="253">
        <f>SUM(S708)</f>
        <v>2660000</v>
      </c>
      <c r="T707" s="253">
        <v>2990000</v>
      </c>
      <c r="U707" s="253">
        <f>SUM(U708)</f>
        <v>0</v>
      </c>
      <c r="V707" s="253">
        <f>SUM(V708)</f>
        <v>0</v>
      </c>
      <c r="W707" s="32">
        <f t="shared" si="69"/>
        <v>2990000</v>
      </c>
      <c r="Y707" s="231"/>
      <c r="Z707" s="231"/>
    </row>
    <row r="708" spans="1:26" s="147" customFormat="1" ht="70.5" customHeight="1">
      <c r="A708" s="254"/>
      <c r="B708" s="255"/>
      <c r="C708" s="26">
        <v>6010</v>
      </c>
      <c r="D708" s="256" t="s">
        <v>311</v>
      </c>
      <c r="E708" s="31"/>
      <c r="F708" s="31"/>
      <c r="G708" s="31"/>
      <c r="H708" s="31"/>
      <c r="I708" s="31"/>
      <c r="J708" s="11">
        <v>300000</v>
      </c>
      <c r="K708" s="11"/>
      <c r="L708" s="11"/>
      <c r="M708" s="37">
        <f>J708+K708-L708</f>
        <v>300000</v>
      </c>
      <c r="N708" s="56">
        <v>0</v>
      </c>
      <c r="O708" s="56">
        <v>1200000</v>
      </c>
      <c r="P708" s="56"/>
      <c r="Q708" s="186">
        <f t="shared" si="68"/>
        <v>0</v>
      </c>
      <c r="R708" s="56">
        <v>1340000</v>
      </c>
      <c r="S708" s="56">
        <v>2660000</v>
      </c>
      <c r="T708" s="56">
        <v>2990000</v>
      </c>
      <c r="U708" s="56"/>
      <c r="V708" s="56"/>
      <c r="W708" s="32">
        <f t="shared" si="69"/>
        <v>2990000</v>
      </c>
      <c r="Y708" s="232"/>
      <c r="Z708" s="232"/>
    </row>
    <row r="709" spans="1:23" ht="48">
      <c r="A709" s="33"/>
      <c r="B709" s="33">
        <v>85156</v>
      </c>
      <c r="C709" s="36"/>
      <c r="D709" s="42" t="s">
        <v>168</v>
      </c>
      <c r="E709" s="35">
        <f>SUM(E710:E710)</f>
        <v>1158800</v>
      </c>
      <c r="F709" s="35">
        <f>SUM(F710:F710)</f>
        <v>1083000</v>
      </c>
      <c r="G709" s="37">
        <f>SUM(G710:G710)</f>
        <v>1424000</v>
      </c>
      <c r="H709" s="37">
        <f>SUM(H710:H710)</f>
        <v>1424000</v>
      </c>
      <c r="I709" s="37"/>
      <c r="J709" s="37">
        <f aca="true" t="shared" si="73" ref="J709:S709">SUM(J710:J710)</f>
        <v>1174000</v>
      </c>
      <c r="K709" s="37">
        <f t="shared" si="73"/>
        <v>1521795</v>
      </c>
      <c r="L709" s="37">
        <f t="shared" si="73"/>
        <v>1305819</v>
      </c>
      <c r="M709" s="37">
        <f t="shared" si="73"/>
        <v>2178748</v>
      </c>
      <c r="N709" s="37">
        <v>1174000</v>
      </c>
      <c r="O709" s="37">
        <v>1090000</v>
      </c>
      <c r="P709" s="37">
        <f t="shared" si="73"/>
        <v>1077560</v>
      </c>
      <c r="Q709" s="186">
        <f t="shared" si="68"/>
        <v>0.9885871559633027</v>
      </c>
      <c r="R709" s="37">
        <f t="shared" si="73"/>
        <v>1089884</v>
      </c>
      <c r="S709" s="37">
        <f t="shared" si="73"/>
        <v>5225940</v>
      </c>
      <c r="T709" s="37">
        <v>2639300</v>
      </c>
      <c r="U709" s="37">
        <f>SUM(U710:U712)</f>
        <v>0</v>
      </c>
      <c r="V709" s="37">
        <f>SUM(V710:V712)</f>
        <v>0</v>
      </c>
      <c r="W709" s="32">
        <f t="shared" si="69"/>
        <v>2639300</v>
      </c>
    </row>
    <row r="710" spans="1:23" ht="24">
      <c r="A710" s="25"/>
      <c r="B710" s="25"/>
      <c r="C710" s="26">
        <v>4130</v>
      </c>
      <c r="D710" s="27" t="s">
        <v>169</v>
      </c>
      <c r="E710" s="11">
        <v>1158800</v>
      </c>
      <c r="F710" s="11">
        <v>1083000</v>
      </c>
      <c r="G710" s="12">
        <f>G713+G715</f>
        <v>1424000</v>
      </c>
      <c r="H710" s="12">
        <f>H713+H715</f>
        <v>1424000</v>
      </c>
      <c r="I710" s="12"/>
      <c r="J710" s="12">
        <v>1174000</v>
      </c>
      <c r="K710" s="12">
        <v>1521795</v>
      </c>
      <c r="L710" s="12">
        <f>L713+L715+L719</f>
        <v>1305819</v>
      </c>
      <c r="M710" s="12">
        <f>M713+M715+M719</f>
        <v>2178748</v>
      </c>
      <c r="N710" s="12">
        <v>1174000</v>
      </c>
      <c r="O710" s="12">
        <v>1090000</v>
      </c>
      <c r="P710" s="12">
        <v>1077560</v>
      </c>
      <c r="Q710" s="186">
        <f t="shared" si="68"/>
        <v>0.9885871559633027</v>
      </c>
      <c r="R710" s="155">
        <f>R713+R715+R719</f>
        <v>1089884</v>
      </c>
      <c r="S710" s="155">
        <f>S713+S715+S719</f>
        <v>5225940</v>
      </c>
      <c r="T710" s="12">
        <v>2639300</v>
      </c>
      <c r="U710" s="12"/>
      <c r="V710" s="12"/>
      <c r="W710" s="32">
        <f t="shared" si="69"/>
        <v>2639300</v>
      </c>
    </row>
    <row r="711" spans="1:23" ht="12">
      <c r="A711" s="25"/>
      <c r="B711" s="25"/>
      <c r="C711" s="26">
        <v>4430</v>
      </c>
      <c r="D711" s="27" t="s">
        <v>43</v>
      </c>
      <c r="E711" s="158"/>
      <c r="F711" s="158"/>
      <c r="G711" s="155"/>
      <c r="H711" s="155"/>
      <c r="I711" s="155"/>
      <c r="J711" s="155"/>
      <c r="K711" s="155"/>
      <c r="L711" s="155"/>
      <c r="M711" s="155"/>
      <c r="N711" s="155">
        <v>0</v>
      </c>
      <c r="O711" s="155">
        <v>0</v>
      </c>
      <c r="P711" s="155">
        <v>0</v>
      </c>
      <c r="Q711" s="188"/>
      <c r="R711" s="155">
        <v>0</v>
      </c>
      <c r="S711" s="155">
        <v>19700</v>
      </c>
      <c r="T711" s="12">
        <v>0</v>
      </c>
      <c r="U711" s="12"/>
      <c r="V711" s="12"/>
      <c r="W711" s="32">
        <f t="shared" si="69"/>
        <v>0</v>
      </c>
    </row>
    <row r="712" spans="1:23" ht="12">
      <c r="A712" s="25"/>
      <c r="B712" s="25"/>
      <c r="C712" s="26">
        <v>4580</v>
      </c>
      <c r="D712" s="27" t="s">
        <v>333</v>
      </c>
      <c r="E712" s="158"/>
      <c r="F712" s="158"/>
      <c r="G712" s="155"/>
      <c r="H712" s="155"/>
      <c r="I712" s="155"/>
      <c r="J712" s="155"/>
      <c r="K712" s="155"/>
      <c r="L712" s="155"/>
      <c r="M712" s="155"/>
      <c r="N712" s="155">
        <v>0</v>
      </c>
      <c r="O712" s="155">
        <v>0</v>
      </c>
      <c r="P712" s="155">
        <v>0</v>
      </c>
      <c r="Q712" s="188" t="s">
        <v>342</v>
      </c>
      <c r="R712" s="155">
        <v>0</v>
      </c>
      <c r="S712" s="155">
        <v>48000</v>
      </c>
      <c r="T712" s="12">
        <v>0</v>
      </c>
      <c r="U712" s="12"/>
      <c r="V712" s="12"/>
      <c r="W712" s="32">
        <f t="shared" si="69"/>
        <v>0</v>
      </c>
    </row>
    <row r="713" spans="1:23" ht="24">
      <c r="A713" s="25"/>
      <c r="B713" s="25"/>
      <c r="C713" s="26" t="s">
        <v>170</v>
      </c>
      <c r="D713" s="42" t="s">
        <v>171</v>
      </c>
      <c r="E713" s="11">
        <f>SUM(E714)</f>
        <v>13600</v>
      </c>
      <c r="F713" s="11">
        <f>SUM(F714)</f>
        <v>13600</v>
      </c>
      <c r="G713" s="12">
        <v>7000</v>
      </c>
      <c r="H713" s="12">
        <v>7000</v>
      </c>
      <c r="I713" s="12"/>
      <c r="J713" s="12">
        <f aca="true" t="shared" si="74" ref="J713:S713">J714</f>
        <v>7000</v>
      </c>
      <c r="K713" s="12">
        <f t="shared" si="74"/>
        <v>7000</v>
      </c>
      <c r="L713" s="12">
        <f t="shared" si="74"/>
        <v>6804</v>
      </c>
      <c r="M713" s="12">
        <f t="shared" si="74"/>
        <v>6350</v>
      </c>
      <c r="N713" s="12">
        <v>6350</v>
      </c>
      <c r="O713" s="12">
        <v>6350</v>
      </c>
      <c r="P713" s="12">
        <f t="shared" si="74"/>
        <v>2192</v>
      </c>
      <c r="Q713" s="186">
        <f t="shared" si="68"/>
        <v>0.3451968503937008</v>
      </c>
      <c r="R713" s="157">
        <f t="shared" si="74"/>
        <v>2986</v>
      </c>
      <c r="S713" s="157">
        <f t="shared" si="74"/>
        <v>9684</v>
      </c>
      <c r="T713" s="37">
        <v>9684</v>
      </c>
      <c r="U713" s="37">
        <f>U714</f>
        <v>0</v>
      </c>
      <c r="V713" s="37">
        <f>V714</f>
        <v>0</v>
      </c>
      <c r="W713" s="32">
        <f t="shared" si="69"/>
        <v>9684</v>
      </c>
    </row>
    <row r="714" spans="1:23" ht="24">
      <c r="A714" s="25"/>
      <c r="B714" s="25"/>
      <c r="C714" s="26">
        <v>4130</v>
      </c>
      <c r="D714" s="27" t="s">
        <v>169</v>
      </c>
      <c r="E714" s="11">
        <v>13600</v>
      </c>
      <c r="F714" s="11">
        <v>13600</v>
      </c>
      <c r="G714" s="12"/>
      <c r="H714" s="12"/>
      <c r="I714" s="12"/>
      <c r="J714" s="12">
        <v>7000</v>
      </c>
      <c r="K714" s="12">
        <v>7000</v>
      </c>
      <c r="L714" s="12">
        <v>6804</v>
      </c>
      <c r="M714" s="12">
        <v>6350</v>
      </c>
      <c r="N714" s="12">
        <v>6350</v>
      </c>
      <c r="O714" s="12">
        <v>6350</v>
      </c>
      <c r="P714" s="12">
        <v>2192</v>
      </c>
      <c r="Q714" s="186">
        <f t="shared" si="68"/>
        <v>0.3451968503937008</v>
      </c>
      <c r="R714" s="155">
        <v>2986</v>
      </c>
      <c r="S714" s="155">
        <v>9684</v>
      </c>
      <c r="T714" s="12">
        <v>9684</v>
      </c>
      <c r="U714" s="12"/>
      <c r="V714" s="12"/>
      <c r="W714" s="32">
        <f t="shared" si="69"/>
        <v>9684</v>
      </c>
    </row>
    <row r="715" spans="1:23" ht="12">
      <c r="A715" s="25"/>
      <c r="B715" s="25"/>
      <c r="C715" s="26"/>
      <c r="D715" s="42" t="s">
        <v>172</v>
      </c>
      <c r="E715" s="11">
        <f>SUM(E716)</f>
        <v>1145200</v>
      </c>
      <c r="F715" s="11">
        <f>SUM(F716)</f>
        <v>1069400</v>
      </c>
      <c r="G715" s="12">
        <f>SUM(G716)</f>
        <v>1417000</v>
      </c>
      <c r="H715" s="12">
        <f>SUM(H716)</f>
        <v>1417000</v>
      </c>
      <c r="I715" s="12"/>
      <c r="J715" s="12">
        <f aca="true" t="shared" si="75" ref="J715:P715">SUM(J716)</f>
        <v>1167000</v>
      </c>
      <c r="K715" s="12">
        <f t="shared" si="75"/>
        <v>1514530</v>
      </c>
      <c r="L715" s="12">
        <f t="shared" si="75"/>
        <v>1298750</v>
      </c>
      <c r="M715" s="12">
        <f t="shared" si="75"/>
        <v>2172096</v>
      </c>
      <c r="N715" s="12">
        <v>1167348</v>
      </c>
      <c r="O715" s="12">
        <v>1083348</v>
      </c>
      <c r="P715" s="12">
        <f t="shared" si="75"/>
        <v>1075141</v>
      </c>
      <c r="Q715" s="186">
        <f t="shared" si="68"/>
        <v>0.9924244102541381</v>
      </c>
      <c r="R715" s="157">
        <f>SUM(R716+R717+R718)</f>
        <v>1086898</v>
      </c>
      <c r="S715" s="157">
        <f>SUM(S716+S717+S718)</f>
        <v>5216256</v>
      </c>
      <c r="T715" s="37">
        <v>2629616</v>
      </c>
      <c r="U715" s="37">
        <f>SUM(U716+U717+U718)</f>
        <v>0</v>
      </c>
      <c r="V715" s="37">
        <f>SUM(V716+V717+V718)</f>
        <v>0</v>
      </c>
      <c r="W715" s="32">
        <f t="shared" si="69"/>
        <v>2629616</v>
      </c>
    </row>
    <row r="716" spans="1:23" ht="24">
      <c r="A716" s="25"/>
      <c r="B716" s="25"/>
      <c r="C716" s="26">
        <v>4130</v>
      </c>
      <c r="D716" s="27" t="s">
        <v>169</v>
      </c>
      <c r="E716" s="11">
        <v>1145200</v>
      </c>
      <c r="F716" s="11">
        <v>1069400</v>
      </c>
      <c r="G716" s="12">
        <v>1417000</v>
      </c>
      <c r="H716" s="12">
        <v>1417000</v>
      </c>
      <c r="I716" s="12"/>
      <c r="J716" s="12">
        <v>1167000</v>
      </c>
      <c r="K716" s="12">
        <v>1514530</v>
      </c>
      <c r="L716" s="12">
        <v>1298750</v>
      </c>
      <c r="M716" s="12">
        <v>2172096</v>
      </c>
      <c r="N716" s="12">
        <v>1167348</v>
      </c>
      <c r="O716" s="12">
        <v>1083348</v>
      </c>
      <c r="P716" s="12">
        <v>1075141</v>
      </c>
      <c r="Q716" s="186">
        <f t="shared" si="68"/>
        <v>0.9924244102541381</v>
      </c>
      <c r="R716" s="155">
        <v>1086898</v>
      </c>
      <c r="S716" s="155">
        <v>5148556</v>
      </c>
      <c r="T716" s="12">
        <v>2629616</v>
      </c>
      <c r="U716" s="12"/>
      <c r="V716" s="12"/>
      <c r="W716" s="32">
        <f t="shared" si="69"/>
        <v>2629616</v>
      </c>
    </row>
    <row r="717" spans="1:23" ht="12">
      <c r="A717" s="25"/>
      <c r="B717" s="25"/>
      <c r="C717" s="26">
        <v>4430</v>
      </c>
      <c r="D717" s="27" t="s">
        <v>43</v>
      </c>
      <c r="E717" s="158"/>
      <c r="F717" s="158"/>
      <c r="G717" s="155"/>
      <c r="H717" s="155"/>
      <c r="I717" s="155"/>
      <c r="J717" s="155"/>
      <c r="K717" s="155"/>
      <c r="L717" s="155"/>
      <c r="M717" s="155"/>
      <c r="N717" s="155">
        <v>0</v>
      </c>
      <c r="O717" s="155">
        <v>0</v>
      </c>
      <c r="P717" s="155">
        <v>0</v>
      </c>
      <c r="Q717" s="188"/>
      <c r="R717" s="155">
        <v>0</v>
      </c>
      <c r="S717" s="155">
        <v>19700</v>
      </c>
      <c r="T717" s="12">
        <v>0</v>
      </c>
      <c r="U717" s="12"/>
      <c r="V717" s="12"/>
      <c r="W717" s="32">
        <f t="shared" si="69"/>
        <v>0</v>
      </c>
    </row>
    <row r="718" spans="1:23" ht="12">
      <c r="A718" s="25"/>
      <c r="B718" s="25"/>
      <c r="C718" s="26">
        <v>4580</v>
      </c>
      <c r="D718" s="27" t="s">
        <v>333</v>
      </c>
      <c r="E718" s="158"/>
      <c r="F718" s="158"/>
      <c r="G718" s="155"/>
      <c r="H718" s="155"/>
      <c r="I718" s="155"/>
      <c r="J718" s="155"/>
      <c r="K718" s="155"/>
      <c r="L718" s="155"/>
      <c r="M718" s="155"/>
      <c r="N718" s="155">
        <v>0</v>
      </c>
      <c r="O718" s="155">
        <v>0</v>
      </c>
      <c r="P718" s="155">
        <v>0</v>
      </c>
      <c r="Q718" s="188" t="s">
        <v>342</v>
      </c>
      <c r="R718" s="155">
        <v>0</v>
      </c>
      <c r="S718" s="155">
        <v>48000</v>
      </c>
      <c r="T718" s="12">
        <v>0</v>
      </c>
      <c r="U718" s="12"/>
      <c r="V718" s="12"/>
      <c r="W718" s="32">
        <f t="shared" si="69"/>
        <v>0</v>
      </c>
    </row>
    <row r="719" spans="1:23" ht="12" hidden="1">
      <c r="A719" s="25"/>
      <c r="B719" s="25"/>
      <c r="C719" s="26"/>
      <c r="D719" s="42" t="s">
        <v>173</v>
      </c>
      <c r="E719" s="11">
        <f>SUM(E720)</f>
        <v>1145200</v>
      </c>
      <c r="F719" s="11">
        <f>SUM(F720)</f>
        <v>1069400</v>
      </c>
      <c r="G719" s="12">
        <f>SUM(G720)</f>
        <v>1417000</v>
      </c>
      <c r="H719" s="12">
        <f>SUM(H720)</f>
        <v>1417000</v>
      </c>
      <c r="I719" s="12"/>
      <c r="J719" s="12">
        <f aca="true" t="shared" si="76" ref="J719:S719">SUM(J720)</f>
        <v>0</v>
      </c>
      <c r="K719" s="12">
        <f t="shared" si="76"/>
        <v>265</v>
      </c>
      <c r="L719" s="12">
        <f t="shared" si="76"/>
        <v>265</v>
      </c>
      <c r="M719" s="12">
        <f t="shared" si="76"/>
        <v>302</v>
      </c>
      <c r="N719" s="12">
        <v>302</v>
      </c>
      <c r="O719" s="12">
        <v>302</v>
      </c>
      <c r="P719" s="12">
        <f t="shared" si="76"/>
        <v>227</v>
      </c>
      <c r="Q719" s="186">
        <f t="shared" si="68"/>
        <v>0.7516556291390728</v>
      </c>
      <c r="R719" s="12">
        <f t="shared" si="76"/>
        <v>0</v>
      </c>
      <c r="S719" s="12">
        <f t="shared" si="76"/>
        <v>0</v>
      </c>
      <c r="T719" s="12">
        <v>0</v>
      </c>
      <c r="U719" s="12">
        <f>SUM(U720)</f>
        <v>0</v>
      </c>
      <c r="V719" s="12">
        <f>SUM(V720)</f>
        <v>0</v>
      </c>
      <c r="W719" s="32">
        <f t="shared" si="69"/>
        <v>0</v>
      </c>
    </row>
    <row r="720" spans="1:23" ht="24" hidden="1">
      <c r="A720" s="25"/>
      <c r="B720" s="25"/>
      <c r="C720" s="26">
        <v>4130</v>
      </c>
      <c r="D720" s="27" t="s">
        <v>169</v>
      </c>
      <c r="E720" s="11">
        <v>1145200</v>
      </c>
      <c r="F720" s="11">
        <v>1069400</v>
      </c>
      <c r="G720" s="12">
        <v>1417000</v>
      </c>
      <c r="H720" s="12">
        <v>1417000</v>
      </c>
      <c r="I720" s="12"/>
      <c r="J720" s="12"/>
      <c r="K720" s="12">
        <v>265</v>
      </c>
      <c r="L720" s="12">
        <v>265</v>
      </c>
      <c r="M720" s="12">
        <v>302</v>
      </c>
      <c r="N720" s="12">
        <v>302</v>
      </c>
      <c r="O720" s="12">
        <v>302</v>
      </c>
      <c r="P720" s="12">
        <v>227</v>
      </c>
      <c r="Q720" s="186">
        <f t="shared" si="68"/>
        <v>0.7516556291390728</v>
      </c>
      <c r="R720" s="12"/>
      <c r="S720" s="12"/>
      <c r="T720" s="12" t="e">
        <v>#VALUE!</v>
      </c>
      <c r="U720" s="12" t="s">
        <v>340</v>
      </c>
      <c r="V720" s="12" t="s">
        <v>340</v>
      </c>
      <c r="W720" s="32" t="e">
        <f t="shared" si="69"/>
        <v>#VALUE!</v>
      </c>
    </row>
    <row r="721" spans="1:23" ht="12">
      <c r="A721" s="33"/>
      <c r="B721" s="33">
        <v>85149</v>
      </c>
      <c r="C721" s="36"/>
      <c r="D721" s="42" t="s">
        <v>174</v>
      </c>
      <c r="E721" s="35">
        <f>SUM(E722:E722)</f>
        <v>45000</v>
      </c>
      <c r="F721" s="35">
        <f>SUM(F722:F722)</f>
        <v>45000</v>
      </c>
      <c r="G721" s="37">
        <f>SUM(G722:G722)</f>
        <v>0</v>
      </c>
      <c r="H721" s="37">
        <f>SUM(H722:H722)</f>
        <v>0</v>
      </c>
      <c r="I721" s="37"/>
      <c r="J721" s="37">
        <f aca="true" t="shared" si="77" ref="J721:S721">SUM(J722:J722)</f>
        <v>50000</v>
      </c>
      <c r="K721" s="37">
        <f t="shared" si="77"/>
        <v>50000</v>
      </c>
      <c r="L721" s="37">
        <f t="shared" si="77"/>
        <v>0</v>
      </c>
      <c r="M721" s="37">
        <f t="shared" si="77"/>
        <v>0</v>
      </c>
      <c r="N721" s="37">
        <v>50000</v>
      </c>
      <c r="O721" s="37">
        <v>50000</v>
      </c>
      <c r="P721" s="37">
        <f t="shared" si="77"/>
        <v>17140</v>
      </c>
      <c r="Q721" s="186">
        <f t="shared" si="68"/>
        <v>0.3428</v>
      </c>
      <c r="R721" s="37">
        <f t="shared" si="77"/>
        <v>54000</v>
      </c>
      <c r="S721" s="37">
        <f t="shared" si="77"/>
        <v>45000</v>
      </c>
      <c r="T721" s="37">
        <v>45000</v>
      </c>
      <c r="U721" s="37">
        <f>SUM(U722:U722)</f>
        <v>0</v>
      </c>
      <c r="V721" s="37">
        <f>SUM(V722:V722)</f>
        <v>0</v>
      </c>
      <c r="W721" s="32">
        <f t="shared" si="69"/>
        <v>45000</v>
      </c>
    </row>
    <row r="722" spans="1:23" ht="12">
      <c r="A722" s="25"/>
      <c r="B722" s="25"/>
      <c r="C722" s="26">
        <v>4280</v>
      </c>
      <c r="D722" s="27" t="s">
        <v>175</v>
      </c>
      <c r="E722" s="85">
        <v>45000</v>
      </c>
      <c r="F722" s="85">
        <v>45000</v>
      </c>
      <c r="G722" s="90">
        <v>0</v>
      </c>
      <c r="H722" s="11">
        <f>G722</f>
        <v>0</v>
      </c>
      <c r="I722" s="11"/>
      <c r="J722" s="11">
        <v>50000</v>
      </c>
      <c r="K722" s="11">
        <v>50000</v>
      </c>
      <c r="L722" s="11"/>
      <c r="M722" s="11"/>
      <c r="N722" s="11">
        <v>50000</v>
      </c>
      <c r="O722" s="11">
        <v>50000</v>
      </c>
      <c r="P722" s="11">
        <v>17140</v>
      </c>
      <c r="Q722" s="186">
        <f t="shared" si="68"/>
        <v>0.3428</v>
      </c>
      <c r="R722" s="11">
        <v>54000</v>
      </c>
      <c r="S722" s="11">
        <v>45000</v>
      </c>
      <c r="T722" s="11">
        <v>45000</v>
      </c>
      <c r="U722" s="11"/>
      <c r="V722" s="11"/>
      <c r="W722" s="32">
        <f t="shared" si="69"/>
        <v>45000</v>
      </c>
    </row>
    <row r="723" spans="1:23" ht="12">
      <c r="A723" s="8">
        <v>852</v>
      </c>
      <c r="B723" s="8"/>
      <c r="C723" s="29"/>
      <c r="D723" s="43" t="s">
        <v>176</v>
      </c>
      <c r="E723" s="31" t="e">
        <f>E724+E784+E1006+E1032+E991+E1045+E1049+E920</f>
        <v>#REF!</v>
      </c>
      <c r="F723" s="31" t="e">
        <f>F724+F784+F1006+F1032+F991+F1045+F1049+F920</f>
        <v>#REF!</v>
      </c>
      <c r="G723" s="32" t="e">
        <f>G724+G784+G1006+G1032+G989+G1045+G1049+G920</f>
        <v>#REF!</v>
      </c>
      <c r="H723" s="32" t="e">
        <f>H724+H784+H1006+H1032+H991+H1045+H1049+H920</f>
        <v>#REF!</v>
      </c>
      <c r="I723" s="32"/>
      <c r="J723" s="32">
        <f>J724+J784+J1006+J1032+J991+J1045+J1049+J920</f>
        <v>14703873</v>
      </c>
      <c r="K723" s="32" t="e">
        <f>K724+K784+K1006+K1032+K991+K1045+K1049+K920</f>
        <v>#REF!</v>
      </c>
      <c r="L723" s="32" t="e">
        <f>L724+L784+L1006+L1032+L991+L1045+L1049+L920</f>
        <v>#REF!</v>
      </c>
      <c r="M723" s="32" t="e">
        <f>M724+M784+M1006+M1032+M991+M1045+M1049+M920</f>
        <v>#REF!</v>
      </c>
      <c r="N723" s="32">
        <v>15900912</v>
      </c>
      <c r="O723" s="32">
        <v>15869287</v>
      </c>
      <c r="P723" s="32">
        <f>P724+P784+P1006+P1032+P991+P1045+P1049+P920</f>
        <v>7656087</v>
      </c>
      <c r="Q723" s="186">
        <f t="shared" si="68"/>
        <v>0.48244681692378494</v>
      </c>
      <c r="R723" s="32">
        <f>R724+R784+R1006+R1032+R991+R1045+R1049+R920</f>
        <v>16062636</v>
      </c>
      <c r="S723" s="32">
        <f>S724+S784+S1006+S1032+S991+S1045+S1049+S920</f>
        <v>19079121</v>
      </c>
      <c r="T723" s="32">
        <v>17659000</v>
      </c>
      <c r="U723" s="32">
        <f>U724+U784+U1006+U1032+U991+U1045+U1049+U920</f>
        <v>240184</v>
      </c>
      <c r="V723" s="32">
        <f>V724+V784+V1006+V1032+V991+V1045+V1049+V920</f>
        <v>185964</v>
      </c>
      <c r="W723" s="32">
        <f t="shared" si="69"/>
        <v>17713220</v>
      </c>
    </row>
    <row r="724" spans="1:23" ht="24">
      <c r="A724" s="33"/>
      <c r="B724" s="33">
        <v>85201</v>
      </c>
      <c r="C724" s="36"/>
      <c r="D724" s="42" t="s">
        <v>177</v>
      </c>
      <c r="E724" s="91">
        <f>SUM(E725:E751)</f>
        <v>1358920</v>
      </c>
      <c r="F724" s="91">
        <f>SUM(F725:F751)</f>
        <v>1399153</v>
      </c>
      <c r="G724" s="91">
        <f>SUM(G725:G751)</f>
        <v>1473746</v>
      </c>
      <c r="H724" s="91">
        <f>SUM(H725:H751)</f>
        <v>1456836</v>
      </c>
      <c r="I724" s="91"/>
      <c r="J724" s="91">
        <f aca="true" t="shared" si="78" ref="J724:P724">SUM(J725:J751)</f>
        <v>2111900</v>
      </c>
      <c r="K724" s="91">
        <f t="shared" si="78"/>
        <v>2077255</v>
      </c>
      <c r="L724" s="91">
        <f t="shared" si="78"/>
        <v>1572255</v>
      </c>
      <c r="M724" s="91">
        <f t="shared" si="78"/>
        <v>1640760</v>
      </c>
      <c r="N724" s="91">
        <v>2149552</v>
      </c>
      <c r="O724" s="91">
        <v>2288152</v>
      </c>
      <c r="P724" s="91">
        <f t="shared" si="78"/>
        <v>934153</v>
      </c>
      <c r="Q724" s="186">
        <f t="shared" si="68"/>
        <v>0.40825653190871936</v>
      </c>
      <c r="R724" s="91">
        <f>SUM(R725:R751)</f>
        <v>2276164</v>
      </c>
      <c r="S724" s="91">
        <f>SUM(S725:S751)</f>
        <v>1651858</v>
      </c>
      <c r="T724" s="91">
        <v>1631033</v>
      </c>
      <c r="U724" s="91">
        <f>SUM(U725:U751)</f>
        <v>0</v>
      </c>
      <c r="V724" s="91">
        <f>SUM(V725:V751)</f>
        <v>0</v>
      </c>
      <c r="W724" s="32">
        <f t="shared" si="69"/>
        <v>1631033</v>
      </c>
    </row>
    <row r="725" spans="1:23" ht="72">
      <c r="A725" s="25"/>
      <c r="B725" s="25"/>
      <c r="C725" s="26">
        <v>2320</v>
      </c>
      <c r="D725" s="27" t="s">
        <v>178</v>
      </c>
      <c r="E725" s="87">
        <v>259150</v>
      </c>
      <c r="F725" s="87">
        <v>248803</v>
      </c>
      <c r="G725" s="92">
        <v>176650</v>
      </c>
      <c r="H725" s="92">
        <v>176650</v>
      </c>
      <c r="I725" s="92"/>
      <c r="J725" s="92">
        <v>176650</v>
      </c>
      <c r="K725" s="92">
        <v>270336</v>
      </c>
      <c r="L725" s="92">
        <f>L782</f>
        <v>270336</v>
      </c>
      <c r="M725" s="92">
        <f>M782</f>
        <v>317022</v>
      </c>
      <c r="N725" s="92">
        <v>318000</v>
      </c>
      <c r="O725" s="92">
        <v>318000</v>
      </c>
      <c r="P725" s="92">
        <v>167317</v>
      </c>
      <c r="Q725" s="186">
        <f t="shared" si="68"/>
        <v>0.5261540880503145</v>
      </c>
      <c r="R725" s="92">
        <v>318000</v>
      </c>
      <c r="S725" s="92">
        <v>178000</v>
      </c>
      <c r="T725" s="92">
        <v>288000</v>
      </c>
      <c r="U725" s="92">
        <f>U782</f>
        <v>0</v>
      </c>
      <c r="V725" s="92">
        <f>V782</f>
        <v>0</v>
      </c>
      <c r="W725" s="32">
        <f t="shared" si="69"/>
        <v>288000</v>
      </c>
    </row>
    <row r="726" spans="1:23" ht="24">
      <c r="A726" s="25"/>
      <c r="B726" s="25"/>
      <c r="C726" s="26">
        <v>3020</v>
      </c>
      <c r="D726" s="27" t="s">
        <v>68</v>
      </c>
      <c r="E726" s="93">
        <v>45600</v>
      </c>
      <c r="F726" s="11">
        <v>46900</v>
      </c>
      <c r="G726" s="1">
        <v>29700</v>
      </c>
      <c r="H726" s="1">
        <v>29700</v>
      </c>
      <c r="I726" s="1"/>
      <c r="J726" s="1">
        <v>29700</v>
      </c>
      <c r="K726" s="1">
        <v>29700</v>
      </c>
      <c r="L726" s="1">
        <f>L753</f>
        <v>29700</v>
      </c>
      <c r="M726" s="1">
        <f>M753</f>
        <v>29000</v>
      </c>
      <c r="N726" s="1">
        <v>30600</v>
      </c>
      <c r="O726" s="1">
        <v>30600</v>
      </c>
      <c r="P726" s="1">
        <v>13000</v>
      </c>
      <c r="Q726" s="186">
        <f t="shared" si="68"/>
        <v>0.42483660130718953</v>
      </c>
      <c r="R726" s="156">
        <f>R753</f>
        <v>30600</v>
      </c>
      <c r="S726" s="156">
        <f>S753</f>
        <v>1500</v>
      </c>
      <c r="T726" s="1">
        <v>1500</v>
      </c>
      <c r="U726" s="1">
        <f>U753</f>
        <v>0</v>
      </c>
      <c r="V726" s="1">
        <f>V753</f>
        <v>0</v>
      </c>
      <c r="W726" s="32">
        <f t="shared" si="69"/>
        <v>1500</v>
      </c>
    </row>
    <row r="727" spans="1:23" ht="12">
      <c r="A727" s="25"/>
      <c r="B727" s="25"/>
      <c r="C727" s="26">
        <v>3110</v>
      </c>
      <c r="D727" s="27" t="s">
        <v>179</v>
      </c>
      <c r="E727" s="93">
        <v>161600</v>
      </c>
      <c r="F727" s="11">
        <f>F754+F780</f>
        <v>161600</v>
      </c>
      <c r="G727" s="1">
        <f>5000+163740</f>
        <v>168740</v>
      </c>
      <c r="H727" s="1">
        <f>5000+163740</f>
        <v>168740</v>
      </c>
      <c r="I727" s="1"/>
      <c r="J727" s="1">
        <v>168740</v>
      </c>
      <c r="K727" s="1">
        <v>171580</v>
      </c>
      <c r="L727" s="1">
        <f>L754+L780</f>
        <v>170740</v>
      </c>
      <c r="M727" s="1">
        <f>M754+M780</f>
        <v>112432</v>
      </c>
      <c r="N727" s="1">
        <v>112552</v>
      </c>
      <c r="O727" s="1">
        <v>112552</v>
      </c>
      <c r="P727" s="1">
        <f>P754+P780</f>
        <v>39887</v>
      </c>
      <c r="Q727" s="186">
        <f t="shared" si="68"/>
        <v>0.354387305423271</v>
      </c>
      <c r="R727" s="156">
        <f>R754+R780</f>
        <v>93000</v>
      </c>
      <c r="S727" s="156">
        <f>S754+S780</f>
        <v>146419</v>
      </c>
      <c r="T727" s="1">
        <v>81080</v>
      </c>
      <c r="U727" s="1">
        <f>U754+U780</f>
        <v>0</v>
      </c>
      <c r="V727" s="1">
        <f>V754+V780</f>
        <v>0</v>
      </c>
      <c r="W727" s="32">
        <f t="shared" si="69"/>
        <v>81080</v>
      </c>
    </row>
    <row r="728" spans="1:23" ht="24">
      <c r="A728" s="25"/>
      <c r="B728" s="25"/>
      <c r="C728" s="26">
        <v>4010</v>
      </c>
      <c r="D728" s="27" t="s">
        <v>29</v>
      </c>
      <c r="E728" s="93">
        <v>549700</v>
      </c>
      <c r="F728" s="11">
        <v>572450</v>
      </c>
      <c r="G728" s="1">
        <v>717936</v>
      </c>
      <c r="H728" s="1">
        <v>717936</v>
      </c>
      <c r="I728" s="1">
        <v>718000</v>
      </c>
      <c r="J728" s="1">
        <v>718000</v>
      </c>
      <c r="K728" s="1">
        <v>732988</v>
      </c>
      <c r="L728" s="1">
        <f aca="true" t="shared" si="79" ref="L728:M731">L755</f>
        <v>732988</v>
      </c>
      <c r="M728" s="1">
        <f t="shared" si="79"/>
        <v>766802</v>
      </c>
      <c r="N728" s="1">
        <v>746000</v>
      </c>
      <c r="O728" s="1">
        <v>746000</v>
      </c>
      <c r="P728" s="1">
        <f aca="true" t="shared" si="80" ref="P728:P737">P755</f>
        <v>309463</v>
      </c>
      <c r="Q728" s="186">
        <f t="shared" si="68"/>
        <v>0.4148297587131367</v>
      </c>
      <c r="R728" s="156">
        <f>R755</f>
        <v>752410</v>
      </c>
      <c r="S728" s="156">
        <f>S755</f>
        <v>844918</v>
      </c>
      <c r="T728" s="1">
        <v>781646</v>
      </c>
      <c r="U728" s="1">
        <f aca="true" t="shared" si="81" ref="U728:U736">U755</f>
        <v>0</v>
      </c>
      <c r="V728" s="1">
        <f aca="true" t="shared" si="82" ref="V728:V736">V755</f>
        <v>0</v>
      </c>
      <c r="W728" s="32">
        <f t="shared" si="69"/>
        <v>781646</v>
      </c>
    </row>
    <row r="729" spans="1:23" ht="12">
      <c r="A729" s="25"/>
      <c r="B729" s="25"/>
      <c r="C729" s="26">
        <v>4040</v>
      </c>
      <c r="D729" s="27" t="s">
        <v>30</v>
      </c>
      <c r="E729" s="93">
        <v>45000</v>
      </c>
      <c r="F729" s="11">
        <f>F756</f>
        <v>45000</v>
      </c>
      <c r="G729" s="1">
        <v>48700</v>
      </c>
      <c r="H729" s="1">
        <v>46240</v>
      </c>
      <c r="I729" s="1"/>
      <c r="J729" s="1">
        <f>46240+2260</f>
        <v>48500</v>
      </c>
      <c r="K729" s="1">
        <f>46240+2260</f>
        <v>48500</v>
      </c>
      <c r="L729" s="1">
        <f t="shared" si="79"/>
        <v>48500</v>
      </c>
      <c r="M729" s="1">
        <f t="shared" si="79"/>
        <v>52000</v>
      </c>
      <c r="N729" s="1">
        <v>56900</v>
      </c>
      <c r="O729" s="1">
        <v>56900</v>
      </c>
      <c r="P729" s="1">
        <f t="shared" si="80"/>
        <v>46250</v>
      </c>
      <c r="Q729" s="186">
        <f t="shared" si="68"/>
        <v>0.812829525483304</v>
      </c>
      <c r="R729" s="156">
        <f aca="true" t="shared" si="83" ref="R729:S747">R756</f>
        <v>56900</v>
      </c>
      <c r="S729" s="156">
        <f t="shared" si="83"/>
        <v>58810</v>
      </c>
      <c r="T729" s="1">
        <v>58810</v>
      </c>
      <c r="U729" s="1">
        <f t="shared" si="81"/>
        <v>0</v>
      </c>
      <c r="V729" s="1">
        <f t="shared" si="82"/>
        <v>0</v>
      </c>
      <c r="W729" s="32">
        <f t="shared" si="69"/>
        <v>58810</v>
      </c>
    </row>
    <row r="730" spans="1:23" ht="24">
      <c r="A730" s="25"/>
      <c r="B730" s="25"/>
      <c r="C730" s="26">
        <v>4110</v>
      </c>
      <c r="D730" s="27" t="s">
        <v>31</v>
      </c>
      <c r="E730" s="93">
        <v>104427</v>
      </c>
      <c r="F730" s="11">
        <v>108397</v>
      </c>
      <c r="G730" s="1">
        <v>115529</v>
      </c>
      <c r="H730" s="1">
        <v>110560</v>
      </c>
      <c r="I730" s="1"/>
      <c r="J730" s="1">
        <v>110560</v>
      </c>
      <c r="K730" s="1">
        <v>112874</v>
      </c>
      <c r="L730" s="1">
        <f t="shared" si="79"/>
        <v>112874</v>
      </c>
      <c r="M730" s="1">
        <f t="shared" si="79"/>
        <v>126807</v>
      </c>
      <c r="N730" s="1">
        <v>119900</v>
      </c>
      <c r="O730" s="1">
        <v>119900</v>
      </c>
      <c r="P730" s="1">
        <f t="shared" si="80"/>
        <v>50077</v>
      </c>
      <c r="Q730" s="186">
        <f t="shared" si="68"/>
        <v>0.41765638031693075</v>
      </c>
      <c r="R730" s="156">
        <f t="shared" si="83"/>
        <v>120897</v>
      </c>
      <c r="S730" s="156">
        <f aca="true" t="shared" si="84" ref="S730:S747">S757</f>
        <v>129157</v>
      </c>
      <c r="T730" s="1">
        <v>128490</v>
      </c>
      <c r="U730" s="1">
        <f t="shared" si="81"/>
        <v>0</v>
      </c>
      <c r="V730" s="1">
        <f t="shared" si="82"/>
        <v>0</v>
      </c>
      <c r="W730" s="32">
        <f t="shared" si="69"/>
        <v>128490</v>
      </c>
    </row>
    <row r="731" spans="1:23" ht="12">
      <c r="A731" s="25"/>
      <c r="B731" s="25"/>
      <c r="C731" s="26">
        <v>4120</v>
      </c>
      <c r="D731" s="27" t="s">
        <v>32</v>
      </c>
      <c r="E731" s="93">
        <v>15043</v>
      </c>
      <c r="F731" s="11">
        <v>15603</v>
      </c>
      <c r="G731" s="1">
        <v>18300</v>
      </c>
      <c r="H731" s="1">
        <v>17540</v>
      </c>
      <c r="I731" s="1"/>
      <c r="J731" s="1">
        <v>17540</v>
      </c>
      <c r="K731" s="1">
        <v>17907</v>
      </c>
      <c r="L731" s="1">
        <f t="shared" si="79"/>
        <v>17907</v>
      </c>
      <c r="M731" s="1">
        <f t="shared" si="79"/>
        <v>20122</v>
      </c>
      <c r="N731" s="1">
        <v>19000</v>
      </c>
      <c r="O731" s="1">
        <v>19000</v>
      </c>
      <c r="P731" s="1">
        <f t="shared" si="80"/>
        <v>8292</v>
      </c>
      <c r="Q731" s="186">
        <f t="shared" si="68"/>
        <v>0.43642105263157893</v>
      </c>
      <c r="R731" s="156">
        <f t="shared" si="83"/>
        <v>19157</v>
      </c>
      <c r="S731" s="156">
        <f t="shared" si="84"/>
        <v>20309</v>
      </c>
      <c r="T731" s="1">
        <v>20100</v>
      </c>
      <c r="U731" s="1">
        <f t="shared" si="81"/>
        <v>0</v>
      </c>
      <c r="V731" s="1">
        <f t="shared" si="82"/>
        <v>0</v>
      </c>
      <c r="W731" s="32">
        <f t="shared" si="69"/>
        <v>20100</v>
      </c>
    </row>
    <row r="732" spans="1:23" ht="12">
      <c r="A732" s="25"/>
      <c r="B732" s="25"/>
      <c r="C732" s="26">
        <v>4170</v>
      </c>
      <c r="D732" s="27" t="s">
        <v>195</v>
      </c>
      <c r="E732" s="93"/>
      <c r="F732" s="11"/>
      <c r="G732" s="1"/>
      <c r="H732" s="1"/>
      <c r="I732" s="1"/>
      <c r="J732" s="1">
        <v>0</v>
      </c>
      <c r="K732" s="1">
        <v>0</v>
      </c>
      <c r="L732" s="1">
        <v>0</v>
      </c>
      <c r="M732" s="1">
        <f aca="true" t="shared" si="85" ref="M732:M747">M759</f>
        <v>20000</v>
      </c>
      <c r="N732" s="1">
        <v>20000</v>
      </c>
      <c r="O732" s="1">
        <v>20000</v>
      </c>
      <c r="P732" s="1">
        <f t="shared" si="80"/>
        <v>304</v>
      </c>
      <c r="Q732" s="186">
        <f t="shared" si="68"/>
        <v>0.0152</v>
      </c>
      <c r="R732" s="156">
        <f t="shared" si="83"/>
        <v>18000</v>
      </c>
      <c r="S732" s="156">
        <f t="shared" si="84"/>
        <v>20000</v>
      </c>
      <c r="T732" s="1">
        <v>18000</v>
      </c>
      <c r="U732" s="1">
        <f t="shared" si="81"/>
        <v>0</v>
      </c>
      <c r="V732" s="1">
        <f t="shared" si="82"/>
        <v>0</v>
      </c>
      <c r="W732" s="32">
        <f t="shared" si="69"/>
        <v>18000</v>
      </c>
    </row>
    <row r="733" spans="1:23" ht="12">
      <c r="A733" s="25"/>
      <c r="B733" s="25"/>
      <c r="C733" s="26">
        <v>4210</v>
      </c>
      <c r="D733" s="27" t="s">
        <v>34</v>
      </c>
      <c r="E733" s="93">
        <v>33600</v>
      </c>
      <c r="F733" s="11">
        <v>38600</v>
      </c>
      <c r="G733" s="1">
        <v>39487</v>
      </c>
      <c r="H733" s="1">
        <v>39490</v>
      </c>
      <c r="I733" s="1"/>
      <c r="J733" s="1">
        <f>39490-2260</f>
        <v>37230</v>
      </c>
      <c r="K733" s="1">
        <f>39490-2260</f>
        <v>37230</v>
      </c>
      <c r="L733" s="1">
        <f aca="true" t="shared" si="86" ref="L733:L747">L760</f>
        <v>37230</v>
      </c>
      <c r="M733" s="1">
        <f t="shared" si="85"/>
        <v>38310</v>
      </c>
      <c r="N733" s="1">
        <v>38300</v>
      </c>
      <c r="O733" s="1">
        <v>38300</v>
      </c>
      <c r="P733" s="1">
        <f t="shared" si="80"/>
        <v>11765</v>
      </c>
      <c r="Q733" s="186">
        <f t="shared" si="68"/>
        <v>0.30718015665796344</v>
      </c>
      <c r="R733" s="156">
        <f t="shared" si="83"/>
        <v>38300</v>
      </c>
      <c r="S733" s="156">
        <f t="shared" si="84"/>
        <v>25000</v>
      </c>
      <c r="T733" s="1">
        <v>25000</v>
      </c>
      <c r="U733" s="1">
        <f t="shared" si="81"/>
        <v>0</v>
      </c>
      <c r="V733" s="1">
        <f t="shared" si="82"/>
        <v>0</v>
      </c>
      <c r="W733" s="32">
        <f t="shared" si="69"/>
        <v>25000</v>
      </c>
    </row>
    <row r="734" spans="1:23" ht="12">
      <c r="A734" s="25"/>
      <c r="B734" s="25"/>
      <c r="C734" s="26">
        <v>4220</v>
      </c>
      <c r="D734" s="27" t="s">
        <v>180</v>
      </c>
      <c r="E734" s="93">
        <v>45000</v>
      </c>
      <c r="F734" s="11">
        <f aca="true" t="shared" si="87" ref="F734:F747">F761</f>
        <v>45000</v>
      </c>
      <c r="G734" s="1">
        <v>46035</v>
      </c>
      <c r="H734" s="1">
        <v>46000</v>
      </c>
      <c r="I734" s="1"/>
      <c r="J734" s="1">
        <v>46000</v>
      </c>
      <c r="K734" s="1">
        <v>46000</v>
      </c>
      <c r="L734" s="1">
        <f t="shared" si="86"/>
        <v>46000</v>
      </c>
      <c r="M734" s="1">
        <f t="shared" si="85"/>
        <v>47334</v>
      </c>
      <c r="N734" s="1">
        <v>47300</v>
      </c>
      <c r="O734" s="1">
        <v>47300</v>
      </c>
      <c r="P734" s="1">
        <f t="shared" si="80"/>
        <v>16880</v>
      </c>
      <c r="Q734" s="186">
        <f t="shared" si="68"/>
        <v>0.3568710359408034</v>
      </c>
      <c r="R734" s="156">
        <f t="shared" si="83"/>
        <v>47300</v>
      </c>
      <c r="S734" s="156">
        <f t="shared" si="84"/>
        <v>48000</v>
      </c>
      <c r="T734" s="1">
        <v>47300</v>
      </c>
      <c r="U734" s="1">
        <f t="shared" si="81"/>
        <v>0</v>
      </c>
      <c r="V734" s="1">
        <f t="shared" si="82"/>
        <v>0</v>
      </c>
      <c r="W734" s="32">
        <f t="shared" si="69"/>
        <v>47300</v>
      </c>
    </row>
    <row r="735" spans="1:23" ht="36">
      <c r="A735" s="25"/>
      <c r="B735" s="25"/>
      <c r="C735" s="26">
        <v>4230</v>
      </c>
      <c r="D735" s="27" t="s">
        <v>88</v>
      </c>
      <c r="E735" s="93">
        <v>2000</v>
      </c>
      <c r="F735" s="11">
        <f t="shared" si="87"/>
        <v>2000</v>
      </c>
      <c r="G735" s="1">
        <v>3500</v>
      </c>
      <c r="H735" s="1">
        <v>2050</v>
      </c>
      <c r="I735" s="1"/>
      <c r="J735" s="1">
        <v>2050</v>
      </c>
      <c r="K735" s="1">
        <v>2050</v>
      </c>
      <c r="L735" s="1">
        <f t="shared" si="86"/>
        <v>2050</v>
      </c>
      <c r="M735" s="1">
        <f t="shared" si="85"/>
        <v>2110</v>
      </c>
      <c r="N735" s="1">
        <v>2100</v>
      </c>
      <c r="O735" s="1">
        <v>2100</v>
      </c>
      <c r="P735" s="1">
        <f t="shared" si="80"/>
        <v>803</v>
      </c>
      <c r="Q735" s="186">
        <f t="shared" si="68"/>
        <v>0.3823809523809524</v>
      </c>
      <c r="R735" s="156">
        <f t="shared" si="83"/>
        <v>2100</v>
      </c>
      <c r="S735" s="156">
        <f t="shared" si="84"/>
        <v>2205</v>
      </c>
      <c r="T735" s="1">
        <v>2100</v>
      </c>
      <c r="U735" s="1">
        <f t="shared" si="81"/>
        <v>0</v>
      </c>
      <c r="V735" s="1">
        <f t="shared" si="82"/>
        <v>0</v>
      </c>
      <c r="W735" s="32">
        <f t="shared" si="69"/>
        <v>2100</v>
      </c>
    </row>
    <row r="736" spans="1:23" ht="24">
      <c r="A736" s="25"/>
      <c r="B736" s="25"/>
      <c r="C736" s="26">
        <v>4240</v>
      </c>
      <c r="D736" s="27" t="s">
        <v>181</v>
      </c>
      <c r="E736" s="93">
        <v>2000</v>
      </c>
      <c r="F736" s="11">
        <f t="shared" si="87"/>
        <v>2000</v>
      </c>
      <c r="G736" s="1">
        <v>2046</v>
      </c>
      <c r="H736" s="1">
        <v>2050</v>
      </c>
      <c r="I736" s="1"/>
      <c r="J736" s="1">
        <v>2050</v>
      </c>
      <c r="K736" s="1">
        <v>2050</v>
      </c>
      <c r="L736" s="1">
        <f t="shared" si="86"/>
        <v>2050</v>
      </c>
      <c r="M736" s="1">
        <f t="shared" si="85"/>
        <v>2110</v>
      </c>
      <c r="N736" s="1">
        <v>2100</v>
      </c>
      <c r="O736" s="1">
        <v>2100</v>
      </c>
      <c r="P736" s="1">
        <f t="shared" si="80"/>
        <v>0</v>
      </c>
      <c r="Q736" s="186">
        <f t="shared" si="68"/>
        <v>0</v>
      </c>
      <c r="R736" s="156">
        <f t="shared" si="83"/>
        <v>2100</v>
      </c>
      <c r="S736" s="156">
        <f t="shared" si="84"/>
        <v>2205</v>
      </c>
      <c r="T736" s="1">
        <v>2100</v>
      </c>
      <c r="U736" s="1">
        <f t="shared" si="81"/>
        <v>0</v>
      </c>
      <c r="V736" s="1">
        <f t="shared" si="82"/>
        <v>0</v>
      </c>
      <c r="W736" s="32">
        <f t="shared" si="69"/>
        <v>2100</v>
      </c>
    </row>
    <row r="737" spans="1:23" ht="12">
      <c r="A737" s="25"/>
      <c r="B737" s="25"/>
      <c r="C737" s="26">
        <v>4260</v>
      </c>
      <c r="D737" s="27" t="s">
        <v>35</v>
      </c>
      <c r="E737" s="93">
        <v>18700</v>
      </c>
      <c r="F737" s="11">
        <f t="shared" si="87"/>
        <v>18700</v>
      </c>
      <c r="G737" s="1">
        <v>19130</v>
      </c>
      <c r="H737" s="1">
        <v>19130</v>
      </c>
      <c r="I737" s="1"/>
      <c r="J737" s="1">
        <v>19130</v>
      </c>
      <c r="K737" s="1">
        <v>19130</v>
      </c>
      <c r="L737" s="1">
        <f t="shared" si="86"/>
        <v>20110</v>
      </c>
      <c r="M737" s="1">
        <f t="shared" si="85"/>
        <v>25000</v>
      </c>
      <c r="N737" s="1">
        <v>25000</v>
      </c>
      <c r="O737" s="1">
        <v>25000</v>
      </c>
      <c r="P737" s="1">
        <f t="shared" si="80"/>
        <v>13377</v>
      </c>
      <c r="Q737" s="186">
        <f t="shared" si="68"/>
        <v>0.53508</v>
      </c>
      <c r="R737" s="156">
        <f t="shared" si="83"/>
        <v>25000</v>
      </c>
      <c r="S737" s="156">
        <f t="shared" si="84"/>
        <v>80000</v>
      </c>
      <c r="T737" s="1">
        <v>76250</v>
      </c>
      <c r="U737" s="1">
        <f>U764</f>
        <v>0</v>
      </c>
      <c r="V737" s="1">
        <f>V764</f>
        <v>0</v>
      </c>
      <c r="W737" s="32">
        <f t="shared" si="69"/>
        <v>76250</v>
      </c>
    </row>
    <row r="738" spans="1:23" ht="12">
      <c r="A738" s="25"/>
      <c r="B738" s="25"/>
      <c r="C738" s="26">
        <v>4270</v>
      </c>
      <c r="D738" s="27" t="s">
        <v>53</v>
      </c>
      <c r="E738" s="93">
        <v>11500</v>
      </c>
      <c r="F738" s="11">
        <f t="shared" si="87"/>
        <v>11500</v>
      </c>
      <c r="G738" s="1">
        <v>11764</v>
      </c>
      <c r="H738" s="1">
        <v>11760</v>
      </c>
      <c r="I738" s="1"/>
      <c r="J738" s="1">
        <v>11760</v>
      </c>
      <c r="K738" s="1">
        <v>5720</v>
      </c>
      <c r="L738" s="1">
        <f t="shared" si="86"/>
        <v>6120</v>
      </c>
      <c r="M738" s="1">
        <f t="shared" si="85"/>
        <v>6300</v>
      </c>
      <c r="N738" s="1">
        <v>6300</v>
      </c>
      <c r="O738" s="1">
        <v>6300</v>
      </c>
      <c r="P738" s="1">
        <v>2204</v>
      </c>
      <c r="Q738" s="186">
        <f t="shared" si="68"/>
        <v>0.34984126984126984</v>
      </c>
      <c r="R738" s="156">
        <f t="shared" si="83"/>
        <v>6300</v>
      </c>
      <c r="S738" s="156">
        <f t="shared" si="84"/>
        <v>6615</v>
      </c>
      <c r="T738" s="1">
        <v>6600</v>
      </c>
      <c r="U738" s="1">
        <f>U765</f>
        <v>0</v>
      </c>
      <c r="V738" s="1">
        <f>V765</f>
        <v>0</v>
      </c>
      <c r="W738" s="32">
        <f t="shared" si="69"/>
        <v>6600</v>
      </c>
    </row>
    <row r="739" spans="1:23" ht="12">
      <c r="A739" s="25"/>
      <c r="B739" s="25"/>
      <c r="C739" s="26">
        <v>4280</v>
      </c>
      <c r="D739" s="27" t="s">
        <v>37</v>
      </c>
      <c r="E739" s="93">
        <v>300</v>
      </c>
      <c r="F739" s="11">
        <f t="shared" si="87"/>
        <v>300</v>
      </c>
      <c r="G739" s="1">
        <v>307</v>
      </c>
      <c r="H739" s="1">
        <v>310</v>
      </c>
      <c r="I739" s="1"/>
      <c r="J739" s="1">
        <v>310</v>
      </c>
      <c r="K739" s="1">
        <v>1010</v>
      </c>
      <c r="L739" s="1">
        <f t="shared" si="86"/>
        <v>1000</v>
      </c>
      <c r="M739" s="1">
        <f t="shared" si="85"/>
        <v>300</v>
      </c>
      <c r="N739" s="1">
        <v>300</v>
      </c>
      <c r="O739" s="1">
        <v>300</v>
      </c>
      <c r="P739" s="1">
        <f aca="true" t="shared" si="88" ref="P739:P747">P766</f>
        <v>210</v>
      </c>
      <c r="Q739" s="186">
        <f t="shared" si="68"/>
        <v>0.7</v>
      </c>
      <c r="R739" s="156">
        <f t="shared" si="83"/>
        <v>300</v>
      </c>
      <c r="S739" s="156">
        <f t="shared" si="84"/>
        <v>1000</v>
      </c>
      <c r="T739" s="1">
        <v>300</v>
      </c>
      <c r="U739" s="1"/>
      <c r="V739" s="1"/>
      <c r="W739" s="32">
        <f t="shared" si="69"/>
        <v>300</v>
      </c>
    </row>
    <row r="740" spans="1:23" ht="12">
      <c r="A740" s="25"/>
      <c r="B740" s="25"/>
      <c r="C740" s="26">
        <v>4300</v>
      </c>
      <c r="D740" s="27" t="s">
        <v>81</v>
      </c>
      <c r="E740" s="93">
        <v>12000</v>
      </c>
      <c r="F740" s="11">
        <f t="shared" si="87"/>
        <v>12000</v>
      </c>
      <c r="G740" s="1">
        <v>18000</v>
      </c>
      <c r="H740" s="1">
        <v>12300</v>
      </c>
      <c r="I740" s="1"/>
      <c r="J740" s="1">
        <v>12300</v>
      </c>
      <c r="K740" s="1">
        <v>16300</v>
      </c>
      <c r="L740" s="1">
        <f t="shared" si="86"/>
        <v>16300</v>
      </c>
      <c r="M740" s="1">
        <f t="shared" si="85"/>
        <v>16773</v>
      </c>
      <c r="N740" s="1">
        <v>16800</v>
      </c>
      <c r="O740" s="1">
        <v>16800</v>
      </c>
      <c r="P740" s="1">
        <f t="shared" si="88"/>
        <v>8885</v>
      </c>
      <c r="Q740" s="186">
        <f t="shared" si="68"/>
        <v>0.5288690476190476</v>
      </c>
      <c r="R740" s="156">
        <f t="shared" si="83"/>
        <v>16800</v>
      </c>
      <c r="S740" s="156">
        <f t="shared" si="84"/>
        <v>17640</v>
      </c>
      <c r="T740" s="1">
        <v>13640</v>
      </c>
      <c r="U740" s="1">
        <f aca="true" t="shared" si="89" ref="U740:U746">U767</f>
        <v>0</v>
      </c>
      <c r="V740" s="1">
        <f aca="true" t="shared" si="90" ref="V740:V746">V767</f>
        <v>0</v>
      </c>
      <c r="W740" s="32">
        <f t="shared" si="69"/>
        <v>13640</v>
      </c>
    </row>
    <row r="741" spans="1:23" ht="24">
      <c r="A741" s="25"/>
      <c r="B741" s="25"/>
      <c r="C741" s="26">
        <v>4350</v>
      </c>
      <c r="D741" s="27" t="s">
        <v>38</v>
      </c>
      <c r="E741" s="93">
        <v>1100</v>
      </c>
      <c r="F741" s="11">
        <f t="shared" si="87"/>
        <v>1100</v>
      </c>
      <c r="G741" s="1">
        <v>1125</v>
      </c>
      <c r="H741" s="1">
        <v>1130</v>
      </c>
      <c r="I741" s="1"/>
      <c r="J741" s="1">
        <v>1130</v>
      </c>
      <c r="K741" s="1">
        <v>1130</v>
      </c>
      <c r="L741" s="1">
        <f t="shared" si="86"/>
        <v>1130</v>
      </c>
      <c r="M741" s="1">
        <f t="shared" si="85"/>
        <v>1163</v>
      </c>
      <c r="N741" s="1">
        <v>1200</v>
      </c>
      <c r="O741" s="1">
        <v>1200</v>
      </c>
      <c r="P741" s="1">
        <f t="shared" si="88"/>
        <v>690</v>
      </c>
      <c r="Q741" s="186">
        <f t="shared" si="68"/>
        <v>0.575</v>
      </c>
      <c r="R741" s="156">
        <f t="shared" si="83"/>
        <v>1200</v>
      </c>
      <c r="S741" s="156">
        <f t="shared" si="84"/>
        <v>1260</v>
      </c>
      <c r="T741" s="1">
        <v>1200</v>
      </c>
      <c r="U741" s="1">
        <f t="shared" si="89"/>
        <v>0</v>
      </c>
      <c r="V741" s="1">
        <f t="shared" si="90"/>
        <v>0</v>
      </c>
      <c r="W741" s="32">
        <f t="shared" si="69"/>
        <v>1200</v>
      </c>
    </row>
    <row r="742" spans="1:23" ht="36">
      <c r="A742" s="25"/>
      <c r="B742" s="25"/>
      <c r="C742" s="26">
        <v>4360</v>
      </c>
      <c r="D742" s="27" t="s">
        <v>130</v>
      </c>
      <c r="E742" s="93">
        <v>1200</v>
      </c>
      <c r="F742" s="11">
        <f t="shared" si="87"/>
        <v>1200</v>
      </c>
      <c r="G742" s="1">
        <v>1228</v>
      </c>
      <c r="H742" s="1">
        <v>1230</v>
      </c>
      <c r="I742" s="1"/>
      <c r="J742" s="1">
        <v>1230</v>
      </c>
      <c r="K742" s="1">
        <v>1230</v>
      </c>
      <c r="L742" s="1">
        <f t="shared" si="86"/>
        <v>1230</v>
      </c>
      <c r="M742" s="1">
        <f t="shared" si="85"/>
        <v>1266</v>
      </c>
      <c r="N742" s="1">
        <v>1300</v>
      </c>
      <c r="O742" s="1">
        <v>1300</v>
      </c>
      <c r="P742" s="1">
        <f t="shared" si="88"/>
        <v>660</v>
      </c>
      <c r="Q742" s="186">
        <f t="shared" si="68"/>
        <v>0.5076923076923077</v>
      </c>
      <c r="R742" s="156">
        <f t="shared" si="83"/>
        <v>1300</v>
      </c>
      <c r="S742" s="156">
        <f t="shared" si="84"/>
        <v>1365</v>
      </c>
      <c r="T742" s="1">
        <v>1300</v>
      </c>
      <c r="U742" s="1">
        <f t="shared" si="89"/>
        <v>0</v>
      </c>
      <c r="V742" s="1">
        <f t="shared" si="90"/>
        <v>0</v>
      </c>
      <c r="W742" s="32">
        <f t="shared" si="69"/>
        <v>1300</v>
      </c>
    </row>
    <row r="743" spans="1:23" ht="36">
      <c r="A743" s="25"/>
      <c r="B743" s="25"/>
      <c r="C743" s="26">
        <v>4370</v>
      </c>
      <c r="D743" s="27" t="s">
        <v>135</v>
      </c>
      <c r="E743" s="93">
        <v>5000</v>
      </c>
      <c r="F743" s="11">
        <f t="shared" si="87"/>
        <v>5000</v>
      </c>
      <c r="G743" s="1">
        <v>5115</v>
      </c>
      <c r="H743" s="1">
        <v>5100</v>
      </c>
      <c r="I743" s="1"/>
      <c r="J743" s="1">
        <v>5100</v>
      </c>
      <c r="K743" s="1">
        <v>5100</v>
      </c>
      <c r="L743" s="1">
        <f t="shared" si="86"/>
        <v>5100</v>
      </c>
      <c r="M743" s="1">
        <f t="shared" si="85"/>
        <v>5248</v>
      </c>
      <c r="N743" s="1">
        <v>5200</v>
      </c>
      <c r="O743" s="1">
        <v>5200</v>
      </c>
      <c r="P743" s="1">
        <f t="shared" si="88"/>
        <v>1816</v>
      </c>
      <c r="Q743" s="186">
        <f t="shared" si="68"/>
        <v>0.34923076923076923</v>
      </c>
      <c r="R743" s="156">
        <f t="shared" si="83"/>
        <v>5200</v>
      </c>
      <c r="S743" s="156">
        <f t="shared" si="84"/>
        <v>5200</v>
      </c>
      <c r="T743" s="1">
        <v>5200</v>
      </c>
      <c r="U743" s="1">
        <f t="shared" si="89"/>
        <v>0</v>
      </c>
      <c r="V743" s="1">
        <f t="shared" si="90"/>
        <v>0</v>
      </c>
      <c r="W743" s="32">
        <f t="shared" si="69"/>
        <v>5200</v>
      </c>
    </row>
    <row r="744" spans="1:23" ht="12">
      <c r="A744" s="25"/>
      <c r="B744" s="25"/>
      <c r="C744" s="26">
        <v>4410</v>
      </c>
      <c r="D744" s="27" t="s">
        <v>42</v>
      </c>
      <c r="E744" s="93">
        <v>3000</v>
      </c>
      <c r="F744" s="11">
        <f t="shared" si="87"/>
        <v>3000</v>
      </c>
      <c r="G744" s="1">
        <v>3069</v>
      </c>
      <c r="H744" s="1">
        <v>3070</v>
      </c>
      <c r="I744" s="1"/>
      <c r="J744" s="1">
        <v>3070</v>
      </c>
      <c r="K744" s="1">
        <v>3070</v>
      </c>
      <c r="L744" s="1">
        <f t="shared" si="86"/>
        <v>3070</v>
      </c>
      <c r="M744" s="1">
        <f t="shared" si="85"/>
        <v>3159</v>
      </c>
      <c r="N744" s="1">
        <v>3200</v>
      </c>
      <c r="O744" s="1">
        <v>3200</v>
      </c>
      <c r="P744" s="1">
        <f t="shared" si="88"/>
        <v>1367</v>
      </c>
      <c r="Q744" s="186">
        <f t="shared" si="68"/>
        <v>0.4271875</v>
      </c>
      <c r="R744" s="156">
        <f>R771</f>
        <v>3200</v>
      </c>
      <c r="S744" s="156">
        <f t="shared" si="84"/>
        <v>3200</v>
      </c>
      <c r="T744" s="1">
        <v>3200</v>
      </c>
      <c r="U744" s="1">
        <f t="shared" si="89"/>
        <v>0</v>
      </c>
      <c r="V744" s="1">
        <f t="shared" si="90"/>
        <v>0</v>
      </c>
      <c r="W744" s="32">
        <f t="shared" si="69"/>
        <v>3200</v>
      </c>
    </row>
    <row r="745" spans="1:23" ht="12">
      <c r="A745" s="25"/>
      <c r="B745" s="25"/>
      <c r="C745" s="26">
        <v>4430</v>
      </c>
      <c r="D745" s="27" t="s">
        <v>43</v>
      </c>
      <c r="E745" s="93">
        <v>2500</v>
      </c>
      <c r="F745" s="11">
        <f t="shared" si="87"/>
        <v>2500</v>
      </c>
      <c r="G745" s="1">
        <v>2557</v>
      </c>
      <c r="H745" s="1">
        <v>2560</v>
      </c>
      <c r="I745" s="1"/>
      <c r="J745" s="1">
        <v>2560</v>
      </c>
      <c r="K745" s="1">
        <v>2560</v>
      </c>
      <c r="L745" s="1">
        <f t="shared" si="86"/>
        <v>2560</v>
      </c>
      <c r="M745" s="1">
        <f t="shared" si="85"/>
        <v>2634</v>
      </c>
      <c r="N745" s="1">
        <v>2600</v>
      </c>
      <c r="O745" s="1">
        <v>2600</v>
      </c>
      <c r="P745" s="1">
        <f t="shared" si="88"/>
        <v>2061</v>
      </c>
      <c r="Q745" s="186">
        <f t="shared" si="68"/>
        <v>0.7926923076923077</v>
      </c>
      <c r="R745" s="156">
        <f t="shared" si="83"/>
        <v>2600</v>
      </c>
      <c r="S745" s="156">
        <f t="shared" si="84"/>
        <v>2700</v>
      </c>
      <c r="T745" s="1">
        <v>2600</v>
      </c>
      <c r="U745" s="1">
        <f t="shared" si="89"/>
        <v>0</v>
      </c>
      <c r="V745" s="1">
        <f t="shared" si="90"/>
        <v>0</v>
      </c>
      <c r="W745" s="32">
        <f t="shared" si="69"/>
        <v>2600</v>
      </c>
    </row>
    <row r="746" spans="1:23" ht="24">
      <c r="A746" s="25"/>
      <c r="B746" s="25"/>
      <c r="C746" s="26">
        <v>4440</v>
      </c>
      <c r="D746" s="27" t="s">
        <v>44</v>
      </c>
      <c r="E746" s="93">
        <v>32000</v>
      </c>
      <c r="F746" s="11">
        <f t="shared" si="87"/>
        <v>32000</v>
      </c>
      <c r="G746" s="1">
        <v>34800</v>
      </c>
      <c r="H746" s="1">
        <v>35230</v>
      </c>
      <c r="I746" s="1"/>
      <c r="J746" s="1">
        <v>35230</v>
      </c>
      <c r="K746" s="1">
        <v>35230</v>
      </c>
      <c r="L746" s="1">
        <f t="shared" si="86"/>
        <v>35230</v>
      </c>
      <c r="M746" s="1">
        <f t="shared" si="85"/>
        <v>36575</v>
      </c>
      <c r="N746" s="1">
        <v>36600</v>
      </c>
      <c r="O746" s="1">
        <v>36600</v>
      </c>
      <c r="P746" s="1">
        <f t="shared" si="88"/>
        <v>28200</v>
      </c>
      <c r="Q746" s="186">
        <f t="shared" si="68"/>
        <v>0.7704918032786885</v>
      </c>
      <c r="R746" s="156">
        <f t="shared" si="83"/>
        <v>38600</v>
      </c>
      <c r="S746" s="156">
        <f t="shared" si="84"/>
        <v>42600</v>
      </c>
      <c r="T746" s="1">
        <v>42600</v>
      </c>
      <c r="U746" s="1">
        <f t="shared" si="89"/>
        <v>0</v>
      </c>
      <c r="V746" s="1">
        <f t="shared" si="90"/>
        <v>0</v>
      </c>
      <c r="W746" s="32">
        <f t="shared" si="69"/>
        <v>42600</v>
      </c>
    </row>
    <row r="747" spans="1:23" ht="12">
      <c r="A747" s="25"/>
      <c r="B747" s="25"/>
      <c r="C747" s="26">
        <v>4480</v>
      </c>
      <c r="D747" s="27" t="s">
        <v>61</v>
      </c>
      <c r="E747" s="93">
        <v>5000</v>
      </c>
      <c r="F747" s="11">
        <f t="shared" si="87"/>
        <v>5000</v>
      </c>
      <c r="G747" s="1">
        <v>4500</v>
      </c>
      <c r="H747" s="1">
        <v>4500</v>
      </c>
      <c r="I747" s="1"/>
      <c r="J747" s="1">
        <v>4500</v>
      </c>
      <c r="K747" s="1">
        <v>4500</v>
      </c>
      <c r="L747" s="1">
        <f t="shared" si="86"/>
        <v>4500</v>
      </c>
      <c r="M747" s="1">
        <f t="shared" si="85"/>
        <v>4630</v>
      </c>
      <c r="N747" s="1">
        <v>4600</v>
      </c>
      <c r="O747" s="1">
        <v>4600</v>
      </c>
      <c r="P747" s="1">
        <f t="shared" si="88"/>
        <v>2406</v>
      </c>
      <c r="Q747" s="186">
        <f t="shared" si="68"/>
        <v>0.5230434782608696</v>
      </c>
      <c r="R747" s="156">
        <f t="shared" si="83"/>
        <v>4600</v>
      </c>
      <c r="S747" s="156">
        <f t="shared" si="84"/>
        <v>10000</v>
      </c>
      <c r="T747" s="1">
        <v>10000</v>
      </c>
      <c r="U747" s="1"/>
      <c r="V747" s="1"/>
      <c r="W747" s="32">
        <f t="shared" si="69"/>
        <v>10000</v>
      </c>
    </row>
    <row r="748" spans="1:23" ht="24">
      <c r="A748" s="25"/>
      <c r="B748" s="25"/>
      <c r="C748" s="26">
        <v>4520</v>
      </c>
      <c r="D748" s="27" t="s">
        <v>182</v>
      </c>
      <c r="E748" s="93">
        <v>1300</v>
      </c>
      <c r="F748" s="11">
        <f>F776</f>
        <v>1300</v>
      </c>
      <c r="G748" s="1">
        <v>1300</v>
      </c>
      <c r="H748" s="1">
        <v>1300</v>
      </c>
      <c r="I748" s="1"/>
      <c r="J748" s="1">
        <v>1300</v>
      </c>
      <c r="K748" s="1">
        <v>1300</v>
      </c>
      <c r="L748" s="1">
        <f aca="true" t="shared" si="91" ref="L748:M750">L776</f>
        <v>1300</v>
      </c>
      <c r="M748" s="1">
        <f t="shared" si="91"/>
        <v>1338</v>
      </c>
      <c r="N748" s="1">
        <v>1300</v>
      </c>
      <c r="O748" s="1">
        <v>1300</v>
      </c>
      <c r="P748" s="1">
        <f>P776</f>
        <v>0</v>
      </c>
      <c r="Q748" s="186">
        <f t="shared" si="68"/>
        <v>0</v>
      </c>
      <c r="R748" s="156">
        <f aca="true" t="shared" si="92" ref="R748:S750">R776</f>
        <v>1300</v>
      </c>
      <c r="S748" s="156">
        <f t="shared" si="92"/>
        <v>1300</v>
      </c>
      <c r="T748" s="1">
        <v>7617</v>
      </c>
      <c r="U748" s="1">
        <f aca="true" t="shared" si="93" ref="U748:V750">U776</f>
        <v>0</v>
      </c>
      <c r="V748" s="1">
        <f t="shared" si="93"/>
        <v>0</v>
      </c>
      <c r="W748" s="32">
        <f t="shared" si="69"/>
        <v>7617</v>
      </c>
    </row>
    <row r="749" spans="1:23" ht="36">
      <c r="A749" s="25"/>
      <c r="B749" s="25"/>
      <c r="C749" s="26">
        <v>4740</v>
      </c>
      <c r="D749" s="27" t="s">
        <v>73</v>
      </c>
      <c r="E749" s="93">
        <v>1200</v>
      </c>
      <c r="F749" s="11">
        <f>F777</f>
        <v>1200</v>
      </c>
      <c r="G749" s="1">
        <v>1228</v>
      </c>
      <c r="H749" s="1">
        <v>1230</v>
      </c>
      <c r="I749" s="1"/>
      <c r="J749" s="1">
        <v>1230</v>
      </c>
      <c r="K749" s="1">
        <v>1230</v>
      </c>
      <c r="L749" s="1">
        <f t="shared" si="91"/>
        <v>1230</v>
      </c>
      <c r="M749" s="1">
        <f t="shared" si="91"/>
        <v>1265</v>
      </c>
      <c r="N749" s="1">
        <v>1300</v>
      </c>
      <c r="O749" s="1">
        <v>1300</v>
      </c>
      <c r="P749" s="1">
        <f>P777</f>
        <v>0</v>
      </c>
      <c r="Q749" s="186">
        <f t="shared" si="68"/>
        <v>0</v>
      </c>
      <c r="R749" s="156">
        <f t="shared" si="92"/>
        <v>1300</v>
      </c>
      <c r="S749" s="156">
        <f t="shared" si="92"/>
        <v>1300</v>
      </c>
      <c r="T749" s="1">
        <v>1300</v>
      </c>
      <c r="U749" s="1">
        <f t="shared" si="93"/>
        <v>0</v>
      </c>
      <c r="V749" s="1">
        <f t="shared" si="93"/>
        <v>0</v>
      </c>
      <c r="W749" s="32">
        <f t="shared" si="69"/>
        <v>1300</v>
      </c>
    </row>
    <row r="750" spans="1:23" ht="24">
      <c r="A750" s="25"/>
      <c r="B750" s="25"/>
      <c r="C750" s="26">
        <v>4750</v>
      </c>
      <c r="D750" s="27" t="s">
        <v>118</v>
      </c>
      <c r="E750" s="93">
        <v>1000</v>
      </c>
      <c r="F750" s="11">
        <f>F778</f>
        <v>1000</v>
      </c>
      <c r="G750" s="1">
        <v>3000</v>
      </c>
      <c r="H750" s="1">
        <v>1030</v>
      </c>
      <c r="I750" s="1"/>
      <c r="J750" s="1">
        <v>1030</v>
      </c>
      <c r="K750" s="1">
        <v>3530</v>
      </c>
      <c r="L750" s="1">
        <f t="shared" si="91"/>
        <v>3000</v>
      </c>
      <c r="M750" s="1">
        <f t="shared" si="91"/>
        <v>1060</v>
      </c>
      <c r="N750" s="1">
        <v>1100</v>
      </c>
      <c r="O750" s="1">
        <v>1100</v>
      </c>
      <c r="P750" s="1">
        <f>P778</f>
        <v>0</v>
      </c>
      <c r="Q750" s="186">
        <f t="shared" si="68"/>
        <v>0</v>
      </c>
      <c r="R750" s="156">
        <f t="shared" si="92"/>
        <v>1100</v>
      </c>
      <c r="S750" s="156">
        <f t="shared" si="92"/>
        <v>1155</v>
      </c>
      <c r="T750" s="1">
        <v>5100</v>
      </c>
      <c r="U750" s="1">
        <f t="shared" si="93"/>
        <v>0</v>
      </c>
      <c r="V750" s="1">
        <f t="shared" si="93"/>
        <v>0</v>
      </c>
      <c r="W750" s="32">
        <f t="shared" si="69"/>
        <v>5100</v>
      </c>
    </row>
    <row r="751" spans="1:23" ht="24" hidden="1">
      <c r="A751" s="8"/>
      <c r="B751" s="8"/>
      <c r="C751" s="26">
        <v>6050</v>
      </c>
      <c r="D751" s="10" t="s">
        <v>183</v>
      </c>
      <c r="E751" s="55"/>
      <c r="F751" s="55">
        <v>17000</v>
      </c>
      <c r="G751" s="12"/>
      <c r="H751" s="12"/>
      <c r="I751" s="12"/>
      <c r="J751" s="12">
        <v>655000</v>
      </c>
      <c r="K751" s="12">
        <v>505000</v>
      </c>
      <c r="L751" s="12">
        <f>L783</f>
        <v>0</v>
      </c>
      <c r="M751" s="12">
        <f>M783</f>
        <v>0</v>
      </c>
      <c r="N751" s="12">
        <v>530000</v>
      </c>
      <c r="O751" s="12">
        <v>668600</v>
      </c>
      <c r="P751" s="12">
        <v>208239</v>
      </c>
      <c r="Q751" s="186">
        <f t="shared" si="68"/>
        <v>0.3114552796889022</v>
      </c>
      <c r="R751" s="156">
        <f>R783</f>
        <v>668600</v>
      </c>
      <c r="S751" s="156">
        <f>S783</f>
        <v>0</v>
      </c>
      <c r="T751" s="1">
        <v>0</v>
      </c>
      <c r="U751" s="1">
        <f>U783</f>
        <v>0</v>
      </c>
      <c r="V751" s="1">
        <f>V783</f>
        <v>0</v>
      </c>
      <c r="W751" s="32">
        <f t="shared" si="69"/>
        <v>0</v>
      </c>
    </row>
    <row r="752" spans="1:23" ht="24">
      <c r="A752" s="33"/>
      <c r="B752" s="94"/>
      <c r="C752" s="25" t="s">
        <v>121</v>
      </c>
      <c r="D752" s="42" t="s">
        <v>171</v>
      </c>
      <c r="E752" s="11">
        <f>SUM(E753:E778)</f>
        <v>943670</v>
      </c>
      <c r="F752" s="11">
        <f>SUM(F753:F778)</f>
        <v>977250</v>
      </c>
      <c r="G752" s="11">
        <f>SUM(G753:G778)</f>
        <v>1133356</v>
      </c>
      <c r="H752" s="11">
        <f>SUM(H753:H778)</f>
        <v>1116446</v>
      </c>
      <c r="I752" s="11"/>
      <c r="J752" s="11">
        <f aca="true" t="shared" si="94" ref="J752:P752">SUM(J753:J778)</f>
        <v>1116510</v>
      </c>
      <c r="K752" s="11">
        <f t="shared" si="94"/>
        <v>1138179</v>
      </c>
      <c r="L752" s="11">
        <f t="shared" si="94"/>
        <v>1138179</v>
      </c>
      <c r="M752" s="11">
        <f t="shared" si="94"/>
        <v>1219306</v>
      </c>
      <c r="N752" s="35">
        <v>1197000</v>
      </c>
      <c r="O752" s="35">
        <v>1197000</v>
      </c>
      <c r="P752" s="35">
        <f t="shared" si="94"/>
        <v>522050</v>
      </c>
      <c r="Q752" s="186">
        <f t="shared" si="68"/>
        <v>0.4361319966583124</v>
      </c>
      <c r="R752" s="152">
        <f>SUM(R753:R778)</f>
        <v>1204564</v>
      </c>
      <c r="S752" s="152">
        <f>SUM(S753:S778)</f>
        <v>1335439</v>
      </c>
      <c r="T752" s="35">
        <v>1266953</v>
      </c>
      <c r="U752" s="35">
        <f>SUM(U753:U778)</f>
        <v>0</v>
      </c>
      <c r="V752" s="35">
        <f>SUM(V753:V778)</f>
        <v>0</v>
      </c>
      <c r="W752" s="32">
        <f t="shared" si="69"/>
        <v>1266953</v>
      </c>
    </row>
    <row r="753" spans="1:23" ht="24">
      <c r="A753" s="25"/>
      <c r="B753" s="25"/>
      <c r="C753" s="26">
        <v>3020</v>
      </c>
      <c r="D753" s="27" t="s">
        <v>68</v>
      </c>
      <c r="E753" s="93">
        <v>45600</v>
      </c>
      <c r="F753" s="11">
        <v>46900</v>
      </c>
      <c r="G753" s="1">
        <v>29700</v>
      </c>
      <c r="H753" s="1">
        <v>29700</v>
      </c>
      <c r="I753" s="1"/>
      <c r="J753" s="1">
        <v>29700</v>
      </c>
      <c r="K753" s="1">
        <v>29700</v>
      </c>
      <c r="L753" s="1">
        <v>29700</v>
      </c>
      <c r="M753" s="1">
        <v>29000</v>
      </c>
      <c r="N753" s="1">
        <v>30600</v>
      </c>
      <c r="O753" s="1">
        <v>30600</v>
      </c>
      <c r="P753" s="1">
        <v>13000</v>
      </c>
      <c r="Q753" s="186">
        <f t="shared" si="68"/>
        <v>0.42483660130718953</v>
      </c>
      <c r="R753" s="156">
        <v>30600</v>
      </c>
      <c r="S753" s="156">
        <v>1500</v>
      </c>
      <c r="T753" s="1">
        <v>1500</v>
      </c>
      <c r="U753" s="1"/>
      <c r="V753" s="1"/>
      <c r="W753" s="32">
        <f t="shared" si="69"/>
        <v>1500</v>
      </c>
    </row>
    <row r="754" spans="1:23" ht="12">
      <c r="A754" s="25"/>
      <c r="B754" s="25"/>
      <c r="C754" s="26">
        <v>3110</v>
      </c>
      <c r="D754" s="27" t="s">
        <v>179</v>
      </c>
      <c r="E754" s="93">
        <v>5500</v>
      </c>
      <c r="F754" s="11">
        <v>5500</v>
      </c>
      <c r="G754" s="1">
        <v>5000</v>
      </c>
      <c r="H754" s="1">
        <v>5000</v>
      </c>
      <c r="I754" s="1"/>
      <c r="J754" s="1">
        <v>5000</v>
      </c>
      <c r="K754" s="1">
        <v>7840</v>
      </c>
      <c r="L754" s="1">
        <v>7000</v>
      </c>
      <c r="M754" s="1">
        <v>8000</v>
      </c>
      <c r="N754" s="1">
        <v>8000</v>
      </c>
      <c r="O754" s="1">
        <v>8000</v>
      </c>
      <c r="P754" s="1">
        <v>3340</v>
      </c>
      <c r="Q754" s="186">
        <f t="shared" si="68"/>
        <v>0.4175</v>
      </c>
      <c r="R754" s="156">
        <v>8000</v>
      </c>
      <c r="S754" s="156">
        <v>8000</v>
      </c>
      <c r="T754" s="1">
        <v>5000</v>
      </c>
      <c r="U754" s="1"/>
      <c r="V754" s="1"/>
      <c r="W754" s="32">
        <f t="shared" si="69"/>
        <v>5000</v>
      </c>
    </row>
    <row r="755" spans="1:23" ht="24">
      <c r="A755" s="25"/>
      <c r="B755" s="25"/>
      <c r="C755" s="26">
        <v>4010</v>
      </c>
      <c r="D755" s="27" t="s">
        <v>29</v>
      </c>
      <c r="E755" s="93">
        <v>549700</v>
      </c>
      <c r="F755" s="11">
        <v>572450</v>
      </c>
      <c r="G755" s="1">
        <v>717936</v>
      </c>
      <c r="H755" s="1">
        <v>717936</v>
      </c>
      <c r="I755" s="1"/>
      <c r="J755" s="1">
        <v>718000</v>
      </c>
      <c r="K755" s="1">
        <v>732988</v>
      </c>
      <c r="L755" s="1">
        <v>732988</v>
      </c>
      <c r="M755" s="1">
        <v>766802</v>
      </c>
      <c r="N755" s="1">
        <v>746000</v>
      </c>
      <c r="O755" s="1">
        <v>746000</v>
      </c>
      <c r="P755" s="1">
        <v>309463</v>
      </c>
      <c r="Q755" s="186">
        <f t="shared" si="68"/>
        <v>0.4148297587131367</v>
      </c>
      <c r="R755" s="156">
        <v>752410</v>
      </c>
      <c r="S755" s="156">
        <v>844918</v>
      </c>
      <c r="T755" s="1">
        <v>781646</v>
      </c>
      <c r="U755" s="1"/>
      <c r="V755" s="1"/>
      <c r="W755" s="32">
        <f t="shared" si="69"/>
        <v>781646</v>
      </c>
    </row>
    <row r="756" spans="1:23" ht="12">
      <c r="A756" s="25"/>
      <c r="B756" s="25"/>
      <c r="C756" s="26">
        <v>4040</v>
      </c>
      <c r="D756" s="27" t="s">
        <v>30</v>
      </c>
      <c r="E756" s="93">
        <v>45000</v>
      </c>
      <c r="F756" s="11">
        <v>45000</v>
      </c>
      <c r="G756" s="1">
        <v>48700</v>
      </c>
      <c r="H756" s="1">
        <v>46240</v>
      </c>
      <c r="I756" s="1"/>
      <c r="J756" s="1">
        <f>46240+2260</f>
        <v>48500</v>
      </c>
      <c r="K756" s="1">
        <v>48500</v>
      </c>
      <c r="L756" s="1">
        <v>48500</v>
      </c>
      <c r="M756" s="1">
        <v>52000</v>
      </c>
      <c r="N756" s="1">
        <v>56900</v>
      </c>
      <c r="O756" s="1">
        <v>56900</v>
      </c>
      <c r="P756" s="1">
        <v>46250</v>
      </c>
      <c r="Q756" s="186">
        <f t="shared" si="68"/>
        <v>0.812829525483304</v>
      </c>
      <c r="R756" s="156">
        <v>56900</v>
      </c>
      <c r="S756" s="156">
        <v>58810</v>
      </c>
      <c r="T756" s="1">
        <v>58810</v>
      </c>
      <c r="U756" s="1"/>
      <c r="V756" s="1"/>
      <c r="W756" s="32">
        <f t="shared" si="69"/>
        <v>58810</v>
      </c>
    </row>
    <row r="757" spans="1:23" ht="24">
      <c r="A757" s="25"/>
      <c r="B757" s="25"/>
      <c r="C757" s="26">
        <v>4110</v>
      </c>
      <c r="D757" s="27" t="s">
        <v>31</v>
      </c>
      <c r="E757" s="93">
        <v>104427</v>
      </c>
      <c r="F757" s="11">
        <v>108397</v>
      </c>
      <c r="G757" s="1">
        <v>115529</v>
      </c>
      <c r="H757" s="1">
        <v>110560</v>
      </c>
      <c r="I757" s="1"/>
      <c r="J757" s="1">
        <v>110560</v>
      </c>
      <c r="K757" s="1">
        <v>112874</v>
      </c>
      <c r="L757" s="1">
        <v>112874</v>
      </c>
      <c r="M757" s="1">
        <v>126807</v>
      </c>
      <c r="N757" s="1">
        <v>119900</v>
      </c>
      <c r="O757" s="1">
        <v>119900</v>
      </c>
      <c r="P757" s="1">
        <v>50077</v>
      </c>
      <c r="Q757" s="186">
        <f aca="true" t="shared" si="95" ref="Q757:Q823">P757/O757</f>
        <v>0.41765638031693075</v>
      </c>
      <c r="R757" s="156">
        <v>120897</v>
      </c>
      <c r="S757" s="156">
        <v>129157</v>
      </c>
      <c r="T757" s="1">
        <v>128490</v>
      </c>
      <c r="U757" s="1"/>
      <c r="V757" s="1"/>
      <c r="W757" s="32">
        <f t="shared" si="69"/>
        <v>128490</v>
      </c>
    </row>
    <row r="758" spans="1:23" ht="12">
      <c r="A758" s="25"/>
      <c r="B758" s="25"/>
      <c r="C758" s="26">
        <v>4120</v>
      </c>
      <c r="D758" s="27" t="s">
        <v>32</v>
      </c>
      <c r="E758" s="93">
        <v>15043</v>
      </c>
      <c r="F758" s="11">
        <v>15603</v>
      </c>
      <c r="G758" s="1">
        <v>18300</v>
      </c>
      <c r="H758" s="1">
        <v>17540</v>
      </c>
      <c r="I758" s="1"/>
      <c r="J758" s="1">
        <v>17540</v>
      </c>
      <c r="K758" s="1">
        <v>17907</v>
      </c>
      <c r="L758" s="1">
        <v>17907</v>
      </c>
      <c r="M758" s="1">
        <v>20122</v>
      </c>
      <c r="N758" s="1">
        <v>19000</v>
      </c>
      <c r="O758" s="1">
        <v>19000</v>
      </c>
      <c r="P758" s="1">
        <v>8292</v>
      </c>
      <c r="Q758" s="186">
        <f t="shared" si="95"/>
        <v>0.43642105263157893</v>
      </c>
      <c r="R758" s="156">
        <v>19157</v>
      </c>
      <c r="S758" s="156">
        <v>20309</v>
      </c>
      <c r="T758" s="1">
        <v>20100</v>
      </c>
      <c r="U758" s="1"/>
      <c r="V758" s="1"/>
      <c r="W758" s="32">
        <f t="shared" si="69"/>
        <v>20100</v>
      </c>
    </row>
    <row r="759" spans="1:23" ht="12">
      <c r="A759" s="25"/>
      <c r="B759" s="25"/>
      <c r="C759" s="26">
        <v>4170</v>
      </c>
      <c r="D759" s="27" t="s">
        <v>195</v>
      </c>
      <c r="E759" s="93"/>
      <c r="F759" s="11"/>
      <c r="G759" s="1"/>
      <c r="H759" s="1"/>
      <c r="I759" s="1"/>
      <c r="J759" s="1">
        <v>0</v>
      </c>
      <c r="K759" s="1">
        <v>0</v>
      </c>
      <c r="L759" s="1">
        <v>0</v>
      </c>
      <c r="M759" s="1">
        <v>20000</v>
      </c>
      <c r="N759" s="1">
        <v>20000</v>
      </c>
      <c r="O759" s="1">
        <v>20000</v>
      </c>
      <c r="P759" s="1">
        <v>304</v>
      </c>
      <c r="Q759" s="186">
        <f t="shared" si="95"/>
        <v>0.0152</v>
      </c>
      <c r="R759" s="156">
        <v>18000</v>
      </c>
      <c r="S759" s="156">
        <v>20000</v>
      </c>
      <c r="T759" s="1">
        <v>18000</v>
      </c>
      <c r="U759" s="1"/>
      <c r="V759" s="1"/>
      <c r="W759" s="32">
        <f t="shared" si="69"/>
        <v>18000</v>
      </c>
    </row>
    <row r="760" spans="1:23" ht="12">
      <c r="A760" s="25"/>
      <c r="B760" s="25"/>
      <c r="C760" s="26">
        <v>4210</v>
      </c>
      <c r="D760" s="27" t="s">
        <v>34</v>
      </c>
      <c r="E760" s="93">
        <v>33600</v>
      </c>
      <c r="F760" s="11">
        <v>38600</v>
      </c>
      <c r="G760" s="1">
        <v>39487</v>
      </c>
      <c r="H760" s="1">
        <v>39490</v>
      </c>
      <c r="I760" s="1"/>
      <c r="J760" s="1">
        <f>39490-2260</f>
        <v>37230</v>
      </c>
      <c r="K760" s="1">
        <v>37230</v>
      </c>
      <c r="L760" s="1">
        <v>37230</v>
      </c>
      <c r="M760" s="1">
        <v>38310</v>
      </c>
      <c r="N760" s="1">
        <v>38300</v>
      </c>
      <c r="O760" s="1">
        <v>38300</v>
      </c>
      <c r="P760" s="1">
        <v>11765</v>
      </c>
      <c r="Q760" s="186">
        <f t="shared" si="95"/>
        <v>0.30718015665796344</v>
      </c>
      <c r="R760" s="156">
        <v>38300</v>
      </c>
      <c r="S760" s="156">
        <v>25000</v>
      </c>
      <c r="T760" s="1">
        <v>25000</v>
      </c>
      <c r="U760" s="1"/>
      <c r="V760" s="1"/>
      <c r="W760" s="32">
        <f t="shared" si="69"/>
        <v>25000</v>
      </c>
    </row>
    <row r="761" spans="1:23" ht="12">
      <c r="A761" s="25"/>
      <c r="B761" s="25"/>
      <c r="C761" s="26">
        <v>4220</v>
      </c>
      <c r="D761" s="27" t="s">
        <v>180</v>
      </c>
      <c r="E761" s="93">
        <v>45000</v>
      </c>
      <c r="F761" s="11">
        <v>45000</v>
      </c>
      <c r="G761" s="1">
        <v>46035</v>
      </c>
      <c r="H761" s="1">
        <v>46000</v>
      </c>
      <c r="I761" s="1"/>
      <c r="J761" s="1">
        <v>46000</v>
      </c>
      <c r="K761" s="1">
        <v>46000</v>
      </c>
      <c r="L761" s="1">
        <v>46000</v>
      </c>
      <c r="M761" s="1">
        <v>47334</v>
      </c>
      <c r="N761" s="1">
        <v>47300</v>
      </c>
      <c r="O761" s="1">
        <v>47300</v>
      </c>
      <c r="P761" s="1">
        <v>16880</v>
      </c>
      <c r="Q761" s="186">
        <f t="shared" si="95"/>
        <v>0.3568710359408034</v>
      </c>
      <c r="R761" s="156">
        <v>47300</v>
      </c>
      <c r="S761" s="156">
        <v>48000</v>
      </c>
      <c r="T761" s="1">
        <v>47300</v>
      </c>
      <c r="U761" s="1"/>
      <c r="V761" s="1"/>
      <c r="W761" s="32">
        <f t="shared" si="69"/>
        <v>47300</v>
      </c>
    </row>
    <row r="762" spans="1:23" ht="36">
      <c r="A762" s="25"/>
      <c r="B762" s="25"/>
      <c r="C762" s="26">
        <v>4230</v>
      </c>
      <c r="D762" s="27" t="s">
        <v>88</v>
      </c>
      <c r="E762" s="93">
        <v>2000</v>
      </c>
      <c r="F762" s="11">
        <v>2000</v>
      </c>
      <c r="G762" s="1">
        <v>3500</v>
      </c>
      <c r="H762" s="1">
        <v>2050</v>
      </c>
      <c r="I762" s="1"/>
      <c r="J762" s="1">
        <v>2050</v>
      </c>
      <c r="K762" s="1">
        <v>2050</v>
      </c>
      <c r="L762" s="1">
        <v>2050</v>
      </c>
      <c r="M762" s="1">
        <v>2110</v>
      </c>
      <c r="N762" s="1">
        <v>2100</v>
      </c>
      <c r="O762" s="1">
        <v>2100</v>
      </c>
      <c r="P762" s="1">
        <v>803</v>
      </c>
      <c r="Q762" s="186">
        <f t="shared" si="95"/>
        <v>0.3823809523809524</v>
      </c>
      <c r="R762" s="156">
        <v>2100</v>
      </c>
      <c r="S762" s="156">
        <v>2205</v>
      </c>
      <c r="T762" s="1">
        <v>2100</v>
      </c>
      <c r="U762" s="1"/>
      <c r="V762" s="1"/>
      <c r="W762" s="32">
        <f t="shared" si="69"/>
        <v>2100</v>
      </c>
    </row>
    <row r="763" spans="1:23" ht="24">
      <c r="A763" s="25"/>
      <c r="B763" s="25"/>
      <c r="C763" s="26">
        <v>4240</v>
      </c>
      <c r="D763" s="27" t="s">
        <v>117</v>
      </c>
      <c r="E763" s="93">
        <v>2000</v>
      </c>
      <c r="F763" s="11">
        <v>2000</v>
      </c>
      <c r="G763" s="1">
        <v>2046</v>
      </c>
      <c r="H763" s="1">
        <v>2050</v>
      </c>
      <c r="I763" s="1"/>
      <c r="J763" s="1">
        <v>2050</v>
      </c>
      <c r="K763" s="1">
        <v>2050</v>
      </c>
      <c r="L763" s="1">
        <v>2050</v>
      </c>
      <c r="M763" s="1">
        <v>2110</v>
      </c>
      <c r="N763" s="1">
        <v>2100</v>
      </c>
      <c r="O763" s="1">
        <v>2100</v>
      </c>
      <c r="P763" s="1"/>
      <c r="Q763" s="186">
        <f t="shared" si="95"/>
        <v>0</v>
      </c>
      <c r="R763" s="156">
        <v>2100</v>
      </c>
      <c r="S763" s="156">
        <v>2205</v>
      </c>
      <c r="T763" s="1">
        <v>2100</v>
      </c>
      <c r="U763" s="1"/>
      <c r="V763" s="1"/>
      <c r="W763" s="32">
        <f aca="true" t="shared" si="96" ref="W763:W829">T763+U763-V763</f>
        <v>2100</v>
      </c>
    </row>
    <row r="764" spans="1:23" ht="12">
      <c r="A764" s="25"/>
      <c r="B764" s="25"/>
      <c r="C764" s="26">
        <v>4260</v>
      </c>
      <c r="D764" s="27" t="s">
        <v>35</v>
      </c>
      <c r="E764" s="93">
        <v>18700</v>
      </c>
      <c r="F764" s="11">
        <v>18700</v>
      </c>
      <c r="G764" s="1">
        <v>19130</v>
      </c>
      <c r="H764" s="1">
        <v>19130</v>
      </c>
      <c r="I764" s="1"/>
      <c r="J764" s="1">
        <v>19130</v>
      </c>
      <c r="K764" s="1">
        <v>19130</v>
      </c>
      <c r="L764" s="1">
        <v>20110</v>
      </c>
      <c r="M764" s="1">
        <v>25000</v>
      </c>
      <c r="N764" s="1">
        <v>25000</v>
      </c>
      <c r="O764" s="1">
        <v>25000</v>
      </c>
      <c r="P764" s="1">
        <v>13377</v>
      </c>
      <c r="Q764" s="186">
        <f t="shared" si="95"/>
        <v>0.53508</v>
      </c>
      <c r="R764" s="156">
        <v>25000</v>
      </c>
      <c r="S764" s="156">
        <v>80000</v>
      </c>
      <c r="T764" s="1">
        <v>76250</v>
      </c>
      <c r="U764" s="1"/>
      <c r="V764" s="1"/>
      <c r="W764" s="32">
        <f t="shared" si="96"/>
        <v>76250</v>
      </c>
    </row>
    <row r="765" spans="1:23" ht="12">
      <c r="A765" s="25"/>
      <c r="B765" s="25"/>
      <c r="C765" s="26">
        <v>4270</v>
      </c>
      <c r="D765" s="27" t="s">
        <v>53</v>
      </c>
      <c r="E765" s="93">
        <v>11500</v>
      </c>
      <c r="F765" s="11">
        <v>11500</v>
      </c>
      <c r="G765" s="1">
        <v>11764</v>
      </c>
      <c r="H765" s="1">
        <v>11760</v>
      </c>
      <c r="I765" s="1"/>
      <c r="J765" s="1">
        <v>11760</v>
      </c>
      <c r="K765" s="1">
        <v>5720</v>
      </c>
      <c r="L765" s="1">
        <v>6120</v>
      </c>
      <c r="M765" s="1">
        <v>6300</v>
      </c>
      <c r="N765" s="1">
        <v>6300</v>
      </c>
      <c r="O765" s="1">
        <v>6300</v>
      </c>
      <c r="P765" s="1">
        <v>2204</v>
      </c>
      <c r="Q765" s="186">
        <f t="shared" si="95"/>
        <v>0.34984126984126984</v>
      </c>
      <c r="R765" s="156">
        <v>6300</v>
      </c>
      <c r="S765" s="156">
        <v>6615</v>
      </c>
      <c r="T765" s="1">
        <v>6600</v>
      </c>
      <c r="U765" s="1"/>
      <c r="V765" s="1"/>
      <c r="W765" s="32">
        <f t="shared" si="96"/>
        <v>6600</v>
      </c>
    </row>
    <row r="766" spans="1:23" ht="12">
      <c r="A766" s="25"/>
      <c r="B766" s="25"/>
      <c r="C766" s="26">
        <v>4280</v>
      </c>
      <c r="D766" s="27" t="s">
        <v>37</v>
      </c>
      <c r="E766" s="93">
        <v>300</v>
      </c>
      <c r="F766" s="11">
        <v>300</v>
      </c>
      <c r="G766" s="1">
        <v>307</v>
      </c>
      <c r="H766" s="1">
        <v>310</v>
      </c>
      <c r="I766" s="1"/>
      <c r="J766" s="1">
        <v>310</v>
      </c>
      <c r="K766" s="1">
        <v>1010</v>
      </c>
      <c r="L766" s="1">
        <v>1000</v>
      </c>
      <c r="M766" s="1">
        <v>300</v>
      </c>
      <c r="N766" s="1">
        <v>300</v>
      </c>
      <c r="O766" s="1">
        <v>300</v>
      </c>
      <c r="P766" s="1">
        <v>210</v>
      </c>
      <c r="Q766" s="186">
        <f t="shared" si="95"/>
        <v>0.7</v>
      </c>
      <c r="R766" s="156">
        <v>300</v>
      </c>
      <c r="S766" s="156">
        <v>1000</v>
      </c>
      <c r="T766" s="1">
        <v>300</v>
      </c>
      <c r="U766" s="1"/>
      <c r="V766" s="1"/>
      <c r="W766" s="32">
        <f t="shared" si="96"/>
        <v>300</v>
      </c>
    </row>
    <row r="767" spans="1:23" ht="12">
      <c r="A767" s="25"/>
      <c r="B767" s="25"/>
      <c r="C767" s="26">
        <v>4300</v>
      </c>
      <c r="D767" s="27" t="s">
        <v>184</v>
      </c>
      <c r="E767" s="93">
        <v>12000</v>
      </c>
      <c r="F767" s="11">
        <v>12000</v>
      </c>
      <c r="G767" s="1">
        <v>18000</v>
      </c>
      <c r="H767" s="1">
        <v>12300</v>
      </c>
      <c r="I767" s="1"/>
      <c r="J767" s="1">
        <v>12300</v>
      </c>
      <c r="K767" s="1">
        <v>16300</v>
      </c>
      <c r="L767" s="1">
        <v>16300</v>
      </c>
      <c r="M767" s="1">
        <v>16773</v>
      </c>
      <c r="N767" s="1">
        <v>16800</v>
      </c>
      <c r="O767" s="1">
        <v>16800</v>
      </c>
      <c r="P767" s="1">
        <v>8885</v>
      </c>
      <c r="Q767" s="186">
        <f t="shared" si="95"/>
        <v>0.5288690476190476</v>
      </c>
      <c r="R767" s="156">
        <v>16800</v>
      </c>
      <c r="S767" s="156">
        <v>17640</v>
      </c>
      <c r="T767" s="1">
        <v>13640</v>
      </c>
      <c r="U767" s="1"/>
      <c r="V767" s="1"/>
      <c r="W767" s="32">
        <f t="shared" si="96"/>
        <v>13640</v>
      </c>
    </row>
    <row r="768" spans="1:23" ht="24">
      <c r="A768" s="25"/>
      <c r="B768" s="25"/>
      <c r="C768" s="26">
        <v>4350</v>
      </c>
      <c r="D768" s="27" t="s">
        <v>38</v>
      </c>
      <c r="E768" s="93">
        <v>1100</v>
      </c>
      <c r="F768" s="11">
        <v>1100</v>
      </c>
      <c r="G768" s="1">
        <v>1125</v>
      </c>
      <c r="H768" s="1">
        <v>1130</v>
      </c>
      <c r="I768" s="1"/>
      <c r="J768" s="1">
        <v>1130</v>
      </c>
      <c r="K768" s="1">
        <v>1130</v>
      </c>
      <c r="L768" s="1">
        <v>1130</v>
      </c>
      <c r="M768" s="1">
        <v>1163</v>
      </c>
      <c r="N768" s="1">
        <v>1200</v>
      </c>
      <c r="O768" s="1">
        <v>1200</v>
      </c>
      <c r="P768" s="1">
        <v>690</v>
      </c>
      <c r="Q768" s="186">
        <f t="shared" si="95"/>
        <v>0.575</v>
      </c>
      <c r="R768" s="156">
        <v>1200</v>
      </c>
      <c r="S768" s="156">
        <v>1260</v>
      </c>
      <c r="T768" s="1">
        <v>1200</v>
      </c>
      <c r="U768" s="1"/>
      <c r="V768" s="1"/>
      <c r="W768" s="32">
        <f t="shared" si="96"/>
        <v>1200</v>
      </c>
    </row>
    <row r="769" spans="1:23" ht="36">
      <c r="A769" s="25"/>
      <c r="B769" s="25"/>
      <c r="C769" s="26">
        <v>4360</v>
      </c>
      <c r="D769" s="27" t="s">
        <v>130</v>
      </c>
      <c r="E769" s="93">
        <v>1200</v>
      </c>
      <c r="F769" s="85">
        <v>1200</v>
      </c>
      <c r="G769" s="1">
        <v>1228</v>
      </c>
      <c r="H769" s="1">
        <v>1230</v>
      </c>
      <c r="I769" s="1"/>
      <c r="J769" s="1">
        <v>1230</v>
      </c>
      <c r="K769" s="1">
        <v>1230</v>
      </c>
      <c r="L769" s="1">
        <v>1230</v>
      </c>
      <c r="M769" s="1">
        <v>1266</v>
      </c>
      <c r="N769" s="1">
        <v>1300</v>
      </c>
      <c r="O769" s="1">
        <v>1300</v>
      </c>
      <c r="P769" s="1">
        <v>660</v>
      </c>
      <c r="Q769" s="186">
        <f t="shared" si="95"/>
        <v>0.5076923076923077</v>
      </c>
      <c r="R769" s="156">
        <v>1300</v>
      </c>
      <c r="S769" s="156">
        <v>1365</v>
      </c>
      <c r="T769" s="1">
        <v>1300</v>
      </c>
      <c r="U769" s="1"/>
      <c r="V769" s="1"/>
      <c r="W769" s="32">
        <f t="shared" si="96"/>
        <v>1300</v>
      </c>
    </row>
    <row r="770" spans="1:23" ht="36">
      <c r="A770" s="25"/>
      <c r="B770" s="25"/>
      <c r="C770" s="26">
        <v>4370</v>
      </c>
      <c r="D770" s="27" t="s">
        <v>135</v>
      </c>
      <c r="E770" s="93">
        <v>5000</v>
      </c>
      <c r="F770" s="85">
        <v>5000</v>
      </c>
      <c r="G770" s="1">
        <v>5115</v>
      </c>
      <c r="H770" s="1">
        <v>5100</v>
      </c>
      <c r="I770" s="1"/>
      <c r="J770" s="1">
        <v>5100</v>
      </c>
      <c r="K770" s="1">
        <v>5100</v>
      </c>
      <c r="L770" s="1">
        <v>5100</v>
      </c>
      <c r="M770" s="1">
        <v>5248</v>
      </c>
      <c r="N770" s="1">
        <v>5200</v>
      </c>
      <c r="O770" s="1">
        <v>5200</v>
      </c>
      <c r="P770" s="1">
        <v>1816</v>
      </c>
      <c r="Q770" s="186">
        <f t="shared" si="95"/>
        <v>0.34923076923076923</v>
      </c>
      <c r="R770" s="156">
        <v>5200</v>
      </c>
      <c r="S770" s="156">
        <v>5200</v>
      </c>
      <c r="T770" s="1">
        <v>5200</v>
      </c>
      <c r="U770" s="1"/>
      <c r="V770" s="1"/>
      <c r="W770" s="32">
        <f t="shared" si="96"/>
        <v>5200</v>
      </c>
    </row>
    <row r="771" spans="1:23" ht="12">
      <c r="A771" s="25"/>
      <c r="B771" s="25"/>
      <c r="C771" s="26">
        <v>4410</v>
      </c>
      <c r="D771" s="27" t="s">
        <v>42</v>
      </c>
      <c r="E771" s="93">
        <v>3000</v>
      </c>
      <c r="F771" s="11">
        <v>3000</v>
      </c>
      <c r="G771" s="1">
        <v>3069</v>
      </c>
      <c r="H771" s="1">
        <v>3070</v>
      </c>
      <c r="I771" s="1"/>
      <c r="J771" s="1">
        <v>3070</v>
      </c>
      <c r="K771" s="1">
        <v>3070</v>
      </c>
      <c r="L771" s="1">
        <v>3070</v>
      </c>
      <c r="M771" s="1">
        <v>3159</v>
      </c>
      <c r="N771" s="1">
        <v>3200</v>
      </c>
      <c r="O771" s="1">
        <v>3200</v>
      </c>
      <c r="P771" s="1">
        <v>1367</v>
      </c>
      <c r="Q771" s="186">
        <f t="shared" si="95"/>
        <v>0.4271875</v>
      </c>
      <c r="R771" s="156">
        <v>3200</v>
      </c>
      <c r="S771" s="156">
        <v>3200</v>
      </c>
      <c r="T771" s="1">
        <v>3200</v>
      </c>
      <c r="U771" s="1"/>
      <c r="V771" s="1"/>
      <c r="W771" s="32">
        <f t="shared" si="96"/>
        <v>3200</v>
      </c>
    </row>
    <row r="772" spans="1:23" ht="12">
      <c r="A772" s="25"/>
      <c r="B772" s="25"/>
      <c r="C772" s="26">
        <v>4430</v>
      </c>
      <c r="D772" s="27" t="s">
        <v>43</v>
      </c>
      <c r="E772" s="93">
        <v>2500</v>
      </c>
      <c r="F772" s="11">
        <v>2500</v>
      </c>
      <c r="G772" s="1">
        <v>2557</v>
      </c>
      <c r="H772" s="1">
        <v>2560</v>
      </c>
      <c r="I772" s="1"/>
      <c r="J772" s="1">
        <v>2560</v>
      </c>
      <c r="K772" s="1">
        <v>2560</v>
      </c>
      <c r="L772" s="1">
        <v>2560</v>
      </c>
      <c r="M772" s="1">
        <v>2634</v>
      </c>
      <c r="N772" s="1">
        <v>2600</v>
      </c>
      <c r="O772" s="1">
        <v>2600</v>
      </c>
      <c r="P772" s="1">
        <v>2061</v>
      </c>
      <c r="Q772" s="186">
        <f t="shared" si="95"/>
        <v>0.7926923076923077</v>
      </c>
      <c r="R772" s="156">
        <v>2600</v>
      </c>
      <c r="S772" s="156">
        <v>2700</v>
      </c>
      <c r="T772" s="1">
        <v>2600</v>
      </c>
      <c r="U772" s="1"/>
      <c r="V772" s="1"/>
      <c r="W772" s="32">
        <f t="shared" si="96"/>
        <v>2600</v>
      </c>
    </row>
    <row r="773" spans="1:23" ht="24">
      <c r="A773" s="25"/>
      <c r="B773" s="25"/>
      <c r="C773" s="26">
        <v>4440</v>
      </c>
      <c r="D773" s="27" t="s">
        <v>44</v>
      </c>
      <c r="E773" s="93">
        <v>32000</v>
      </c>
      <c r="F773" s="11">
        <v>32000</v>
      </c>
      <c r="G773" s="1">
        <v>34800</v>
      </c>
      <c r="H773" s="1">
        <v>35230</v>
      </c>
      <c r="I773" s="1"/>
      <c r="J773" s="1">
        <v>35230</v>
      </c>
      <c r="K773" s="1">
        <v>35230</v>
      </c>
      <c r="L773" s="1">
        <v>35230</v>
      </c>
      <c r="M773" s="1">
        <v>36575</v>
      </c>
      <c r="N773" s="1">
        <v>36600</v>
      </c>
      <c r="O773" s="1">
        <v>36600</v>
      </c>
      <c r="P773" s="1">
        <v>28200</v>
      </c>
      <c r="Q773" s="186">
        <f t="shared" si="95"/>
        <v>0.7704918032786885</v>
      </c>
      <c r="R773" s="156">
        <v>38600</v>
      </c>
      <c r="S773" s="156">
        <v>42600</v>
      </c>
      <c r="T773" s="1">
        <v>42600</v>
      </c>
      <c r="U773" s="1"/>
      <c r="V773" s="1"/>
      <c r="W773" s="32">
        <f t="shared" si="96"/>
        <v>42600</v>
      </c>
    </row>
    <row r="774" spans="1:23" ht="12">
      <c r="A774" s="25"/>
      <c r="B774" s="25"/>
      <c r="C774" s="26">
        <v>4480</v>
      </c>
      <c r="D774" s="27" t="s">
        <v>61</v>
      </c>
      <c r="E774" s="93">
        <v>5000</v>
      </c>
      <c r="F774" s="11">
        <v>5000</v>
      </c>
      <c r="G774" s="1">
        <v>4500</v>
      </c>
      <c r="H774" s="1">
        <v>4500</v>
      </c>
      <c r="I774" s="1"/>
      <c r="J774" s="1">
        <v>4500</v>
      </c>
      <c r="K774" s="1">
        <v>4500</v>
      </c>
      <c r="L774" s="1">
        <v>4500</v>
      </c>
      <c r="M774" s="1">
        <v>4630</v>
      </c>
      <c r="N774" s="1">
        <v>4600</v>
      </c>
      <c r="O774" s="1">
        <v>4600</v>
      </c>
      <c r="P774" s="1">
        <v>2406</v>
      </c>
      <c r="Q774" s="186">
        <f t="shared" si="95"/>
        <v>0.5230434782608696</v>
      </c>
      <c r="R774" s="156">
        <v>4600</v>
      </c>
      <c r="S774" s="156">
        <v>10000</v>
      </c>
      <c r="T774" s="1">
        <v>10000</v>
      </c>
      <c r="U774" s="1"/>
      <c r="V774" s="1"/>
      <c r="W774" s="32">
        <f t="shared" si="96"/>
        <v>10000</v>
      </c>
    </row>
    <row r="775" spans="1:23" ht="12">
      <c r="A775" s="25"/>
      <c r="B775" s="25"/>
      <c r="C775" s="26"/>
      <c r="D775" s="27"/>
      <c r="E775" s="93"/>
      <c r="F775" s="1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86"/>
      <c r="R775" s="156"/>
      <c r="S775" s="156"/>
      <c r="T775" s="1"/>
      <c r="U775" s="1"/>
      <c r="V775" s="1"/>
      <c r="W775" s="32"/>
    </row>
    <row r="776" spans="1:23" ht="36">
      <c r="A776" s="25"/>
      <c r="B776" s="25"/>
      <c r="C776" s="26">
        <v>4520</v>
      </c>
      <c r="D776" s="27" t="s">
        <v>189</v>
      </c>
      <c r="E776" s="93">
        <v>1300</v>
      </c>
      <c r="F776" s="11">
        <v>1300</v>
      </c>
      <c r="G776" s="1">
        <v>1300</v>
      </c>
      <c r="H776" s="1">
        <v>1300</v>
      </c>
      <c r="I776" s="1"/>
      <c r="J776" s="1">
        <v>1300</v>
      </c>
      <c r="K776" s="1">
        <v>1300</v>
      </c>
      <c r="L776" s="1">
        <v>1300</v>
      </c>
      <c r="M776" s="1">
        <v>1338</v>
      </c>
      <c r="N776" s="1">
        <v>1300</v>
      </c>
      <c r="O776" s="1">
        <v>1300</v>
      </c>
      <c r="P776" s="1"/>
      <c r="Q776" s="186">
        <f t="shared" si="95"/>
        <v>0</v>
      </c>
      <c r="R776" s="156">
        <v>1300</v>
      </c>
      <c r="S776" s="156">
        <v>1300</v>
      </c>
      <c r="T776" s="1">
        <v>7617</v>
      </c>
      <c r="U776" s="1"/>
      <c r="V776" s="1"/>
      <c r="W776" s="32">
        <f t="shared" si="96"/>
        <v>7617</v>
      </c>
    </row>
    <row r="777" spans="1:23" ht="36">
      <c r="A777" s="25"/>
      <c r="B777" s="25"/>
      <c r="C777" s="26">
        <v>4740</v>
      </c>
      <c r="D777" s="27" t="s">
        <v>73</v>
      </c>
      <c r="E777" s="93">
        <v>1200</v>
      </c>
      <c r="F777" s="85">
        <v>1200</v>
      </c>
      <c r="G777" s="1">
        <v>1228</v>
      </c>
      <c r="H777" s="1">
        <v>1230</v>
      </c>
      <c r="I777" s="1"/>
      <c r="J777" s="1">
        <v>1230</v>
      </c>
      <c r="K777" s="1">
        <v>1230</v>
      </c>
      <c r="L777" s="1">
        <v>1230</v>
      </c>
      <c r="M777" s="1">
        <v>1265</v>
      </c>
      <c r="N777" s="1">
        <v>1300</v>
      </c>
      <c r="O777" s="1">
        <v>1300</v>
      </c>
      <c r="P777" s="1"/>
      <c r="Q777" s="186">
        <f t="shared" si="95"/>
        <v>0</v>
      </c>
      <c r="R777" s="156">
        <v>1300</v>
      </c>
      <c r="S777" s="156">
        <v>1300</v>
      </c>
      <c r="T777" s="1">
        <v>1300</v>
      </c>
      <c r="U777" s="1"/>
      <c r="V777" s="1"/>
      <c r="W777" s="32">
        <f t="shared" si="96"/>
        <v>1300</v>
      </c>
    </row>
    <row r="778" spans="1:23" ht="24">
      <c r="A778" s="25"/>
      <c r="B778" s="25"/>
      <c r="C778" s="26">
        <v>4750</v>
      </c>
      <c r="D778" s="27" t="s">
        <v>118</v>
      </c>
      <c r="E778" s="93">
        <v>1000</v>
      </c>
      <c r="F778" s="85">
        <v>1000</v>
      </c>
      <c r="G778" s="1">
        <v>3000</v>
      </c>
      <c r="H778" s="1">
        <v>1030</v>
      </c>
      <c r="I778" s="1"/>
      <c r="J778" s="1">
        <v>1030</v>
      </c>
      <c r="K778" s="1">
        <v>3530</v>
      </c>
      <c r="L778" s="1">
        <v>3000</v>
      </c>
      <c r="M778" s="1">
        <v>1060</v>
      </c>
      <c r="N778" s="1">
        <v>1100</v>
      </c>
      <c r="O778" s="1">
        <v>1100</v>
      </c>
      <c r="P778" s="1"/>
      <c r="Q778" s="186">
        <f t="shared" si="95"/>
        <v>0</v>
      </c>
      <c r="R778" s="156">
        <v>1100</v>
      </c>
      <c r="S778" s="156">
        <v>1155</v>
      </c>
      <c r="T778" s="1">
        <v>5100</v>
      </c>
      <c r="U778" s="1"/>
      <c r="V778" s="1"/>
      <c r="W778" s="32">
        <f t="shared" si="96"/>
        <v>5100</v>
      </c>
    </row>
    <row r="779" spans="1:23" ht="12">
      <c r="A779" s="33"/>
      <c r="B779" s="33"/>
      <c r="C779" s="36"/>
      <c r="D779" s="42" t="s">
        <v>185</v>
      </c>
      <c r="E779" s="11">
        <f>SUM(E780:E780)</f>
        <v>0</v>
      </c>
      <c r="F779" s="11">
        <f>SUM(F780:F780)</f>
        <v>156100</v>
      </c>
      <c r="G779" s="11">
        <f>SUM(G780:G780)</f>
        <v>163740</v>
      </c>
      <c r="H779" s="11">
        <f>SUM(H780:H780)</f>
        <v>163740</v>
      </c>
      <c r="I779" s="11"/>
      <c r="J779" s="11">
        <f aca="true" t="shared" si="97" ref="J779:S779">SUM(J780:J780)</f>
        <v>163740</v>
      </c>
      <c r="K779" s="11">
        <f t="shared" si="97"/>
        <v>163740</v>
      </c>
      <c r="L779" s="11">
        <f t="shared" si="97"/>
        <v>163740</v>
      </c>
      <c r="M779" s="11">
        <f t="shared" si="97"/>
        <v>104432</v>
      </c>
      <c r="N779" s="11">
        <v>104552</v>
      </c>
      <c r="O779" s="11">
        <v>104552</v>
      </c>
      <c r="P779" s="11">
        <f t="shared" si="97"/>
        <v>36547</v>
      </c>
      <c r="Q779" s="186">
        <f t="shared" si="95"/>
        <v>0.34955811462238884</v>
      </c>
      <c r="R779" s="152">
        <f t="shared" si="97"/>
        <v>85000</v>
      </c>
      <c r="S779" s="152">
        <f t="shared" si="97"/>
        <v>138419</v>
      </c>
      <c r="T779" s="35">
        <v>76080</v>
      </c>
      <c r="U779" s="35">
        <f>SUM(U780:U780)</f>
        <v>0</v>
      </c>
      <c r="V779" s="35">
        <f>SUM(V780:V780)</f>
        <v>0</v>
      </c>
      <c r="W779" s="32">
        <f t="shared" si="96"/>
        <v>76080</v>
      </c>
    </row>
    <row r="780" spans="1:23" ht="12">
      <c r="A780" s="25"/>
      <c r="B780" s="25"/>
      <c r="C780" s="26">
        <v>3110</v>
      </c>
      <c r="D780" s="27" t="s">
        <v>179</v>
      </c>
      <c r="E780" s="11"/>
      <c r="F780" s="11">
        <v>156100</v>
      </c>
      <c r="G780" s="11">
        <v>163740</v>
      </c>
      <c r="H780" s="11">
        <v>163740</v>
      </c>
      <c r="I780" s="11"/>
      <c r="J780" s="11">
        <v>163740</v>
      </c>
      <c r="K780" s="11">
        <v>163740</v>
      </c>
      <c r="L780" s="11">
        <v>163740</v>
      </c>
      <c r="M780" s="11">
        <v>104432</v>
      </c>
      <c r="N780" s="11">
        <v>104552</v>
      </c>
      <c r="O780" s="11">
        <v>104552</v>
      </c>
      <c r="P780" s="11">
        <v>36547</v>
      </c>
      <c r="Q780" s="186">
        <f t="shared" si="95"/>
        <v>0.34955811462238884</v>
      </c>
      <c r="R780" s="158">
        <v>85000</v>
      </c>
      <c r="S780" s="158">
        <v>138419</v>
      </c>
      <c r="T780" s="11">
        <v>76080</v>
      </c>
      <c r="U780" s="11"/>
      <c r="V780" s="11"/>
      <c r="W780" s="32">
        <f t="shared" si="96"/>
        <v>76080</v>
      </c>
    </row>
    <row r="781" spans="1:23" ht="12">
      <c r="A781" s="95"/>
      <c r="B781" s="95"/>
      <c r="C781" s="96"/>
      <c r="D781" s="34" t="s">
        <v>186</v>
      </c>
      <c r="E781" s="87">
        <f>E782</f>
        <v>259150</v>
      </c>
      <c r="F781" s="87">
        <f>F782</f>
        <v>248803</v>
      </c>
      <c r="G781" s="87">
        <f>G782</f>
        <v>176650</v>
      </c>
      <c r="H781" s="87">
        <f>H782</f>
        <v>176650</v>
      </c>
      <c r="I781" s="87"/>
      <c r="J781" s="87">
        <f aca="true" t="shared" si="98" ref="J781:P781">SUM(J782:J783)</f>
        <v>831650</v>
      </c>
      <c r="K781" s="87">
        <f t="shared" si="98"/>
        <v>775336</v>
      </c>
      <c r="L781" s="87">
        <f t="shared" si="98"/>
        <v>270336</v>
      </c>
      <c r="M781" s="87">
        <f t="shared" si="98"/>
        <v>317022</v>
      </c>
      <c r="N781" s="87">
        <v>848000</v>
      </c>
      <c r="O781" s="87">
        <v>986600</v>
      </c>
      <c r="P781" s="87">
        <f t="shared" si="98"/>
        <v>375556</v>
      </c>
      <c r="Q781" s="186">
        <f t="shared" si="95"/>
        <v>0.38065680113521183</v>
      </c>
      <c r="R781" s="87">
        <f>SUM(R782:R783)</f>
        <v>986600</v>
      </c>
      <c r="S781" s="87">
        <f>SUM(S782:S783)</f>
        <v>178000</v>
      </c>
      <c r="T781" s="91">
        <v>288000</v>
      </c>
      <c r="U781" s="91">
        <f>SUM(U782:U783)</f>
        <v>0</v>
      </c>
      <c r="V781" s="91">
        <f>SUM(V782:V783)</f>
        <v>0</v>
      </c>
      <c r="W781" s="32">
        <f t="shared" si="96"/>
        <v>288000</v>
      </c>
    </row>
    <row r="782" spans="1:23" ht="72">
      <c r="A782" s="97"/>
      <c r="B782" s="97"/>
      <c r="C782" s="45">
        <v>2320</v>
      </c>
      <c r="D782" s="46" t="s">
        <v>178</v>
      </c>
      <c r="E782" s="47">
        <v>259150</v>
      </c>
      <c r="F782" s="47">
        <v>248803</v>
      </c>
      <c r="G782" s="65">
        <v>176650</v>
      </c>
      <c r="H782" s="65">
        <v>176650</v>
      </c>
      <c r="I782" s="65"/>
      <c r="J782" s="65">
        <v>176650</v>
      </c>
      <c r="K782" s="65">
        <v>270336</v>
      </c>
      <c r="L782" s="65">
        <v>270336</v>
      </c>
      <c r="M782" s="65">
        <v>317022</v>
      </c>
      <c r="N782" s="65">
        <v>318000</v>
      </c>
      <c r="O782" s="65">
        <v>318000</v>
      </c>
      <c r="P782" s="65">
        <v>167317</v>
      </c>
      <c r="Q782" s="186">
        <f t="shared" si="95"/>
        <v>0.5261540880503145</v>
      </c>
      <c r="R782" s="65">
        <v>318000</v>
      </c>
      <c r="S782" s="65">
        <v>178000</v>
      </c>
      <c r="T782" s="65">
        <v>288000</v>
      </c>
      <c r="U782" s="65"/>
      <c r="V782" s="65"/>
      <c r="W782" s="32">
        <f t="shared" si="96"/>
        <v>288000</v>
      </c>
    </row>
    <row r="783" spans="1:23" ht="24">
      <c r="A783" s="8"/>
      <c r="B783" s="8"/>
      <c r="C783" s="26">
        <v>6050</v>
      </c>
      <c r="D783" s="10" t="s">
        <v>183</v>
      </c>
      <c r="E783" s="55"/>
      <c r="F783" s="55">
        <v>17000</v>
      </c>
      <c r="G783" s="12"/>
      <c r="H783" s="12"/>
      <c r="I783" s="12"/>
      <c r="J783" s="12">
        <v>655000</v>
      </c>
      <c r="K783" s="12">
        <v>505000</v>
      </c>
      <c r="L783" s="12"/>
      <c r="M783" s="12"/>
      <c r="N783" s="12">
        <v>530000</v>
      </c>
      <c r="O783" s="12">
        <v>668600</v>
      </c>
      <c r="P783" s="12">
        <v>208239</v>
      </c>
      <c r="Q783" s="186">
        <f t="shared" si="95"/>
        <v>0.3114552796889022</v>
      </c>
      <c r="R783" s="12">
        <v>668600</v>
      </c>
      <c r="S783" s="12"/>
      <c r="T783" s="12">
        <v>0</v>
      </c>
      <c r="U783" s="12">
        <v>0</v>
      </c>
      <c r="V783" s="12">
        <v>0</v>
      </c>
      <c r="W783" s="32">
        <f t="shared" si="96"/>
        <v>0</v>
      </c>
    </row>
    <row r="784" spans="1:23" ht="12">
      <c r="A784" s="33"/>
      <c r="B784" s="33">
        <v>85202</v>
      </c>
      <c r="C784" s="36"/>
      <c r="D784" s="42" t="s">
        <v>187</v>
      </c>
      <c r="E784" s="35" t="e">
        <f>SUM(E785:E812)</f>
        <v>#REF!</v>
      </c>
      <c r="F784" s="35" t="e">
        <f>SUM(F785:F812)</f>
        <v>#REF!</v>
      </c>
      <c r="G784" s="35" t="e">
        <f>SUM(G785:G812)</f>
        <v>#REF!</v>
      </c>
      <c r="H784" s="35" t="e">
        <f>SUM(H785:H812)</f>
        <v>#REF!</v>
      </c>
      <c r="I784" s="35"/>
      <c r="J784" s="35">
        <f>SUM(J785:J812)</f>
        <v>9434120</v>
      </c>
      <c r="K784" s="35">
        <f>SUM(K785:K812)</f>
        <v>10140442</v>
      </c>
      <c r="L784" s="35" t="e">
        <f>SUM(L785:L812)</f>
        <v>#REF!</v>
      </c>
      <c r="M784" s="35" t="e">
        <f>SUM(M785:M812)</f>
        <v>#REF!</v>
      </c>
      <c r="N784" s="35">
        <v>9985920</v>
      </c>
      <c r="O784" s="35">
        <v>9832420</v>
      </c>
      <c r="P784" s="35">
        <f>SUM(P785:P812)</f>
        <v>5090334</v>
      </c>
      <c r="Q784" s="186">
        <f t="shared" si="95"/>
        <v>0.5177091702754765</v>
      </c>
      <c r="R784" s="152">
        <f>SUM(R785:R812)</f>
        <v>10237537</v>
      </c>
      <c r="S784" s="152">
        <f>SUM(S785:S812)</f>
        <v>13589406</v>
      </c>
      <c r="T784" s="35">
        <v>12389420</v>
      </c>
      <c r="U784" s="35">
        <f>SUM(U785:U812)</f>
        <v>218500</v>
      </c>
      <c r="V784" s="35">
        <f>SUM(V785:V812)</f>
        <v>168500</v>
      </c>
      <c r="W784" s="32">
        <f t="shared" si="96"/>
        <v>12439420</v>
      </c>
    </row>
    <row r="785" spans="1:23" ht="24">
      <c r="A785" s="25"/>
      <c r="B785" s="25"/>
      <c r="C785" s="26">
        <v>3020</v>
      </c>
      <c r="D785" s="27" t="s">
        <v>188</v>
      </c>
      <c r="E785" s="11">
        <f aca="true" t="shared" si="99" ref="E785:H791">E814+E842+E867+E892</f>
        <v>78600</v>
      </c>
      <c r="F785" s="11">
        <f t="shared" si="99"/>
        <v>34800</v>
      </c>
      <c r="G785" s="12">
        <f t="shared" si="99"/>
        <v>34090</v>
      </c>
      <c r="H785" s="12">
        <f t="shared" si="99"/>
        <v>24600</v>
      </c>
      <c r="I785" s="12"/>
      <c r="J785" s="12">
        <v>22600</v>
      </c>
      <c r="K785" s="12">
        <v>26858</v>
      </c>
      <c r="L785" s="12">
        <f aca="true" t="shared" si="100" ref="L785:M791">L814+L842+L867+L892</f>
        <v>28258</v>
      </c>
      <c r="M785" s="12">
        <f t="shared" si="100"/>
        <v>29400</v>
      </c>
      <c r="N785" s="12">
        <v>21900</v>
      </c>
      <c r="O785" s="12">
        <v>21500</v>
      </c>
      <c r="P785" s="12">
        <f aca="true" t="shared" si="101" ref="P785:P791">P814+P842+P867+P892</f>
        <v>7122</v>
      </c>
      <c r="Q785" s="186">
        <f t="shared" si="95"/>
        <v>0.33125581395348835</v>
      </c>
      <c r="R785" s="155">
        <f aca="true" t="shared" si="102" ref="R785:S791">R814+R842+R867+R892</f>
        <v>23682</v>
      </c>
      <c r="S785" s="155">
        <f t="shared" si="102"/>
        <v>28200</v>
      </c>
      <c r="T785" s="12">
        <v>22100</v>
      </c>
      <c r="U785" s="12">
        <f aca="true" t="shared" si="103" ref="U785:V791">U814+U842+U867+U892</f>
        <v>4500</v>
      </c>
      <c r="V785" s="12">
        <f t="shared" si="103"/>
        <v>0</v>
      </c>
      <c r="W785" s="32">
        <f t="shared" si="96"/>
        <v>26600</v>
      </c>
    </row>
    <row r="786" spans="1:23" ht="24">
      <c r="A786" s="25"/>
      <c r="B786" s="25"/>
      <c r="C786" s="26">
        <v>4010</v>
      </c>
      <c r="D786" s="27" t="s">
        <v>29</v>
      </c>
      <c r="E786" s="11">
        <f t="shared" si="99"/>
        <v>4248770</v>
      </c>
      <c r="F786" s="11">
        <f t="shared" si="99"/>
        <v>4510000</v>
      </c>
      <c r="G786" s="12">
        <f t="shared" si="99"/>
        <v>5062743</v>
      </c>
      <c r="H786" s="12">
        <f t="shared" si="99"/>
        <v>5022032</v>
      </c>
      <c r="I786" s="12">
        <v>4926200</v>
      </c>
      <c r="J786" s="12">
        <v>4714700</v>
      </c>
      <c r="K786" s="12">
        <v>4985336</v>
      </c>
      <c r="L786" s="12">
        <f t="shared" si="100"/>
        <v>4954086</v>
      </c>
      <c r="M786" s="12">
        <f t="shared" si="100"/>
        <v>5318955</v>
      </c>
      <c r="N786" s="12">
        <v>4939200</v>
      </c>
      <c r="O786" s="12">
        <v>4643200</v>
      </c>
      <c r="P786" s="12">
        <f t="shared" si="101"/>
        <v>2416678</v>
      </c>
      <c r="Q786" s="186">
        <f t="shared" si="95"/>
        <v>0.5204768263266712</v>
      </c>
      <c r="R786" s="155">
        <f t="shared" si="102"/>
        <v>4891066</v>
      </c>
      <c r="S786" s="155">
        <f t="shared" si="102"/>
        <v>5325956</v>
      </c>
      <c r="T786" s="12">
        <v>4993657</v>
      </c>
      <c r="U786" s="12">
        <f t="shared" si="103"/>
        <v>0</v>
      </c>
      <c r="V786" s="12">
        <f t="shared" si="103"/>
        <v>44000</v>
      </c>
      <c r="W786" s="32">
        <f t="shared" si="96"/>
        <v>4949657</v>
      </c>
    </row>
    <row r="787" spans="1:23" ht="12">
      <c r="A787" s="25"/>
      <c r="B787" s="25"/>
      <c r="C787" s="26">
        <v>4040</v>
      </c>
      <c r="D787" s="27" t="s">
        <v>30</v>
      </c>
      <c r="E787" s="11">
        <f t="shared" si="99"/>
        <v>351000</v>
      </c>
      <c r="F787" s="11">
        <f t="shared" si="99"/>
        <v>341446</v>
      </c>
      <c r="G787" s="12">
        <f t="shared" si="99"/>
        <v>376200</v>
      </c>
      <c r="H787" s="12">
        <f t="shared" si="99"/>
        <v>389660</v>
      </c>
      <c r="I787" s="12"/>
      <c r="J787" s="12">
        <v>375660</v>
      </c>
      <c r="K787" s="12">
        <v>367272</v>
      </c>
      <c r="L787" s="12">
        <f t="shared" si="100"/>
        <v>359084</v>
      </c>
      <c r="M787" s="12">
        <f t="shared" si="100"/>
        <v>398110</v>
      </c>
      <c r="N787" s="12">
        <v>386900</v>
      </c>
      <c r="O787" s="12">
        <v>411588</v>
      </c>
      <c r="P787" s="12">
        <f t="shared" si="101"/>
        <v>411574</v>
      </c>
      <c r="Q787" s="186">
        <f t="shared" si="95"/>
        <v>0.9999659854028786</v>
      </c>
      <c r="R787" s="155">
        <f t="shared" si="102"/>
        <v>411575</v>
      </c>
      <c r="S787" s="155">
        <f t="shared" si="102"/>
        <v>409910</v>
      </c>
      <c r="T787" s="12">
        <v>412049</v>
      </c>
      <c r="U787" s="12">
        <f t="shared" si="103"/>
        <v>0</v>
      </c>
      <c r="V787" s="12">
        <f t="shared" si="103"/>
        <v>0</v>
      </c>
      <c r="W787" s="32">
        <f t="shared" si="96"/>
        <v>412049</v>
      </c>
    </row>
    <row r="788" spans="1:23" ht="24">
      <c r="A788" s="25"/>
      <c r="B788" s="25"/>
      <c r="C788" s="26">
        <v>4110</v>
      </c>
      <c r="D788" s="27" t="s">
        <v>31</v>
      </c>
      <c r="E788" s="11">
        <f t="shared" si="99"/>
        <v>771300</v>
      </c>
      <c r="F788" s="11">
        <f t="shared" si="99"/>
        <v>805230</v>
      </c>
      <c r="G788" s="12">
        <f t="shared" si="99"/>
        <v>831990</v>
      </c>
      <c r="H788" s="12">
        <f t="shared" si="99"/>
        <v>825450</v>
      </c>
      <c r="I788" s="12"/>
      <c r="J788" s="12">
        <v>788410</v>
      </c>
      <c r="K788" s="12">
        <v>826472</v>
      </c>
      <c r="L788" s="12">
        <f t="shared" si="100"/>
        <v>826472</v>
      </c>
      <c r="M788" s="12">
        <f t="shared" si="100"/>
        <v>861053</v>
      </c>
      <c r="N788" s="12">
        <v>813300</v>
      </c>
      <c r="O788" s="12">
        <v>788612</v>
      </c>
      <c r="P788" s="12">
        <f t="shared" si="101"/>
        <v>398786</v>
      </c>
      <c r="Q788" s="186">
        <f t="shared" si="95"/>
        <v>0.5056808671437919</v>
      </c>
      <c r="R788" s="155">
        <f t="shared" si="102"/>
        <v>815459</v>
      </c>
      <c r="S788" s="155">
        <f t="shared" si="102"/>
        <v>884900</v>
      </c>
      <c r="T788" s="12">
        <v>848744</v>
      </c>
      <c r="U788" s="12">
        <f t="shared" si="103"/>
        <v>0</v>
      </c>
      <c r="V788" s="12">
        <f t="shared" si="103"/>
        <v>0</v>
      </c>
      <c r="W788" s="32">
        <f t="shared" si="96"/>
        <v>848744</v>
      </c>
    </row>
    <row r="789" spans="1:23" ht="12">
      <c r="A789" s="25"/>
      <c r="B789" s="25"/>
      <c r="C789" s="26">
        <v>4120</v>
      </c>
      <c r="D789" s="27" t="s">
        <v>32</v>
      </c>
      <c r="E789" s="11">
        <f t="shared" si="99"/>
        <v>111020</v>
      </c>
      <c r="F789" s="11">
        <f t="shared" si="99"/>
        <v>116280</v>
      </c>
      <c r="G789" s="12">
        <f t="shared" si="99"/>
        <v>125956</v>
      </c>
      <c r="H789" s="12">
        <f t="shared" si="99"/>
        <v>128200</v>
      </c>
      <c r="I789" s="12"/>
      <c r="J789" s="12">
        <v>122780</v>
      </c>
      <c r="K789" s="12">
        <v>128646</v>
      </c>
      <c r="L789" s="12">
        <f t="shared" si="100"/>
        <v>128646</v>
      </c>
      <c r="M789" s="12">
        <f t="shared" si="100"/>
        <v>136379</v>
      </c>
      <c r="N789" s="12">
        <v>126500</v>
      </c>
      <c r="O789" s="12">
        <v>126500</v>
      </c>
      <c r="P789" s="12">
        <f t="shared" si="101"/>
        <v>61427</v>
      </c>
      <c r="Q789" s="186">
        <f t="shared" si="95"/>
        <v>0.4855889328063241</v>
      </c>
      <c r="R789" s="155">
        <f t="shared" si="102"/>
        <v>128367</v>
      </c>
      <c r="S789" s="155">
        <f t="shared" si="102"/>
        <v>138420</v>
      </c>
      <c r="T789" s="12">
        <v>133236</v>
      </c>
      <c r="U789" s="12">
        <f t="shared" si="103"/>
        <v>0</v>
      </c>
      <c r="V789" s="12">
        <f t="shared" si="103"/>
        <v>0</v>
      </c>
      <c r="W789" s="32">
        <f t="shared" si="96"/>
        <v>133236</v>
      </c>
    </row>
    <row r="790" spans="1:23" ht="12">
      <c r="A790" s="25"/>
      <c r="B790" s="25"/>
      <c r="C790" s="26">
        <v>4170</v>
      </c>
      <c r="D790" s="27" t="s">
        <v>137</v>
      </c>
      <c r="E790" s="11">
        <f t="shared" si="99"/>
        <v>17900</v>
      </c>
      <c r="F790" s="11">
        <f t="shared" si="99"/>
        <v>18020</v>
      </c>
      <c r="G790" s="12">
        <f t="shared" si="99"/>
        <v>111400</v>
      </c>
      <c r="H790" s="12">
        <f t="shared" si="99"/>
        <v>109900</v>
      </c>
      <c r="I790" s="12"/>
      <c r="J790" s="12">
        <v>109900</v>
      </c>
      <c r="K790" s="12">
        <f>K819+K847+K872+K897</f>
        <v>105700</v>
      </c>
      <c r="L790" s="12">
        <f t="shared" si="100"/>
        <v>107200</v>
      </c>
      <c r="M790" s="12">
        <f t="shared" si="100"/>
        <v>116150</v>
      </c>
      <c r="N790" s="12">
        <v>114200</v>
      </c>
      <c r="O790" s="12">
        <v>114200</v>
      </c>
      <c r="P790" s="12">
        <f t="shared" si="101"/>
        <v>24699</v>
      </c>
      <c r="Q790" s="186">
        <f t="shared" si="95"/>
        <v>0.2162784588441331</v>
      </c>
      <c r="R790" s="155">
        <f t="shared" si="102"/>
        <v>77370</v>
      </c>
      <c r="S790" s="155">
        <f t="shared" si="102"/>
        <v>65900</v>
      </c>
      <c r="T790" s="12">
        <v>77000</v>
      </c>
      <c r="U790" s="12">
        <f t="shared" si="103"/>
        <v>44000</v>
      </c>
      <c r="V790" s="12">
        <f t="shared" si="103"/>
        <v>0</v>
      </c>
      <c r="W790" s="32">
        <f t="shared" si="96"/>
        <v>121000</v>
      </c>
    </row>
    <row r="791" spans="1:23" ht="12">
      <c r="A791" s="25"/>
      <c r="B791" s="25"/>
      <c r="C791" s="26">
        <v>4210</v>
      </c>
      <c r="D791" s="27" t="s">
        <v>34</v>
      </c>
      <c r="E791" s="11">
        <f t="shared" si="99"/>
        <v>975900</v>
      </c>
      <c r="F791" s="11">
        <f t="shared" si="99"/>
        <v>987851</v>
      </c>
      <c r="G791" s="12">
        <f t="shared" si="99"/>
        <v>1235100</v>
      </c>
      <c r="H791" s="12">
        <f t="shared" si="99"/>
        <v>1010700</v>
      </c>
      <c r="I791" s="12"/>
      <c r="J791" s="12">
        <v>983700</v>
      </c>
      <c r="K791" s="12">
        <v>1066292</v>
      </c>
      <c r="L791" s="12">
        <f t="shared" si="100"/>
        <v>1113992</v>
      </c>
      <c r="M791" s="12">
        <f t="shared" si="100"/>
        <v>1573700</v>
      </c>
      <c r="N791" s="12">
        <v>1138600</v>
      </c>
      <c r="O791" s="12">
        <v>1135600</v>
      </c>
      <c r="P791" s="12">
        <f t="shared" si="101"/>
        <v>495225</v>
      </c>
      <c r="Q791" s="186">
        <f t="shared" si="95"/>
        <v>0.43609105318774216</v>
      </c>
      <c r="R791" s="155">
        <f t="shared" si="102"/>
        <v>1112000</v>
      </c>
      <c r="S791" s="155">
        <f t="shared" si="102"/>
        <v>1206700</v>
      </c>
      <c r="T791" s="12">
        <v>1038500</v>
      </c>
      <c r="U791" s="12">
        <f t="shared" si="103"/>
        <v>100000</v>
      </c>
      <c r="V791" s="12">
        <f t="shared" si="103"/>
        <v>7900</v>
      </c>
      <c r="W791" s="32">
        <f t="shared" si="96"/>
        <v>1130600</v>
      </c>
    </row>
    <row r="792" spans="1:23" ht="12">
      <c r="A792" s="25"/>
      <c r="B792" s="25"/>
      <c r="C792" s="26">
        <v>4220</v>
      </c>
      <c r="D792" s="27" t="s">
        <v>180</v>
      </c>
      <c r="E792" s="11" t="e">
        <f>E821+#REF!+E874+E899</f>
        <v>#REF!</v>
      </c>
      <c r="F792" s="11" t="e">
        <f>F821+#REF!+F874+F899</f>
        <v>#REF!</v>
      </c>
      <c r="G792" s="12" t="e">
        <f>G821+#REF!+G874+G899</f>
        <v>#REF!</v>
      </c>
      <c r="H792" s="12" t="e">
        <f>H821+#REF!+H874+H899</f>
        <v>#REF!</v>
      </c>
      <c r="I792" s="12"/>
      <c r="J792" s="12">
        <v>568500</v>
      </c>
      <c r="K792" s="12">
        <v>539346</v>
      </c>
      <c r="L792" s="12" t="e">
        <f>L821+#REF!+L874+L899</f>
        <v>#REF!</v>
      </c>
      <c r="M792" s="12" t="e">
        <f>M821+#REF!+M874+M899</f>
        <v>#REF!</v>
      </c>
      <c r="N792" s="12">
        <v>521350</v>
      </c>
      <c r="O792" s="12">
        <v>521350</v>
      </c>
      <c r="P792" s="12">
        <f>P821+P874+P899</f>
        <v>246199</v>
      </c>
      <c r="Q792" s="186">
        <f t="shared" si="95"/>
        <v>0.4722336242447492</v>
      </c>
      <c r="R792" s="155">
        <f>R821+R874+R899</f>
        <v>521350</v>
      </c>
      <c r="S792" s="155">
        <f>S821+S874+S899</f>
        <v>532050</v>
      </c>
      <c r="T792" s="12">
        <v>719350</v>
      </c>
      <c r="U792" s="12">
        <f>U821+U874+U899+U849</f>
        <v>0</v>
      </c>
      <c r="V792" s="12">
        <f>V821+V874+V899+V849</f>
        <v>0</v>
      </c>
      <c r="W792" s="32">
        <f t="shared" si="96"/>
        <v>719350</v>
      </c>
    </row>
    <row r="793" spans="1:23" ht="36">
      <c r="A793" s="25"/>
      <c r="B793" s="25"/>
      <c r="C793" s="26">
        <v>4230</v>
      </c>
      <c r="D793" s="27" t="s">
        <v>88</v>
      </c>
      <c r="E793" s="11">
        <f aca="true" t="shared" si="104" ref="E793:H803">E822+E850+E875+E900</f>
        <v>134720</v>
      </c>
      <c r="F793" s="11">
        <f t="shared" si="104"/>
        <v>142475</v>
      </c>
      <c r="G793" s="12">
        <f t="shared" si="104"/>
        <v>168100</v>
      </c>
      <c r="H793" s="12">
        <f t="shared" si="104"/>
        <v>158330</v>
      </c>
      <c r="I793" s="12"/>
      <c r="J793" s="12">
        <v>158330</v>
      </c>
      <c r="K793" s="12">
        <v>190330</v>
      </c>
      <c r="L793" s="12">
        <f aca="true" t="shared" si="105" ref="L793:M803">L822+L850+L875+L900</f>
        <v>190330</v>
      </c>
      <c r="M793" s="12">
        <f t="shared" si="105"/>
        <v>202960</v>
      </c>
      <c r="N793" s="12">
        <v>214380</v>
      </c>
      <c r="O793" s="12">
        <v>210380</v>
      </c>
      <c r="P793" s="12">
        <f aca="true" t="shared" si="106" ref="P793:P803">P822+P850+P875+P900</f>
        <v>85623</v>
      </c>
      <c r="Q793" s="186">
        <f t="shared" si="95"/>
        <v>0.4069921095161137</v>
      </c>
      <c r="R793" s="155">
        <f aca="true" t="shared" si="107" ref="R793:S803">R822+R850+R875+R900</f>
        <v>210380</v>
      </c>
      <c r="S793" s="155">
        <f t="shared" si="107"/>
        <v>208880</v>
      </c>
      <c r="T793" s="12">
        <v>210680</v>
      </c>
      <c r="U793" s="12">
        <f aca="true" t="shared" si="108" ref="U793:V803">U822+U850+U875+U900</f>
        <v>0</v>
      </c>
      <c r="V793" s="12">
        <f t="shared" si="108"/>
        <v>10400</v>
      </c>
      <c r="W793" s="32">
        <f t="shared" si="96"/>
        <v>200280</v>
      </c>
    </row>
    <row r="794" spans="1:23" ht="12">
      <c r="A794" s="25"/>
      <c r="B794" s="25"/>
      <c r="C794" s="26">
        <v>4260</v>
      </c>
      <c r="D794" s="27" t="s">
        <v>35</v>
      </c>
      <c r="E794" s="11">
        <f t="shared" si="104"/>
        <v>225700</v>
      </c>
      <c r="F794" s="11">
        <f t="shared" si="104"/>
        <v>225700</v>
      </c>
      <c r="G794" s="12">
        <f t="shared" si="104"/>
        <v>243500</v>
      </c>
      <c r="H794" s="12">
        <f t="shared" si="104"/>
        <v>230900</v>
      </c>
      <c r="I794" s="12"/>
      <c r="J794" s="12">
        <v>225700</v>
      </c>
      <c r="K794" s="12">
        <v>250900</v>
      </c>
      <c r="L794" s="12">
        <f t="shared" si="105"/>
        <v>270000</v>
      </c>
      <c r="M794" s="12">
        <f t="shared" si="105"/>
        <v>289600</v>
      </c>
      <c r="N794" s="12">
        <v>247700</v>
      </c>
      <c r="O794" s="12">
        <v>258700</v>
      </c>
      <c r="P794" s="12">
        <f t="shared" si="106"/>
        <v>157712</v>
      </c>
      <c r="Q794" s="186">
        <f t="shared" si="95"/>
        <v>0.6096327792810204</v>
      </c>
      <c r="R794" s="155">
        <f t="shared" si="107"/>
        <v>279000</v>
      </c>
      <c r="S794" s="155">
        <f t="shared" si="107"/>
        <v>305650</v>
      </c>
      <c r="T794" s="12">
        <v>292930</v>
      </c>
      <c r="U794" s="12">
        <f t="shared" si="108"/>
        <v>4100</v>
      </c>
      <c r="V794" s="12">
        <f t="shared" si="108"/>
        <v>0</v>
      </c>
      <c r="W794" s="32">
        <f t="shared" si="96"/>
        <v>297030</v>
      </c>
    </row>
    <row r="795" spans="1:23" ht="12">
      <c r="A795" s="25"/>
      <c r="B795" s="25"/>
      <c r="C795" s="26">
        <v>4270</v>
      </c>
      <c r="D795" s="27" t="s">
        <v>36</v>
      </c>
      <c r="E795" s="11">
        <f t="shared" si="104"/>
        <v>88790</v>
      </c>
      <c r="F795" s="11">
        <f t="shared" si="104"/>
        <v>208540</v>
      </c>
      <c r="G795" s="12">
        <f t="shared" si="104"/>
        <v>98500</v>
      </c>
      <c r="H795" s="12">
        <f t="shared" si="104"/>
        <v>96200</v>
      </c>
      <c r="I795" s="12"/>
      <c r="J795" s="12">
        <v>151800</v>
      </c>
      <c r="K795" s="12">
        <v>218000</v>
      </c>
      <c r="L795" s="12">
        <f t="shared" si="105"/>
        <v>178000</v>
      </c>
      <c r="M795" s="12">
        <f t="shared" si="105"/>
        <v>93400</v>
      </c>
      <c r="N795" s="12">
        <v>91300</v>
      </c>
      <c r="O795" s="12">
        <v>90300</v>
      </c>
      <c r="P795" s="12">
        <f t="shared" si="106"/>
        <v>44347</v>
      </c>
      <c r="Q795" s="186">
        <f t="shared" si="95"/>
        <v>0.4911074197120709</v>
      </c>
      <c r="R795" s="155">
        <f t="shared" si="107"/>
        <v>150550</v>
      </c>
      <c r="S795" s="155">
        <f t="shared" si="107"/>
        <v>99600</v>
      </c>
      <c r="T795" s="12">
        <v>89100</v>
      </c>
      <c r="U795" s="12">
        <f t="shared" si="108"/>
        <v>0</v>
      </c>
      <c r="V795" s="12">
        <f t="shared" si="108"/>
        <v>0</v>
      </c>
      <c r="W795" s="32">
        <f t="shared" si="96"/>
        <v>89100</v>
      </c>
    </row>
    <row r="796" spans="1:23" ht="12">
      <c r="A796" s="25"/>
      <c r="B796" s="25"/>
      <c r="C796" s="26">
        <v>4280</v>
      </c>
      <c r="D796" s="27" t="s">
        <v>37</v>
      </c>
      <c r="E796" s="11">
        <f t="shared" si="104"/>
        <v>14430</v>
      </c>
      <c r="F796" s="11">
        <f t="shared" si="104"/>
        <v>14430</v>
      </c>
      <c r="G796" s="12">
        <f t="shared" si="104"/>
        <v>13550</v>
      </c>
      <c r="H796" s="12">
        <f t="shared" si="104"/>
        <v>13520</v>
      </c>
      <c r="I796" s="12"/>
      <c r="J796" s="12">
        <v>12870</v>
      </c>
      <c r="K796" s="12">
        <v>11170</v>
      </c>
      <c r="L796" s="12">
        <f t="shared" si="105"/>
        <v>11300</v>
      </c>
      <c r="M796" s="12">
        <f t="shared" si="105"/>
        <v>14150</v>
      </c>
      <c r="N796" s="12">
        <v>13220</v>
      </c>
      <c r="O796" s="12">
        <v>13220</v>
      </c>
      <c r="P796" s="12">
        <f t="shared" si="106"/>
        <v>4320</v>
      </c>
      <c r="Q796" s="186">
        <f t="shared" si="95"/>
        <v>0.3267776096822995</v>
      </c>
      <c r="R796" s="155">
        <f t="shared" si="107"/>
        <v>13820</v>
      </c>
      <c r="S796" s="155">
        <f t="shared" si="107"/>
        <v>13400</v>
      </c>
      <c r="T796" s="12">
        <v>17900</v>
      </c>
      <c r="U796" s="12">
        <f t="shared" si="108"/>
        <v>8000</v>
      </c>
      <c r="V796" s="12">
        <f t="shared" si="108"/>
        <v>0</v>
      </c>
      <c r="W796" s="32">
        <f t="shared" si="96"/>
        <v>25900</v>
      </c>
    </row>
    <row r="797" spans="1:23" ht="12">
      <c r="A797" s="25"/>
      <c r="B797" s="25"/>
      <c r="C797" s="26">
        <v>4300</v>
      </c>
      <c r="D797" s="27" t="s">
        <v>17</v>
      </c>
      <c r="E797" s="11">
        <f t="shared" si="104"/>
        <v>251650</v>
      </c>
      <c r="F797" s="11">
        <f t="shared" si="104"/>
        <v>246535</v>
      </c>
      <c r="G797" s="12">
        <f t="shared" si="104"/>
        <v>264850</v>
      </c>
      <c r="H797" s="12">
        <f t="shared" si="104"/>
        <v>250800</v>
      </c>
      <c r="I797" s="12"/>
      <c r="J797" s="12">
        <v>785000</v>
      </c>
      <c r="K797" s="12">
        <v>792900</v>
      </c>
      <c r="L797" s="12">
        <f t="shared" si="105"/>
        <v>792900</v>
      </c>
      <c r="M797" s="12">
        <f t="shared" si="105"/>
        <v>971210</v>
      </c>
      <c r="N797" s="12">
        <v>929920</v>
      </c>
      <c r="O797" s="12">
        <v>933420</v>
      </c>
      <c r="P797" s="12">
        <f t="shared" si="106"/>
        <v>436151</v>
      </c>
      <c r="Q797" s="186">
        <f t="shared" si="95"/>
        <v>0.4672612543120996</v>
      </c>
      <c r="R797" s="155">
        <f t="shared" si="107"/>
        <v>976620</v>
      </c>
      <c r="S797" s="155">
        <f t="shared" si="107"/>
        <v>937900</v>
      </c>
      <c r="T797" s="12">
        <v>560097</v>
      </c>
      <c r="U797" s="12">
        <f t="shared" si="108"/>
        <v>0</v>
      </c>
      <c r="V797" s="12">
        <f t="shared" si="108"/>
        <v>6200</v>
      </c>
      <c r="W797" s="32">
        <f t="shared" si="96"/>
        <v>553897</v>
      </c>
    </row>
    <row r="798" spans="1:23" ht="24">
      <c r="A798" s="25"/>
      <c r="B798" s="25"/>
      <c r="C798" s="26">
        <v>4350</v>
      </c>
      <c r="D798" s="27" t="s">
        <v>38</v>
      </c>
      <c r="E798" s="11">
        <f t="shared" si="104"/>
        <v>9330</v>
      </c>
      <c r="F798" s="11">
        <f t="shared" si="104"/>
        <v>7330</v>
      </c>
      <c r="G798" s="12">
        <f t="shared" si="104"/>
        <v>8050</v>
      </c>
      <c r="H798" s="12">
        <f t="shared" si="104"/>
        <v>7500</v>
      </c>
      <c r="I798" s="12"/>
      <c r="J798" s="12">
        <v>7500</v>
      </c>
      <c r="K798" s="12">
        <f>K827+K855+K880+K905</f>
        <v>7500</v>
      </c>
      <c r="L798" s="12">
        <f t="shared" si="105"/>
        <v>6150</v>
      </c>
      <c r="M798" s="12">
        <f t="shared" si="105"/>
        <v>8800</v>
      </c>
      <c r="N798" s="12">
        <v>7750</v>
      </c>
      <c r="O798" s="12">
        <v>7750</v>
      </c>
      <c r="P798" s="12">
        <f t="shared" si="106"/>
        <v>2445</v>
      </c>
      <c r="Q798" s="186">
        <f t="shared" si="95"/>
        <v>0.31548387096774194</v>
      </c>
      <c r="R798" s="155">
        <f t="shared" si="107"/>
        <v>6650</v>
      </c>
      <c r="S798" s="155">
        <f t="shared" si="107"/>
        <v>6600</v>
      </c>
      <c r="T798" s="12">
        <v>6550</v>
      </c>
      <c r="U798" s="12">
        <f t="shared" si="108"/>
        <v>0</v>
      </c>
      <c r="V798" s="12">
        <f t="shared" si="108"/>
        <v>0</v>
      </c>
      <c r="W798" s="32">
        <f t="shared" si="96"/>
        <v>6550</v>
      </c>
    </row>
    <row r="799" spans="1:23" ht="36">
      <c r="A799" s="25"/>
      <c r="B799" s="25"/>
      <c r="C799" s="26">
        <v>4360</v>
      </c>
      <c r="D799" s="27" t="s">
        <v>130</v>
      </c>
      <c r="E799" s="11">
        <f t="shared" si="104"/>
        <v>16000</v>
      </c>
      <c r="F799" s="11">
        <f t="shared" si="104"/>
        <v>16000</v>
      </c>
      <c r="G799" s="12">
        <f t="shared" si="104"/>
        <v>15400</v>
      </c>
      <c r="H799" s="12">
        <f t="shared" si="104"/>
        <v>15250</v>
      </c>
      <c r="I799" s="12"/>
      <c r="J799" s="12">
        <v>14650</v>
      </c>
      <c r="K799" s="12">
        <f>K828+K856+K881+K906</f>
        <v>14750</v>
      </c>
      <c r="L799" s="12">
        <f t="shared" si="105"/>
        <v>14750</v>
      </c>
      <c r="M799" s="12">
        <f t="shared" si="105"/>
        <v>15340</v>
      </c>
      <c r="N799" s="12">
        <v>15110</v>
      </c>
      <c r="O799" s="12">
        <v>15110</v>
      </c>
      <c r="P799" s="12">
        <f t="shared" si="106"/>
        <v>5903</v>
      </c>
      <c r="Q799" s="186">
        <f t="shared" si="95"/>
        <v>0.39066843150231634</v>
      </c>
      <c r="R799" s="155">
        <f t="shared" si="107"/>
        <v>12210</v>
      </c>
      <c r="S799" s="155">
        <f t="shared" si="107"/>
        <v>12600</v>
      </c>
      <c r="T799" s="12">
        <v>12500</v>
      </c>
      <c r="U799" s="12">
        <f t="shared" si="108"/>
        <v>2000</v>
      </c>
      <c r="V799" s="12">
        <f t="shared" si="108"/>
        <v>0</v>
      </c>
      <c r="W799" s="32">
        <f t="shared" si="96"/>
        <v>14500</v>
      </c>
    </row>
    <row r="800" spans="1:23" ht="36">
      <c r="A800" s="25"/>
      <c r="B800" s="25"/>
      <c r="C800" s="26">
        <v>4370</v>
      </c>
      <c r="D800" s="27" t="s">
        <v>135</v>
      </c>
      <c r="E800" s="11">
        <f t="shared" si="104"/>
        <v>45700</v>
      </c>
      <c r="F800" s="11">
        <f t="shared" si="104"/>
        <v>45700</v>
      </c>
      <c r="G800" s="12">
        <f t="shared" si="104"/>
        <v>40050</v>
      </c>
      <c r="H800" s="12">
        <f t="shared" si="104"/>
        <v>40050</v>
      </c>
      <c r="I800" s="12"/>
      <c r="J800" s="12">
        <v>37750</v>
      </c>
      <c r="K800" s="12">
        <v>34850</v>
      </c>
      <c r="L800" s="12">
        <f t="shared" si="105"/>
        <v>31750</v>
      </c>
      <c r="M800" s="12">
        <f t="shared" si="105"/>
        <v>30800</v>
      </c>
      <c r="N800" s="12">
        <v>38950</v>
      </c>
      <c r="O800" s="12">
        <v>36950</v>
      </c>
      <c r="P800" s="12">
        <f t="shared" si="106"/>
        <v>9482</v>
      </c>
      <c r="Q800" s="186">
        <f t="shared" si="95"/>
        <v>0.256617050067659</v>
      </c>
      <c r="R800" s="155">
        <f t="shared" si="107"/>
        <v>23450</v>
      </c>
      <c r="S800" s="155">
        <f t="shared" si="107"/>
        <v>24300</v>
      </c>
      <c r="T800" s="12">
        <v>23300</v>
      </c>
      <c r="U800" s="12">
        <f t="shared" si="108"/>
        <v>2200</v>
      </c>
      <c r="V800" s="12">
        <f t="shared" si="108"/>
        <v>0</v>
      </c>
      <c r="W800" s="32">
        <f t="shared" si="96"/>
        <v>25500</v>
      </c>
    </row>
    <row r="801" spans="1:23" ht="12">
      <c r="A801" s="25"/>
      <c r="B801" s="25"/>
      <c r="C801" s="26">
        <v>4410</v>
      </c>
      <c r="D801" s="27" t="s">
        <v>42</v>
      </c>
      <c r="E801" s="11">
        <f t="shared" si="104"/>
        <v>10690</v>
      </c>
      <c r="F801" s="11">
        <f t="shared" si="104"/>
        <v>7990</v>
      </c>
      <c r="G801" s="12">
        <f t="shared" si="104"/>
        <v>9400</v>
      </c>
      <c r="H801" s="12">
        <f t="shared" si="104"/>
        <v>7130</v>
      </c>
      <c r="I801" s="12"/>
      <c r="J801" s="12">
        <v>6800</v>
      </c>
      <c r="K801" s="12">
        <v>9100</v>
      </c>
      <c r="L801" s="12">
        <f t="shared" si="105"/>
        <v>9100</v>
      </c>
      <c r="M801" s="12">
        <f t="shared" si="105"/>
        <v>10400</v>
      </c>
      <c r="N801" s="12">
        <v>10260</v>
      </c>
      <c r="O801" s="12">
        <v>9760</v>
      </c>
      <c r="P801" s="12">
        <f t="shared" si="106"/>
        <v>3740</v>
      </c>
      <c r="Q801" s="186">
        <f t="shared" si="95"/>
        <v>0.3831967213114754</v>
      </c>
      <c r="R801" s="155">
        <f t="shared" si="107"/>
        <v>10560</v>
      </c>
      <c r="S801" s="155">
        <f t="shared" si="107"/>
        <v>13000</v>
      </c>
      <c r="T801" s="12">
        <v>10560</v>
      </c>
      <c r="U801" s="12">
        <f t="shared" si="108"/>
        <v>0</v>
      </c>
      <c r="V801" s="12">
        <f t="shared" si="108"/>
        <v>0</v>
      </c>
      <c r="W801" s="32">
        <f t="shared" si="96"/>
        <v>10560</v>
      </c>
    </row>
    <row r="802" spans="1:23" ht="12">
      <c r="A802" s="25"/>
      <c r="B802" s="25"/>
      <c r="C802" s="26">
        <v>4430</v>
      </c>
      <c r="D802" s="27" t="s">
        <v>43</v>
      </c>
      <c r="E802" s="11">
        <f t="shared" si="104"/>
        <v>30750</v>
      </c>
      <c r="F802" s="11">
        <f t="shared" si="104"/>
        <v>30750</v>
      </c>
      <c r="G802" s="12">
        <f t="shared" si="104"/>
        <v>31100</v>
      </c>
      <c r="H802" s="12">
        <f t="shared" si="104"/>
        <v>30970</v>
      </c>
      <c r="I802" s="12"/>
      <c r="J802" s="12">
        <v>28470</v>
      </c>
      <c r="K802" s="12">
        <v>30570</v>
      </c>
      <c r="L802" s="12">
        <f t="shared" si="105"/>
        <v>31580</v>
      </c>
      <c r="M802" s="12">
        <f t="shared" si="105"/>
        <v>36900</v>
      </c>
      <c r="N802" s="12">
        <v>32430</v>
      </c>
      <c r="O802" s="12">
        <v>29430</v>
      </c>
      <c r="P802" s="12">
        <f t="shared" si="106"/>
        <v>22393</v>
      </c>
      <c r="Q802" s="186">
        <f t="shared" si="95"/>
        <v>0.7608902480462113</v>
      </c>
      <c r="R802" s="155">
        <f t="shared" si="107"/>
        <v>29648</v>
      </c>
      <c r="S802" s="155">
        <f t="shared" si="107"/>
        <v>31100</v>
      </c>
      <c r="T802" s="12">
        <v>31100</v>
      </c>
      <c r="U802" s="12">
        <f t="shared" si="108"/>
        <v>0</v>
      </c>
      <c r="V802" s="12">
        <f t="shared" si="108"/>
        <v>0</v>
      </c>
      <c r="W802" s="32">
        <f t="shared" si="96"/>
        <v>31100</v>
      </c>
    </row>
    <row r="803" spans="1:23" ht="24">
      <c r="A803" s="25"/>
      <c r="B803" s="25"/>
      <c r="C803" s="26">
        <v>4440</v>
      </c>
      <c r="D803" s="27" t="s">
        <v>44</v>
      </c>
      <c r="E803" s="11">
        <f t="shared" si="104"/>
        <v>176900</v>
      </c>
      <c r="F803" s="11">
        <f t="shared" si="104"/>
        <v>184653</v>
      </c>
      <c r="G803" s="12">
        <f t="shared" si="104"/>
        <v>184300</v>
      </c>
      <c r="H803" s="12">
        <f t="shared" si="104"/>
        <v>185960</v>
      </c>
      <c r="I803" s="12"/>
      <c r="J803" s="12">
        <v>178260</v>
      </c>
      <c r="K803" s="12">
        <v>192356</v>
      </c>
      <c r="L803" s="12">
        <f t="shared" si="105"/>
        <v>191456</v>
      </c>
      <c r="M803" s="12">
        <f t="shared" si="105"/>
        <v>209344</v>
      </c>
      <c r="N803" s="12">
        <v>206050</v>
      </c>
      <c r="O803" s="12">
        <v>206050</v>
      </c>
      <c r="P803" s="12">
        <f t="shared" si="106"/>
        <v>172836</v>
      </c>
      <c r="Q803" s="186">
        <f t="shared" si="95"/>
        <v>0.8388061150206261</v>
      </c>
      <c r="R803" s="155">
        <f t="shared" si="107"/>
        <v>231280</v>
      </c>
      <c r="S803" s="155">
        <f t="shared" si="107"/>
        <v>220400</v>
      </c>
      <c r="T803" s="12">
        <v>215305</v>
      </c>
      <c r="U803" s="12">
        <f t="shared" si="108"/>
        <v>1700</v>
      </c>
      <c r="V803" s="12">
        <f t="shared" si="108"/>
        <v>0</v>
      </c>
      <c r="W803" s="32">
        <f t="shared" si="96"/>
        <v>217005</v>
      </c>
    </row>
    <row r="804" spans="1:23" ht="12">
      <c r="A804" s="25"/>
      <c r="B804" s="25"/>
      <c r="C804" s="26">
        <v>4480</v>
      </c>
      <c r="D804" s="27" t="s">
        <v>61</v>
      </c>
      <c r="E804" s="11">
        <f>E833+E861+E886+E912</f>
        <v>31470</v>
      </c>
      <c r="F804" s="11">
        <f>F833+F861+F886+F912</f>
        <v>30883</v>
      </c>
      <c r="G804" s="12">
        <f>G833+G861+G886+G912</f>
        <v>34100</v>
      </c>
      <c r="H804" s="12">
        <f>H833+H861+H886+H912</f>
        <v>31660</v>
      </c>
      <c r="I804" s="12"/>
      <c r="J804" s="12">
        <v>31660</v>
      </c>
      <c r="K804" s="12">
        <v>30060</v>
      </c>
      <c r="L804" s="12">
        <f>L833+L861+L886+L912</f>
        <v>30920</v>
      </c>
      <c r="M804" s="12">
        <f>M833+M861+M886+M912</f>
        <v>33990</v>
      </c>
      <c r="N804" s="12">
        <v>32570</v>
      </c>
      <c r="O804" s="12">
        <v>31070</v>
      </c>
      <c r="P804" s="12">
        <f>P833+P861+P886+P912</f>
        <v>19575</v>
      </c>
      <c r="Q804" s="186">
        <f t="shared" si="95"/>
        <v>0.6300289668490505</v>
      </c>
      <c r="R804" s="155">
        <f>R833+R861+R886+R912</f>
        <v>40877</v>
      </c>
      <c r="S804" s="155">
        <f>S833+S861+S886+S912</f>
        <v>46500</v>
      </c>
      <c r="T804" s="12">
        <v>46400</v>
      </c>
      <c r="U804" s="12">
        <f>U833+U861+U886+U912</f>
        <v>0</v>
      </c>
      <c r="V804" s="12">
        <f>V833+V861+V886+V912</f>
        <v>0</v>
      </c>
      <c r="W804" s="32">
        <f t="shared" si="96"/>
        <v>46400</v>
      </c>
    </row>
    <row r="805" spans="1:23" ht="36">
      <c r="A805" s="25"/>
      <c r="B805" s="25"/>
      <c r="C805" s="26">
        <v>4520</v>
      </c>
      <c r="D805" s="27" t="s">
        <v>189</v>
      </c>
      <c r="E805" s="11">
        <f>E834</f>
        <v>4600</v>
      </c>
      <c r="F805" s="11">
        <f>F834</f>
        <v>4600</v>
      </c>
      <c r="G805" s="12">
        <f>G834</f>
        <v>4600</v>
      </c>
      <c r="H805" s="12">
        <f>H834</f>
        <v>4600</v>
      </c>
      <c r="I805" s="12"/>
      <c r="J805" s="12">
        <v>4600</v>
      </c>
      <c r="K805" s="12">
        <f>K834</f>
        <v>4600</v>
      </c>
      <c r="L805" s="12">
        <f>L834</f>
        <v>4600</v>
      </c>
      <c r="M805" s="12">
        <f>M834</f>
        <v>4600</v>
      </c>
      <c r="N805" s="12">
        <v>4600</v>
      </c>
      <c r="O805" s="12">
        <v>4600</v>
      </c>
      <c r="P805" s="12">
        <f>P834</f>
        <v>4591</v>
      </c>
      <c r="Q805" s="186">
        <f t="shared" si="95"/>
        <v>0.9980434782608696</v>
      </c>
      <c r="R805" s="155">
        <f>R834</f>
        <v>4600</v>
      </c>
      <c r="S805" s="155">
        <f>S834</f>
        <v>4600</v>
      </c>
      <c r="T805" s="12">
        <v>48018</v>
      </c>
      <c r="U805" s="12">
        <f>U834+U887+U911</f>
        <v>0</v>
      </c>
      <c r="V805" s="12">
        <f>V834+V887+V911</f>
        <v>0</v>
      </c>
      <c r="W805" s="32">
        <f t="shared" si="96"/>
        <v>48018</v>
      </c>
    </row>
    <row r="806" spans="1:23" ht="36">
      <c r="A806" s="25"/>
      <c r="B806" s="25"/>
      <c r="C806" s="26">
        <v>4700</v>
      </c>
      <c r="D806" s="27" t="s">
        <v>46</v>
      </c>
      <c r="E806" s="11">
        <f aca="true" t="shared" si="109" ref="E806:H808">E835+E862+E888+E913</f>
        <v>8000</v>
      </c>
      <c r="F806" s="11">
        <f t="shared" si="109"/>
        <v>13350</v>
      </c>
      <c r="G806" s="12">
        <f t="shared" si="109"/>
        <v>18400</v>
      </c>
      <c r="H806" s="12">
        <f t="shared" si="109"/>
        <v>14100</v>
      </c>
      <c r="I806" s="12"/>
      <c r="J806" s="12">
        <v>14100</v>
      </c>
      <c r="K806" s="12">
        <f aca="true" t="shared" si="110" ref="K806:M807">K835+K862+K888+K913</f>
        <v>14100</v>
      </c>
      <c r="L806" s="12">
        <f t="shared" si="110"/>
        <v>13500</v>
      </c>
      <c r="M806" s="12">
        <f t="shared" si="110"/>
        <v>18700</v>
      </c>
      <c r="N806" s="12">
        <v>14590</v>
      </c>
      <c r="O806" s="12">
        <v>14590</v>
      </c>
      <c r="P806" s="12">
        <f>P835+P862+P888+P913</f>
        <v>5420</v>
      </c>
      <c r="Q806" s="186">
        <f t="shared" si="95"/>
        <v>0.3714873200822481</v>
      </c>
      <c r="R806" s="155">
        <f aca="true" t="shared" si="111" ref="R806:S808">R835+R862+R888+R913</f>
        <v>13490</v>
      </c>
      <c r="S806" s="155">
        <f t="shared" si="111"/>
        <v>20600</v>
      </c>
      <c r="T806" s="12">
        <v>12890</v>
      </c>
      <c r="U806" s="12">
        <f aca="true" t="shared" si="112" ref="U806:V808">U835+U862+U888+U913</f>
        <v>0</v>
      </c>
      <c r="V806" s="12">
        <f t="shared" si="112"/>
        <v>0</v>
      </c>
      <c r="W806" s="32">
        <f t="shared" si="96"/>
        <v>12890</v>
      </c>
    </row>
    <row r="807" spans="1:23" ht="36">
      <c r="A807" s="25"/>
      <c r="B807" s="25"/>
      <c r="C807" s="26">
        <v>4740</v>
      </c>
      <c r="D807" s="27" t="s">
        <v>73</v>
      </c>
      <c r="E807" s="11">
        <f t="shared" si="109"/>
        <v>5400</v>
      </c>
      <c r="F807" s="11">
        <f t="shared" si="109"/>
        <v>7800</v>
      </c>
      <c r="G807" s="12">
        <f t="shared" si="109"/>
        <v>8700</v>
      </c>
      <c r="H807" s="12">
        <f t="shared" si="109"/>
        <v>7910</v>
      </c>
      <c r="I807" s="12"/>
      <c r="J807" s="12">
        <v>7010</v>
      </c>
      <c r="K807" s="12">
        <f t="shared" si="110"/>
        <v>7010</v>
      </c>
      <c r="L807" s="12">
        <f t="shared" si="110"/>
        <v>7010</v>
      </c>
      <c r="M807" s="12">
        <f t="shared" si="110"/>
        <v>8200</v>
      </c>
      <c r="N807" s="12">
        <v>7270</v>
      </c>
      <c r="O807" s="12">
        <v>7270</v>
      </c>
      <c r="P807" s="12">
        <f>P836+P863+P889+P914</f>
        <v>1627</v>
      </c>
      <c r="Q807" s="186">
        <f t="shared" si="95"/>
        <v>0.2237964236588721</v>
      </c>
      <c r="R807" s="155">
        <f t="shared" si="111"/>
        <v>7270</v>
      </c>
      <c r="S807" s="155">
        <f t="shared" si="111"/>
        <v>7600</v>
      </c>
      <c r="T807" s="12">
        <v>7170</v>
      </c>
      <c r="U807" s="12">
        <f t="shared" si="112"/>
        <v>0</v>
      </c>
      <c r="V807" s="12">
        <f t="shared" si="112"/>
        <v>0</v>
      </c>
      <c r="W807" s="32">
        <f t="shared" si="96"/>
        <v>7170</v>
      </c>
    </row>
    <row r="808" spans="1:23" ht="24">
      <c r="A808" s="25"/>
      <c r="B808" s="25"/>
      <c r="C808" s="26">
        <v>4750</v>
      </c>
      <c r="D808" s="27" t="s">
        <v>118</v>
      </c>
      <c r="E808" s="11">
        <f t="shared" si="109"/>
        <v>2600</v>
      </c>
      <c r="F808" s="11">
        <f t="shared" si="109"/>
        <v>4600</v>
      </c>
      <c r="G808" s="12">
        <f t="shared" si="109"/>
        <v>14100</v>
      </c>
      <c r="H808" s="12">
        <f t="shared" si="109"/>
        <v>4970</v>
      </c>
      <c r="I808" s="12"/>
      <c r="J808" s="12">
        <v>3970</v>
      </c>
      <c r="K808" s="12">
        <v>11775</v>
      </c>
      <c r="L808" s="12">
        <f>L837+L864+L890+L915</f>
        <v>12775</v>
      </c>
      <c r="M808" s="12">
        <f>M837+M864+M890+M915</f>
        <v>13500</v>
      </c>
      <c r="N808" s="12">
        <v>7870</v>
      </c>
      <c r="O808" s="12">
        <v>8770</v>
      </c>
      <c r="P808" s="12">
        <f>P837+P864+P890+P915</f>
        <v>2460</v>
      </c>
      <c r="Q808" s="186">
        <f t="shared" si="95"/>
        <v>0.2805017103762828</v>
      </c>
      <c r="R808" s="155">
        <f t="shared" si="111"/>
        <v>8263</v>
      </c>
      <c r="S808" s="155">
        <f t="shared" si="111"/>
        <v>12740</v>
      </c>
      <c r="T808" s="12">
        <v>8270</v>
      </c>
      <c r="U808" s="12">
        <f t="shared" si="112"/>
        <v>2000</v>
      </c>
      <c r="V808" s="12">
        <f t="shared" si="112"/>
        <v>0</v>
      </c>
      <c r="W808" s="32">
        <f t="shared" si="96"/>
        <v>10270</v>
      </c>
    </row>
    <row r="809" spans="1:23" ht="24">
      <c r="A809" s="25"/>
      <c r="B809" s="25"/>
      <c r="C809" s="26">
        <v>4780</v>
      </c>
      <c r="D809" s="27" t="s">
        <v>369</v>
      </c>
      <c r="E809" s="93"/>
      <c r="F809" s="11"/>
      <c r="G809" s="1"/>
      <c r="H809" s="59"/>
      <c r="I809" s="59"/>
      <c r="J809" s="59"/>
      <c r="K809" s="59"/>
      <c r="L809" s="59"/>
      <c r="M809" s="59"/>
      <c r="N809" s="59"/>
      <c r="O809" s="59"/>
      <c r="P809" s="59"/>
      <c r="Q809" s="186"/>
      <c r="R809" s="153"/>
      <c r="S809" s="153"/>
      <c r="T809" s="59">
        <v>10800</v>
      </c>
      <c r="U809" s="59">
        <f>U838</f>
        <v>0</v>
      </c>
      <c r="V809" s="59"/>
      <c r="W809" s="32">
        <f t="shared" si="96"/>
        <v>10800</v>
      </c>
    </row>
    <row r="810" spans="1:23" ht="24">
      <c r="A810" s="8"/>
      <c r="B810" s="8"/>
      <c r="C810" s="9">
        <v>6050</v>
      </c>
      <c r="D810" s="10" t="s">
        <v>49</v>
      </c>
      <c r="E810" s="11" t="e">
        <f>#REF!+#REF!</f>
        <v>#REF!</v>
      </c>
      <c r="F810" s="11" t="e">
        <f>#REF!+#REF!</f>
        <v>#REF!</v>
      </c>
      <c r="G810" s="11" t="e">
        <f>#REF!+#REF!</f>
        <v>#REF!</v>
      </c>
      <c r="H810" s="11" t="e">
        <f>#REF!+#REF!</f>
        <v>#REF!</v>
      </c>
      <c r="I810" s="11"/>
      <c r="J810" s="11">
        <v>79400</v>
      </c>
      <c r="K810" s="11">
        <v>241549</v>
      </c>
      <c r="L810" s="12" t="e">
        <f>#REF!+#REF!+#REF!+L916</f>
        <v>#REF!</v>
      </c>
      <c r="M810" s="12" t="e">
        <f>#REF!+#REF!+#REF!+M916</f>
        <v>#REF!</v>
      </c>
      <c r="N810" s="12">
        <v>50000</v>
      </c>
      <c r="O810" s="12">
        <v>162500</v>
      </c>
      <c r="P810" s="12">
        <f>P916</f>
        <v>49999</v>
      </c>
      <c r="Q810" s="186">
        <f t="shared" si="95"/>
        <v>0.30768615384615383</v>
      </c>
      <c r="R810" s="12">
        <v>208000</v>
      </c>
      <c r="S810" s="12">
        <v>3023900</v>
      </c>
      <c r="T810" s="12">
        <v>0</v>
      </c>
      <c r="U810" s="12">
        <f>U917</f>
        <v>50000</v>
      </c>
      <c r="V810" s="12">
        <f>V917</f>
        <v>0</v>
      </c>
      <c r="W810" s="32">
        <f t="shared" si="96"/>
        <v>50000</v>
      </c>
    </row>
    <row r="811" spans="1:23" ht="24">
      <c r="A811" s="8"/>
      <c r="B811" s="8"/>
      <c r="C811" s="26">
        <v>6057</v>
      </c>
      <c r="D811" s="10" t="s">
        <v>49</v>
      </c>
      <c r="E811" s="98" t="e">
        <f>E838+#REF!+#REF!</f>
        <v>#REF!</v>
      </c>
      <c r="F811" s="98" t="e">
        <f>F838+#REF!+#REF!</f>
        <v>#REF!</v>
      </c>
      <c r="G811" s="98" t="e">
        <f>G838+#REF!+#REF!</f>
        <v>#REF!</v>
      </c>
      <c r="H811" s="98" t="e">
        <f>H838+#REF!+#REF!</f>
        <v>#REF!</v>
      </c>
      <c r="I811" s="98"/>
      <c r="J811" s="98"/>
      <c r="K811" s="98">
        <v>16500</v>
      </c>
      <c r="L811" s="12" t="e">
        <f>L838+#REF!+#REF!</f>
        <v>#REF!</v>
      </c>
      <c r="M811" s="12" t="e">
        <f>M838+#REF!+#REF!</f>
        <v>#REF!</v>
      </c>
      <c r="N811" s="12">
        <v>0</v>
      </c>
      <c r="O811" s="12">
        <v>30000</v>
      </c>
      <c r="P811" s="12">
        <f>P838</f>
        <v>0</v>
      </c>
      <c r="Q811" s="186">
        <f>P811/O811</f>
        <v>0</v>
      </c>
      <c r="R811" s="155">
        <f>R838</f>
        <v>0</v>
      </c>
      <c r="S811" s="155">
        <f>S838</f>
        <v>0</v>
      </c>
      <c r="T811" s="12">
        <v>1996614</v>
      </c>
      <c r="U811" s="12">
        <f>U918</f>
        <v>0</v>
      </c>
      <c r="V811" s="12">
        <f>V838</f>
        <v>0</v>
      </c>
      <c r="W811" s="32">
        <f>T811+U811-V811</f>
        <v>1996614</v>
      </c>
    </row>
    <row r="812" spans="1:23" ht="24">
      <c r="A812" s="8"/>
      <c r="B812" s="8"/>
      <c r="C812" s="26">
        <v>6059</v>
      </c>
      <c r="D812" s="10" t="s">
        <v>49</v>
      </c>
      <c r="E812" s="98" t="e">
        <f>E839+#REF!+#REF!</f>
        <v>#REF!</v>
      </c>
      <c r="F812" s="98" t="e">
        <f>F839+#REF!+#REF!</f>
        <v>#REF!</v>
      </c>
      <c r="G812" s="98" t="e">
        <f>G839+#REF!+#REF!</f>
        <v>#REF!</v>
      </c>
      <c r="H812" s="98" t="e">
        <f>H839+#REF!+#REF!</f>
        <v>#REF!</v>
      </c>
      <c r="I812" s="98"/>
      <c r="J812" s="98"/>
      <c r="K812" s="98">
        <v>16500</v>
      </c>
      <c r="L812" s="12" t="e">
        <f>L839+#REF!+#REF!</f>
        <v>#REF!</v>
      </c>
      <c r="M812" s="12" t="e">
        <f>M839+#REF!+#REF!</f>
        <v>#REF!</v>
      </c>
      <c r="N812" s="12">
        <v>0</v>
      </c>
      <c r="O812" s="12">
        <v>30000</v>
      </c>
      <c r="P812" s="12">
        <f>P839</f>
        <v>0</v>
      </c>
      <c r="Q812" s="186">
        <f t="shared" si="95"/>
        <v>0</v>
      </c>
      <c r="R812" s="155">
        <f>R839</f>
        <v>30000</v>
      </c>
      <c r="S812" s="155">
        <f>S839</f>
        <v>8000</v>
      </c>
      <c r="T812" s="12">
        <v>544600</v>
      </c>
      <c r="U812" s="12">
        <f>U919</f>
        <v>0</v>
      </c>
      <c r="V812" s="12">
        <f>V919</f>
        <v>100000</v>
      </c>
      <c r="W812" s="32">
        <f t="shared" si="96"/>
        <v>444600</v>
      </c>
    </row>
    <row r="813" spans="1:23" ht="12">
      <c r="A813" s="25"/>
      <c r="B813" s="25"/>
      <c r="C813" s="26" t="s">
        <v>121</v>
      </c>
      <c r="D813" s="42" t="s">
        <v>190</v>
      </c>
      <c r="E813" s="11">
        <f>SUM(E814:E839)</f>
        <v>1511420</v>
      </c>
      <c r="F813" s="11">
        <f>SUM(F814:F839)</f>
        <v>1589417</v>
      </c>
      <c r="G813" s="11">
        <f>SUM(G814:G839)</f>
        <v>1882673</v>
      </c>
      <c r="H813" s="11">
        <f>SUM(H814:H839)</f>
        <v>1723028</v>
      </c>
      <c r="I813" s="11"/>
      <c r="J813" s="35">
        <f>SUM(J814:J839)</f>
        <v>1723040</v>
      </c>
      <c r="K813" s="35">
        <f>SUM(K814:K839)</f>
        <v>1798078</v>
      </c>
      <c r="L813" s="35">
        <f>SUM(L814:L839)</f>
        <v>1825538</v>
      </c>
      <c r="M813" s="35">
        <f>SUM(M814:M839)</f>
        <v>2079723</v>
      </c>
      <c r="N813" s="35">
        <v>1863830</v>
      </c>
      <c r="O813" s="35">
        <v>1831830</v>
      </c>
      <c r="P813" s="35">
        <f>SUM(P814:P839)</f>
        <v>939920</v>
      </c>
      <c r="Q813" s="186">
        <f t="shared" si="95"/>
        <v>0.5131043819568409</v>
      </c>
      <c r="R813" s="152">
        <f>SUM(R814:R839)</f>
        <v>1950840</v>
      </c>
      <c r="S813" s="152">
        <f>SUM(S814:S839)</f>
        <v>2153720</v>
      </c>
      <c r="T813" s="35">
        <v>2010858</v>
      </c>
      <c r="U813" s="35">
        <f>SUM(U814:U839)</f>
        <v>8000</v>
      </c>
      <c r="V813" s="35">
        <f>SUM(V814:V839)</f>
        <v>8000</v>
      </c>
      <c r="W813" s="32">
        <f t="shared" si="96"/>
        <v>2010858</v>
      </c>
    </row>
    <row r="814" spans="1:23" ht="24">
      <c r="A814" s="25"/>
      <c r="B814" s="25"/>
      <c r="C814" s="26">
        <v>3020</v>
      </c>
      <c r="D814" s="27" t="s">
        <v>188</v>
      </c>
      <c r="E814" s="93">
        <v>3800</v>
      </c>
      <c r="F814" s="11">
        <v>3800</v>
      </c>
      <c r="G814" s="1">
        <v>9490</v>
      </c>
      <c r="H814" s="59">
        <v>3900</v>
      </c>
      <c r="I814" s="59"/>
      <c r="J814" s="59">
        <v>3900</v>
      </c>
      <c r="K814" s="59">
        <v>3900</v>
      </c>
      <c r="L814" s="59">
        <v>3900</v>
      </c>
      <c r="M814" s="59">
        <v>9300</v>
      </c>
      <c r="N814" s="59">
        <v>4000</v>
      </c>
      <c r="O814" s="59">
        <v>4000</v>
      </c>
      <c r="P814" s="59">
        <v>1510</v>
      </c>
      <c r="Q814" s="186">
        <f t="shared" si="95"/>
        <v>0.3775</v>
      </c>
      <c r="R814" s="153">
        <v>4000</v>
      </c>
      <c r="S814" s="153">
        <v>9300</v>
      </c>
      <c r="T814" s="59">
        <v>4000</v>
      </c>
      <c r="U814" s="59"/>
      <c r="V814" s="59"/>
      <c r="W814" s="32">
        <f t="shared" si="96"/>
        <v>4000</v>
      </c>
    </row>
    <row r="815" spans="1:23" ht="24">
      <c r="A815" s="25"/>
      <c r="B815" s="25"/>
      <c r="C815" s="26">
        <v>4010</v>
      </c>
      <c r="D815" s="27" t="s">
        <v>29</v>
      </c>
      <c r="E815" s="93">
        <v>792300</v>
      </c>
      <c r="F815" s="11">
        <v>834710</v>
      </c>
      <c r="G815" s="1">
        <f>1795*46*12+2262+5904+6400+10100</f>
        <v>1015506</v>
      </c>
      <c r="H815" s="59">
        <v>950888</v>
      </c>
      <c r="I815" s="59"/>
      <c r="J815" s="59">
        <v>950900</v>
      </c>
      <c r="K815" s="59">
        <v>995592</v>
      </c>
      <c r="L815" s="59">
        <v>995592</v>
      </c>
      <c r="M815" s="59">
        <v>1094335</v>
      </c>
      <c r="N815" s="59">
        <v>1038700</v>
      </c>
      <c r="O815" s="59">
        <v>976700</v>
      </c>
      <c r="P815" s="59">
        <v>483073</v>
      </c>
      <c r="Q815" s="186">
        <f t="shared" si="95"/>
        <v>0.4945971127265281</v>
      </c>
      <c r="R815" s="153">
        <v>1046416</v>
      </c>
      <c r="S815" s="153">
        <v>1132540</v>
      </c>
      <c r="T815" s="59">
        <v>1118540</v>
      </c>
      <c r="U815" s="59"/>
      <c r="V815" s="59"/>
      <c r="W815" s="32">
        <f t="shared" si="96"/>
        <v>1118540</v>
      </c>
    </row>
    <row r="816" spans="1:23" ht="12">
      <c r="A816" s="25"/>
      <c r="B816" s="25"/>
      <c r="C816" s="26">
        <v>4040</v>
      </c>
      <c r="D816" s="27" t="s">
        <v>30</v>
      </c>
      <c r="E816" s="93">
        <v>64800</v>
      </c>
      <c r="F816" s="11">
        <v>64800</v>
      </c>
      <c r="G816" s="1">
        <v>72200</v>
      </c>
      <c r="H816" s="59">
        <v>72400</v>
      </c>
      <c r="I816" s="59"/>
      <c r="J816" s="59">
        <v>72400</v>
      </c>
      <c r="K816" s="59">
        <v>72400</v>
      </c>
      <c r="L816" s="59">
        <v>67300</v>
      </c>
      <c r="M816" s="59">
        <v>83160</v>
      </c>
      <c r="N816" s="59">
        <v>79400</v>
      </c>
      <c r="O816" s="59">
        <v>85200</v>
      </c>
      <c r="P816" s="59">
        <v>85194</v>
      </c>
      <c r="Q816" s="186">
        <f t="shared" si="95"/>
        <v>0.9999295774647887</v>
      </c>
      <c r="R816" s="153">
        <v>85194</v>
      </c>
      <c r="S816" s="153">
        <v>88300</v>
      </c>
      <c r="T816" s="59">
        <v>88300</v>
      </c>
      <c r="U816" s="59"/>
      <c r="V816" s="59"/>
      <c r="W816" s="32">
        <f t="shared" si="96"/>
        <v>88300</v>
      </c>
    </row>
    <row r="817" spans="1:23" ht="24">
      <c r="A817" s="25"/>
      <c r="B817" s="25"/>
      <c r="C817" s="26">
        <v>4110</v>
      </c>
      <c r="D817" s="27" t="s">
        <v>31</v>
      </c>
      <c r="E817" s="93">
        <v>144300</v>
      </c>
      <c r="F817" s="11">
        <v>151320</v>
      </c>
      <c r="G817" s="1">
        <f>158530+362+945+11600</f>
        <v>171437</v>
      </c>
      <c r="H817" s="59">
        <v>161100</v>
      </c>
      <c r="I817" s="59"/>
      <c r="J817" s="59">
        <v>161100</v>
      </c>
      <c r="K817" s="59">
        <v>168251</v>
      </c>
      <c r="L817" s="59">
        <v>168251</v>
      </c>
      <c r="M817" s="59">
        <v>183438</v>
      </c>
      <c r="N817" s="59">
        <v>172600</v>
      </c>
      <c r="O817" s="59">
        <v>166800</v>
      </c>
      <c r="P817" s="59">
        <v>81318</v>
      </c>
      <c r="Q817" s="186">
        <f t="shared" si="95"/>
        <v>0.4875179856115108</v>
      </c>
      <c r="R817" s="153">
        <v>175400</v>
      </c>
      <c r="S817" s="153">
        <v>191800</v>
      </c>
      <c r="T817" s="59">
        <v>189550</v>
      </c>
      <c r="U817" s="59"/>
      <c r="V817" s="59"/>
      <c r="W817" s="32">
        <f t="shared" si="96"/>
        <v>189550</v>
      </c>
    </row>
    <row r="818" spans="1:23" ht="12">
      <c r="A818" s="25"/>
      <c r="B818" s="25"/>
      <c r="C818" s="26">
        <v>4120</v>
      </c>
      <c r="D818" s="27" t="s">
        <v>32</v>
      </c>
      <c r="E818" s="93">
        <v>20800</v>
      </c>
      <c r="F818" s="11">
        <v>21770</v>
      </c>
      <c r="G818" s="1">
        <f>24280+55+145+1800</f>
        <v>26280</v>
      </c>
      <c r="H818" s="59">
        <v>24700</v>
      </c>
      <c r="I818" s="59"/>
      <c r="J818" s="59">
        <v>24700</v>
      </c>
      <c r="K818" s="59">
        <v>25795</v>
      </c>
      <c r="L818" s="59">
        <v>25795</v>
      </c>
      <c r="M818" s="59">
        <v>28090</v>
      </c>
      <c r="N818" s="59">
        <v>26600</v>
      </c>
      <c r="O818" s="59">
        <v>26600</v>
      </c>
      <c r="P818" s="59">
        <v>12261</v>
      </c>
      <c r="Q818" s="186">
        <f t="shared" si="95"/>
        <v>0.46093984962406015</v>
      </c>
      <c r="R818" s="153">
        <v>26700</v>
      </c>
      <c r="S818" s="153">
        <v>29400</v>
      </c>
      <c r="T818" s="59">
        <v>29050</v>
      </c>
      <c r="U818" s="59"/>
      <c r="V818" s="59"/>
      <c r="W818" s="32">
        <f t="shared" si="96"/>
        <v>29050</v>
      </c>
    </row>
    <row r="819" spans="1:23" ht="12">
      <c r="A819" s="25"/>
      <c r="B819" s="25"/>
      <c r="C819" s="26">
        <v>4170</v>
      </c>
      <c r="D819" s="27" t="s">
        <v>33</v>
      </c>
      <c r="E819" s="93">
        <v>3000</v>
      </c>
      <c r="F819" s="11">
        <v>3000</v>
      </c>
      <c r="G819" s="1">
        <v>5000</v>
      </c>
      <c r="H819" s="99">
        <v>4000</v>
      </c>
      <c r="I819" s="99"/>
      <c r="J819" s="99">
        <v>4000</v>
      </c>
      <c r="K819" s="99">
        <v>4000</v>
      </c>
      <c r="L819" s="99">
        <v>5500</v>
      </c>
      <c r="M819" s="99">
        <v>6000</v>
      </c>
      <c r="N819" s="59">
        <v>4200</v>
      </c>
      <c r="O819" s="59">
        <v>4200</v>
      </c>
      <c r="P819" s="59">
        <v>2725</v>
      </c>
      <c r="Q819" s="186">
        <f t="shared" si="95"/>
        <v>0.6488095238095238</v>
      </c>
      <c r="R819" s="153">
        <v>14200</v>
      </c>
      <c r="S819" s="153">
        <v>6000</v>
      </c>
      <c r="T819" s="59">
        <v>22600</v>
      </c>
      <c r="U819" s="59"/>
      <c r="V819" s="59"/>
      <c r="W819" s="32">
        <f t="shared" si="96"/>
        <v>22600</v>
      </c>
    </row>
    <row r="820" spans="1:23" ht="12">
      <c r="A820" s="25"/>
      <c r="B820" s="25"/>
      <c r="C820" s="26">
        <v>4210</v>
      </c>
      <c r="D820" s="27" t="s">
        <v>34</v>
      </c>
      <c r="E820" s="93">
        <v>140700</v>
      </c>
      <c r="F820" s="11">
        <v>140700</v>
      </c>
      <c r="G820" s="1">
        <v>214800</v>
      </c>
      <c r="H820" s="59">
        <v>144000</v>
      </c>
      <c r="I820" s="59"/>
      <c r="J820" s="59">
        <v>144000</v>
      </c>
      <c r="K820" s="59">
        <v>144000</v>
      </c>
      <c r="L820" s="59">
        <v>170000</v>
      </c>
      <c r="M820" s="59">
        <v>292000</v>
      </c>
      <c r="N820" s="59">
        <v>168200</v>
      </c>
      <c r="O820" s="59">
        <v>168200</v>
      </c>
      <c r="P820" s="59">
        <v>88873</v>
      </c>
      <c r="Q820" s="186">
        <f t="shared" si="95"/>
        <v>0.5283769322235434</v>
      </c>
      <c r="R820" s="153">
        <v>162500</v>
      </c>
      <c r="S820" s="153">
        <v>286700</v>
      </c>
      <c r="T820" s="59">
        <v>162500</v>
      </c>
      <c r="U820" s="59"/>
      <c r="V820" s="59"/>
      <c r="W820" s="32">
        <f t="shared" si="96"/>
        <v>162500</v>
      </c>
    </row>
    <row r="821" spans="1:23" ht="12">
      <c r="A821" s="25"/>
      <c r="B821" s="25"/>
      <c r="C821" s="26">
        <v>4220</v>
      </c>
      <c r="D821" s="27" t="s">
        <v>180</v>
      </c>
      <c r="E821" s="93">
        <v>154600</v>
      </c>
      <c r="F821" s="11">
        <v>154600</v>
      </c>
      <c r="G821" s="1">
        <v>158160</v>
      </c>
      <c r="H821" s="59">
        <v>158200</v>
      </c>
      <c r="I821" s="59"/>
      <c r="J821" s="59">
        <v>158200</v>
      </c>
      <c r="K821" s="59">
        <v>158200</v>
      </c>
      <c r="L821" s="59">
        <v>158200</v>
      </c>
      <c r="M821" s="59">
        <v>162800</v>
      </c>
      <c r="N821" s="59">
        <v>162750</v>
      </c>
      <c r="O821" s="59">
        <v>162750</v>
      </c>
      <c r="P821" s="59">
        <v>72170</v>
      </c>
      <c r="Q821" s="186">
        <f t="shared" si="95"/>
        <v>0.44344086021505374</v>
      </c>
      <c r="R821" s="153">
        <v>162750</v>
      </c>
      <c r="S821" s="153">
        <v>162750</v>
      </c>
      <c r="T821" s="59">
        <v>162750</v>
      </c>
      <c r="U821" s="59"/>
      <c r="V821" s="59"/>
      <c r="W821" s="32">
        <f t="shared" si="96"/>
        <v>162750</v>
      </c>
    </row>
    <row r="822" spans="1:23" ht="36">
      <c r="A822" s="25"/>
      <c r="B822" s="25"/>
      <c r="C822" s="26">
        <v>4230</v>
      </c>
      <c r="D822" s="27" t="s">
        <v>88</v>
      </c>
      <c r="E822" s="93">
        <v>24830</v>
      </c>
      <c r="F822" s="11">
        <f>21100+3730</f>
        <v>24830</v>
      </c>
      <c r="G822" s="1">
        <v>36000</v>
      </c>
      <c r="H822" s="59">
        <v>35600</v>
      </c>
      <c r="I822" s="59"/>
      <c r="J822" s="59">
        <v>35600</v>
      </c>
      <c r="K822" s="59">
        <v>39600</v>
      </c>
      <c r="L822" s="59">
        <v>39600</v>
      </c>
      <c r="M822" s="59">
        <v>40700</v>
      </c>
      <c r="N822" s="59">
        <v>42780</v>
      </c>
      <c r="O822" s="59">
        <v>42780</v>
      </c>
      <c r="P822" s="59">
        <v>10707</v>
      </c>
      <c r="Q822" s="186">
        <f t="shared" si="95"/>
        <v>0.2502805049088359</v>
      </c>
      <c r="R822" s="153">
        <v>42780</v>
      </c>
      <c r="S822" s="153">
        <v>42780</v>
      </c>
      <c r="T822" s="59">
        <v>42780</v>
      </c>
      <c r="U822" s="59"/>
      <c r="V822" s="59">
        <v>8000</v>
      </c>
      <c r="W822" s="32">
        <f t="shared" si="96"/>
        <v>34780</v>
      </c>
    </row>
    <row r="823" spans="1:23" ht="12">
      <c r="A823" s="25"/>
      <c r="B823" s="25"/>
      <c r="C823" s="26">
        <v>4260</v>
      </c>
      <c r="D823" s="27" t="s">
        <v>35</v>
      </c>
      <c r="E823" s="93">
        <v>13100</v>
      </c>
      <c r="F823" s="11">
        <v>13100</v>
      </c>
      <c r="G823" s="1">
        <v>13400</v>
      </c>
      <c r="H823" s="59">
        <v>13400</v>
      </c>
      <c r="I823" s="59"/>
      <c r="J823" s="59">
        <v>13400</v>
      </c>
      <c r="K823" s="59">
        <v>13400</v>
      </c>
      <c r="L823" s="59">
        <v>17500</v>
      </c>
      <c r="M823" s="59">
        <v>18000</v>
      </c>
      <c r="N823" s="59">
        <v>13800</v>
      </c>
      <c r="O823" s="59">
        <v>13800</v>
      </c>
      <c r="P823" s="59">
        <v>9923</v>
      </c>
      <c r="Q823" s="186">
        <f t="shared" si="95"/>
        <v>0.7190579710144928</v>
      </c>
      <c r="R823" s="153">
        <v>21300</v>
      </c>
      <c r="S823" s="153">
        <v>22350</v>
      </c>
      <c r="T823" s="59">
        <v>22350</v>
      </c>
      <c r="U823" s="59"/>
      <c r="V823" s="59"/>
      <c r="W823" s="32">
        <f t="shared" si="96"/>
        <v>22350</v>
      </c>
    </row>
    <row r="824" spans="1:23" ht="12">
      <c r="A824" s="25"/>
      <c r="B824" s="25"/>
      <c r="C824" s="26">
        <v>4270</v>
      </c>
      <c r="D824" s="27" t="s">
        <v>36</v>
      </c>
      <c r="E824" s="93">
        <v>28290</v>
      </c>
      <c r="F824" s="11">
        <f>16700+11590</f>
        <v>28290</v>
      </c>
      <c r="G824" s="1">
        <v>31100</v>
      </c>
      <c r="H824" s="59">
        <v>29000</v>
      </c>
      <c r="I824" s="59"/>
      <c r="J824" s="59">
        <v>29000</v>
      </c>
      <c r="K824" s="59">
        <v>37200</v>
      </c>
      <c r="L824" s="59">
        <v>37200</v>
      </c>
      <c r="M824" s="59">
        <v>17600</v>
      </c>
      <c r="N824" s="59">
        <v>17600</v>
      </c>
      <c r="O824" s="59">
        <v>17600</v>
      </c>
      <c r="P824" s="59">
        <v>15814</v>
      </c>
      <c r="Q824" s="186">
        <f aca="true" t="shared" si="113" ref="Q824:Q892">P824/O824</f>
        <v>0.8985227272727273</v>
      </c>
      <c r="R824" s="153">
        <v>37800</v>
      </c>
      <c r="S824" s="153">
        <v>18500</v>
      </c>
      <c r="T824" s="59">
        <v>17600</v>
      </c>
      <c r="U824" s="59"/>
      <c r="V824" s="59"/>
      <c r="W824" s="32">
        <f t="shared" si="96"/>
        <v>17600</v>
      </c>
    </row>
    <row r="825" spans="1:23" ht="12">
      <c r="A825" s="25"/>
      <c r="B825" s="25"/>
      <c r="C825" s="26">
        <v>4280</v>
      </c>
      <c r="D825" s="27" t="s">
        <v>37</v>
      </c>
      <c r="E825" s="93">
        <v>3500</v>
      </c>
      <c r="F825" s="11">
        <v>3500</v>
      </c>
      <c r="G825" s="1">
        <v>3600</v>
      </c>
      <c r="H825" s="59">
        <v>3600</v>
      </c>
      <c r="I825" s="59"/>
      <c r="J825" s="59">
        <v>3600</v>
      </c>
      <c r="K825" s="59">
        <v>3600</v>
      </c>
      <c r="L825" s="59">
        <v>3600</v>
      </c>
      <c r="M825" s="59">
        <v>3700</v>
      </c>
      <c r="N825" s="59">
        <v>3700</v>
      </c>
      <c r="O825" s="59">
        <v>3700</v>
      </c>
      <c r="P825" s="59">
        <v>862</v>
      </c>
      <c r="Q825" s="186">
        <f t="shared" si="113"/>
        <v>0.23297297297297298</v>
      </c>
      <c r="R825" s="153">
        <v>3700</v>
      </c>
      <c r="S825" s="153">
        <v>3700</v>
      </c>
      <c r="T825" s="59">
        <v>8200</v>
      </c>
      <c r="U825" s="59">
        <v>8000</v>
      </c>
      <c r="V825" s="59"/>
      <c r="W825" s="32">
        <f t="shared" si="96"/>
        <v>16200</v>
      </c>
    </row>
    <row r="826" spans="1:23" ht="12">
      <c r="A826" s="25"/>
      <c r="B826" s="25"/>
      <c r="C826" s="26">
        <v>4300</v>
      </c>
      <c r="D826" s="27" t="s">
        <v>17</v>
      </c>
      <c r="E826" s="93">
        <v>52600</v>
      </c>
      <c r="F826" s="11">
        <v>52600</v>
      </c>
      <c r="G826" s="1">
        <v>53800</v>
      </c>
      <c r="H826" s="59">
        <v>53800</v>
      </c>
      <c r="I826" s="59"/>
      <c r="J826" s="59">
        <v>53800</v>
      </c>
      <c r="K826" s="59">
        <v>53800</v>
      </c>
      <c r="L826" s="59">
        <v>53800</v>
      </c>
      <c r="M826" s="59">
        <v>55400</v>
      </c>
      <c r="N826" s="59">
        <v>55400</v>
      </c>
      <c r="O826" s="59">
        <v>55400</v>
      </c>
      <c r="P826" s="59">
        <v>22335</v>
      </c>
      <c r="Q826" s="186">
        <f t="shared" si="113"/>
        <v>0.40315884476534297</v>
      </c>
      <c r="R826" s="153">
        <v>55400</v>
      </c>
      <c r="S826" s="153">
        <v>67700</v>
      </c>
      <c r="T826" s="59">
        <v>49470</v>
      </c>
      <c r="U826" s="59"/>
      <c r="V826" s="59"/>
      <c r="W826" s="32">
        <f t="shared" si="96"/>
        <v>49470</v>
      </c>
    </row>
    <row r="827" spans="1:23" ht="24">
      <c r="A827" s="25"/>
      <c r="B827" s="25"/>
      <c r="C827" s="26">
        <v>4350</v>
      </c>
      <c r="D827" s="27" t="s">
        <v>38</v>
      </c>
      <c r="E827" s="93">
        <v>2030</v>
      </c>
      <c r="F827" s="11">
        <v>2030</v>
      </c>
      <c r="G827" s="1">
        <v>2100</v>
      </c>
      <c r="H827" s="59">
        <v>2100</v>
      </c>
      <c r="I827" s="59"/>
      <c r="J827" s="59">
        <v>2100</v>
      </c>
      <c r="K827" s="59">
        <v>2100</v>
      </c>
      <c r="L827" s="59">
        <v>2100</v>
      </c>
      <c r="M827" s="59">
        <v>2200</v>
      </c>
      <c r="N827" s="59">
        <v>2200</v>
      </c>
      <c r="O827" s="59">
        <v>2200</v>
      </c>
      <c r="P827" s="59">
        <v>380</v>
      </c>
      <c r="Q827" s="186">
        <f t="shared" si="113"/>
        <v>0.17272727272727273</v>
      </c>
      <c r="R827" s="153">
        <v>2200</v>
      </c>
      <c r="S827" s="153">
        <v>2200</v>
      </c>
      <c r="T827" s="59">
        <v>2200</v>
      </c>
      <c r="U827" s="59"/>
      <c r="V827" s="59"/>
      <c r="W827" s="32">
        <f t="shared" si="96"/>
        <v>2200</v>
      </c>
    </row>
    <row r="828" spans="1:23" ht="36">
      <c r="A828" s="25"/>
      <c r="B828" s="25"/>
      <c r="C828" s="26">
        <v>4360</v>
      </c>
      <c r="D828" s="27" t="s">
        <v>130</v>
      </c>
      <c r="E828" s="93">
        <v>2100</v>
      </c>
      <c r="F828" s="11">
        <v>2100</v>
      </c>
      <c r="G828" s="1">
        <v>2200</v>
      </c>
      <c r="H828" s="59">
        <v>2200</v>
      </c>
      <c r="I828" s="59"/>
      <c r="J828" s="59">
        <v>2200</v>
      </c>
      <c r="K828" s="59">
        <v>2200</v>
      </c>
      <c r="L828" s="59">
        <v>2200</v>
      </c>
      <c r="M828" s="59">
        <v>2300</v>
      </c>
      <c r="N828" s="59">
        <v>2300</v>
      </c>
      <c r="O828" s="59">
        <v>2300</v>
      </c>
      <c r="P828" s="59">
        <v>1093</v>
      </c>
      <c r="Q828" s="186">
        <f t="shared" si="113"/>
        <v>0.4752173913043478</v>
      </c>
      <c r="R828" s="153">
        <v>2300</v>
      </c>
      <c r="S828" s="153">
        <v>2400</v>
      </c>
      <c r="T828" s="59">
        <v>2300</v>
      </c>
      <c r="U828" s="59"/>
      <c r="V828" s="59"/>
      <c r="W828" s="32">
        <f t="shared" si="96"/>
        <v>2300</v>
      </c>
    </row>
    <row r="829" spans="1:23" ht="36">
      <c r="A829" s="25"/>
      <c r="B829" s="25"/>
      <c r="C829" s="26">
        <v>4370</v>
      </c>
      <c r="D829" s="27" t="s">
        <v>135</v>
      </c>
      <c r="E829" s="93">
        <v>9100</v>
      </c>
      <c r="F829" s="11">
        <v>9100</v>
      </c>
      <c r="G829" s="1">
        <v>9300</v>
      </c>
      <c r="H829" s="59">
        <v>9300</v>
      </c>
      <c r="I829" s="59"/>
      <c r="J829" s="59">
        <v>9300</v>
      </c>
      <c r="K829" s="59">
        <v>9300</v>
      </c>
      <c r="L829" s="59">
        <v>9300</v>
      </c>
      <c r="M829" s="59">
        <v>9600</v>
      </c>
      <c r="N829" s="59">
        <v>9600</v>
      </c>
      <c r="O829" s="59">
        <v>9600</v>
      </c>
      <c r="P829" s="59">
        <v>1342</v>
      </c>
      <c r="Q829" s="186">
        <f t="shared" si="113"/>
        <v>0.13979166666666668</v>
      </c>
      <c r="R829" s="153">
        <v>4000</v>
      </c>
      <c r="S829" s="153">
        <v>5000</v>
      </c>
      <c r="T829" s="59">
        <v>4000</v>
      </c>
      <c r="U829" s="59"/>
      <c r="V829" s="59"/>
      <c r="W829" s="32">
        <f t="shared" si="96"/>
        <v>4000</v>
      </c>
    </row>
    <row r="830" spans="1:23" ht="12">
      <c r="A830" s="25"/>
      <c r="B830" s="25"/>
      <c r="C830" s="26">
        <v>4410</v>
      </c>
      <c r="D830" s="27" t="s">
        <v>42</v>
      </c>
      <c r="E830" s="93">
        <v>2040</v>
      </c>
      <c r="F830" s="11">
        <v>2040</v>
      </c>
      <c r="G830" s="1">
        <v>2100</v>
      </c>
      <c r="H830" s="59">
        <v>2100</v>
      </c>
      <c r="I830" s="59"/>
      <c r="J830" s="59">
        <v>2100</v>
      </c>
      <c r="K830" s="59">
        <v>2100</v>
      </c>
      <c r="L830" s="59">
        <v>2100</v>
      </c>
      <c r="M830" s="59">
        <v>2200</v>
      </c>
      <c r="N830" s="59">
        <v>2200</v>
      </c>
      <c r="O830" s="59">
        <v>2200</v>
      </c>
      <c r="P830" s="59">
        <v>1202</v>
      </c>
      <c r="Q830" s="186">
        <f t="shared" si="113"/>
        <v>0.5463636363636364</v>
      </c>
      <c r="R830" s="153">
        <v>3000</v>
      </c>
      <c r="S830" s="153">
        <v>5000</v>
      </c>
      <c r="T830" s="59">
        <v>3000</v>
      </c>
      <c r="U830" s="59"/>
      <c r="V830" s="59"/>
      <c r="W830" s="32">
        <f aca="true" t="shared" si="114" ref="W830:W897">T830+U830-V830</f>
        <v>3000</v>
      </c>
    </row>
    <row r="831" spans="1:23" ht="12">
      <c r="A831" s="25"/>
      <c r="B831" s="25"/>
      <c r="C831" s="26">
        <v>4430</v>
      </c>
      <c r="D831" s="27" t="s">
        <v>43</v>
      </c>
      <c r="E831" s="93">
        <v>6500</v>
      </c>
      <c r="F831" s="11">
        <v>6500</v>
      </c>
      <c r="G831" s="1">
        <v>6600</v>
      </c>
      <c r="H831" s="59">
        <v>6600</v>
      </c>
      <c r="I831" s="59"/>
      <c r="J831" s="59">
        <v>6600</v>
      </c>
      <c r="K831" s="59">
        <v>6600</v>
      </c>
      <c r="L831" s="59">
        <v>6600</v>
      </c>
      <c r="M831" s="59">
        <v>6800</v>
      </c>
      <c r="N831" s="59">
        <v>6800</v>
      </c>
      <c r="O831" s="59">
        <v>6800</v>
      </c>
      <c r="P831" s="59">
        <v>3404</v>
      </c>
      <c r="Q831" s="186">
        <f t="shared" si="113"/>
        <v>0.5005882352941177</v>
      </c>
      <c r="R831" s="153">
        <v>6800</v>
      </c>
      <c r="S831" s="153">
        <v>6800</v>
      </c>
      <c r="T831" s="59">
        <v>6800</v>
      </c>
      <c r="U831" s="59"/>
      <c r="V831" s="59"/>
      <c r="W831" s="32">
        <f t="shared" si="114"/>
        <v>6800</v>
      </c>
    </row>
    <row r="832" spans="1:23" ht="24">
      <c r="A832" s="25"/>
      <c r="B832" s="25"/>
      <c r="C832" s="26">
        <v>4440</v>
      </c>
      <c r="D832" s="27" t="s">
        <v>44</v>
      </c>
      <c r="E832" s="93">
        <v>33500</v>
      </c>
      <c r="F832" s="11">
        <v>34597</v>
      </c>
      <c r="G832" s="1">
        <v>34600</v>
      </c>
      <c r="H832" s="59">
        <v>35690</v>
      </c>
      <c r="I832" s="59"/>
      <c r="J832" s="59">
        <v>35690</v>
      </c>
      <c r="K832" s="59">
        <v>36590</v>
      </c>
      <c r="L832" s="59">
        <v>35690</v>
      </c>
      <c r="M832" s="59">
        <v>36700</v>
      </c>
      <c r="N832" s="59">
        <v>40400</v>
      </c>
      <c r="O832" s="59">
        <v>40400</v>
      </c>
      <c r="P832" s="59">
        <v>37000</v>
      </c>
      <c r="Q832" s="186">
        <f t="shared" si="113"/>
        <v>0.9158415841584159</v>
      </c>
      <c r="R832" s="153">
        <v>51500</v>
      </c>
      <c r="S832" s="153">
        <v>43000</v>
      </c>
      <c r="T832" s="59">
        <v>47200</v>
      </c>
      <c r="U832" s="59"/>
      <c r="V832" s="59"/>
      <c r="W832" s="32">
        <f t="shared" si="114"/>
        <v>47200</v>
      </c>
    </row>
    <row r="833" spans="1:23" ht="12">
      <c r="A833" s="25"/>
      <c r="B833" s="25"/>
      <c r="C833" s="26">
        <v>4480</v>
      </c>
      <c r="D833" s="27" t="s">
        <v>61</v>
      </c>
      <c r="E833" s="93">
        <v>1430</v>
      </c>
      <c r="F833" s="11">
        <v>1430</v>
      </c>
      <c r="G833" s="1">
        <v>1500</v>
      </c>
      <c r="H833" s="59">
        <v>1500</v>
      </c>
      <c r="I833" s="59"/>
      <c r="J833" s="59">
        <v>1500</v>
      </c>
      <c r="K833" s="59">
        <v>1500</v>
      </c>
      <c r="L833" s="59">
        <v>2360</v>
      </c>
      <c r="M833" s="59">
        <v>2400</v>
      </c>
      <c r="N833" s="59">
        <v>1500</v>
      </c>
      <c r="O833" s="59">
        <v>1500</v>
      </c>
      <c r="P833" s="59">
        <v>1250</v>
      </c>
      <c r="Q833" s="186">
        <f t="shared" si="113"/>
        <v>0.8333333333333334</v>
      </c>
      <c r="R833" s="153">
        <v>2400</v>
      </c>
      <c r="S833" s="153">
        <v>2500</v>
      </c>
      <c r="T833" s="59">
        <v>2400</v>
      </c>
      <c r="U833" s="59"/>
      <c r="V833" s="59"/>
      <c r="W833" s="32">
        <f t="shared" si="114"/>
        <v>2400</v>
      </c>
    </row>
    <row r="834" spans="1:23" ht="24">
      <c r="A834" s="25"/>
      <c r="B834" s="25"/>
      <c r="C834" s="26">
        <v>4520</v>
      </c>
      <c r="D834" s="27" t="s">
        <v>191</v>
      </c>
      <c r="E834" s="93">
        <v>4600</v>
      </c>
      <c r="F834" s="11">
        <v>4600</v>
      </c>
      <c r="G834" s="1">
        <v>4600</v>
      </c>
      <c r="H834" s="59">
        <v>4600</v>
      </c>
      <c r="I834" s="59"/>
      <c r="J834" s="59">
        <v>4600</v>
      </c>
      <c r="K834" s="59">
        <v>4600</v>
      </c>
      <c r="L834" s="59">
        <v>4600</v>
      </c>
      <c r="M834" s="59">
        <v>4600</v>
      </c>
      <c r="N834" s="59">
        <v>4600</v>
      </c>
      <c r="O834" s="59">
        <v>4600</v>
      </c>
      <c r="P834" s="59">
        <v>4591</v>
      </c>
      <c r="Q834" s="186">
        <f t="shared" si="113"/>
        <v>0.9980434782608696</v>
      </c>
      <c r="R834" s="153">
        <v>4600</v>
      </c>
      <c r="S834" s="153">
        <v>4600</v>
      </c>
      <c r="T834" s="59">
        <v>8968</v>
      </c>
      <c r="U834" s="59"/>
      <c r="V834" s="59"/>
      <c r="W834" s="32">
        <f t="shared" si="114"/>
        <v>8968</v>
      </c>
    </row>
    <row r="835" spans="1:23" ht="36">
      <c r="A835" s="25"/>
      <c r="B835" s="25"/>
      <c r="C835" s="26">
        <v>4700</v>
      </c>
      <c r="D835" s="27" t="s">
        <v>46</v>
      </c>
      <c r="E835" s="93">
        <v>1500</v>
      </c>
      <c r="F835" s="11">
        <v>1500</v>
      </c>
      <c r="G835" s="1">
        <v>3500</v>
      </c>
      <c r="H835" s="59">
        <v>2000</v>
      </c>
      <c r="I835" s="59"/>
      <c r="J835" s="59">
        <v>2000</v>
      </c>
      <c r="K835" s="59">
        <v>2000</v>
      </c>
      <c r="L835" s="59">
        <v>2000</v>
      </c>
      <c r="M835" s="59">
        <v>5000</v>
      </c>
      <c r="N835" s="59">
        <v>2100</v>
      </c>
      <c r="O835" s="59">
        <v>2100</v>
      </c>
      <c r="P835" s="59">
        <v>1980</v>
      </c>
      <c r="Q835" s="186">
        <f t="shared" si="113"/>
        <v>0.9428571428571428</v>
      </c>
      <c r="R835" s="153">
        <v>2500</v>
      </c>
      <c r="S835" s="153">
        <v>5000</v>
      </c>
      <c r="T835" s="59">
        <v>2100</v>
      </c>
      <c r="U835" s="59"/>
      <c r="V835" s="59"/>
      <c r="W835" s="32">
        <f t="shared" si="114"/>
        <v>2100</v>
      </c>
    </row>
    <row r="836" spans="1:23" ht="36">
      <c r="A836" s="25"/>
      <c r="B836" s="25"/>
      <c r="C836" s="26">
        <v>4740</v>
      </c>
      <c r="D836" s="27" t="s">
        <v>73</v>
      </c>
      <c r="E836" s="93">
        <v>1300</v>
      </c>
      <c r="F836" s="11">
        <v>1300</v>
      </c>
      <c r="G836" s="1">
        <v>1400</v>
      </c>
      <c r="H836" s="59">
        <v>1350</v>
      </c>
      <c r="I836" s="59"/>
      <c r="J836" s="59">
        <v>1350</v>
      </c>
      <c r="K836" s="59">
        <v>1350</v>
      </c>
      <c r="L836" s="59">
        <v>1350</v>
      </c>
      <c r="M836" s="59">
        <v>1400</v>
      </c>
      <c r="N836" s="59">
        <v>1400</v>
      </c>
      <c r="O836" s="59">
        <v>1400</v>
      </c>
      <c r="P836" s="59"/>
      <c r="Q836" s="186">
        <f t="shared" si="113"/>
        <v>0</v>
      </c>
      <c r="R836" s="153">
        <v>1400</v>
      </c>
      <c r="S836" s="153">
        <v>1400</v>
      </c>
      <c r="T836" s="59">
        <v>1400</v>
      </c>
      <c r="U836" s="59"/>
      <c r="V836" s="59"/>
      <c r="W836" s="32">
        <f t="shared" si="114"/>
        <v>1400</v>
      </c>
    </row>
    <row r="837" spans="1:23" ht="24">
      <c r="A837" s="25"/>
      <c r="B837" s="25"/>
      <c r="C837" s="26">
        <v>4750</v>
      </c>
      <c r="D837" s="27" t="s">
        <v>118</v>
      </c>
      <c r="E837" s="93">
        <v>700</v>
      </c>
      <c r="F837" s="11">
        <v>700</v>
      </c>
      <c r="G837" s="1">
        <v>4000</v>
      </c>
      <c r="H837" s="59">
        <v>1000</v>
      </c>
      <c r="I837" s="59"/>
      <c r="J837" s="59">
        <v>1000</v>
      </c>
      <c r="K837" s="59">
        <v>1000</v>
      </c>
      <c r="L837" s="59">
        <v>2000</v>
      </c>
      <c r="M837" s="59">
        <v>4000</v>
      </c>
      <c r="N837" s="59">
        <v>1000</v>
      </c>
      <c r="O837" s="59">
        <v>1000</v>
      </c>
      <c r="P837" s="59">
        <v>913</v>
      </c>
      <c r="Q837" s="186">
        <f t="shared" si="113"/>
        <v>0.913</v>
      </c>
      <c r="R837" s="153">
        <v>2000</v>
      </c>
      <c r="S837" s="153">
        <v>6000</v>
      </c>
      <c r="T837" s="59">
        <v>2000</v>
      </c>
      <c r="U837" s="59"/>
      <c r="V837" s="59"/>
      <c r="W837" s="32">
        <f t="shared" si="114"/>
        <v>2000</v>
      </c>
    </row>
    <row r="838" spans="1:23" ht="24">
      <c r="A838" s="25"/>
      <c r="B838" s="25"/>
      <c r="C838" s="26">
        <v>4780</v>
      </c>
      <c r="D838" s="27" t="s">
        <v>369</v>
      </c>
      <c r="E838" s="93"/>
      <c r="F838" s="11"/>
      <c r="G838" s="1"/>
      <c r="H838" s="59"/>
      <c r="I838" s="59"/>
      <c r="J838" s="59"/>
      <c r="K838" s="59"/>
      <c r="L838" s="59"/>
      <c r="M838" s="59"/>
      <c r="N838" s="59"/>
      <c r="O838" s="59"/>
      <c r="P838" s="59"/>
      <c r="Q838" s="186"/>
      <c r="R838" s="153"/>
      <c r="S838" s="153"/>
      <c r="T838" s="59">
        <v>10800</v>
      </c>
      <c r="U838" s="59"/>
      <c r="V838" s="59"/>
      <c r="W838" s="32">
        <f t="shared" si="114"/>
        <v>10800</v>
      </c>
    </row>
    <row r="839" spans="1:23" ht="24">
      <c r="A839" s="8"/>
      <c r="B839" s="8"/>
      <c r="C839" s="26">
        <v>6060</v>
      </c>
      <c r="D839" s="10" t="s">
        <v>50</v>
      </c>
      <c r="E839" s="55">
        <v>0</v>
      </c>
      <c r="F839" s="55">
        <v>26500</v>
      </c>
      <c r="G839" s="56">
        <v>0</v>
      </c>
      <c r="H839" s="56">
        <v>0</v>
      </c>
      <c r="I839" s="56"/>
      <c r="J839" s="56">
        <v>0</v>
      </c>
      <c r="K839" s="56">
        <v>9000</v>
      </c>
      <c r="L839" s="56">
        <v>9000</v>
      </c>
      <c r="M839" s="56">
        <v>8000</v>
      </c>
      <c r="N839" s="56">
        <v>0</v>
      </c>
      <c r="O839" s="56">
        <v>30000</v>
      </c>
      <c r="P839" s="56"/>
      <c r="Q839" s="186">
        <f t="shared" si="113"/>
        <v>0</v>
      </c>
      <c r="R839" s="154">
        <v>30000</v>
      </c>
      <c r="S839" s="154">
        <v>8000</v>
      </c>
      <c r="T839" s="56">
        <v>0</v>
      </c>
      <c r="U839" s="56"/>
      <c r="V839" s="56"/>
      <c r="W839" s="32">
        <f t="shared" si="114"/>
        <v>0</v>
      </c>
    </row>
    <row r="840" spans="1:23" ht="12">
      <c r="A840" s="8"/>
      <c r="B840" s="8"/>
      <c r="C840" s="26"/>
      <c r="D840" s="10"/>
      <c r="E840" s="55"/>
      <c r="F840" s="55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186"/>
      <c r="R840" s="154"/>
      <c r="S840" s="154"/>
      <c r="T840" s="56"/>
      <c r="U840" s="56"/>
      <c r="V840" s="56"/>
      <c r="W840" s="32"/>
    </row>
    <row r="841" spans="1:23" ht="12">
      <c r="A841" s="33"/>
      <c r="B841" s="33"/>
      <c r="C841" s="36"/>
      <c r="D841" s="42" t="s">
        <v>192</v>
      </c>
      <c r="E841" s="12">
        <f>SUM(E842:E864)</f>
        <v>3500500</v>
      </c>
      <c r="F841" s="12">
        <f>SUM(F842:F864)</f>
        <v>3730303</v>
      </c>
      <c r="G841" s="12">
        <f>SUM(G842:G864)</f>
        <v>4003400</v>
      </c>
      <c r="H841" s="12">
        <f>SUM(H842:H864)</f>
        <v>3873788</v>
      </c>
      <c r="I841" s="12"/>
      <c r="J841" s="37">
        <f>SUM(J842:J864)</f>
        <v>3775850</v>
      </c>
      <c r="K841" s="37">
        <f>SUM(K842:K864)</f>
        <v>4325845</v>
      </c>
      <c r="L841" s="37">
        <f>SUM(L842:L864)</f>
        <v>4325845</v>
      </c>
      <c r="M841" s="37">
        <f>SUM(M842:M864)</f>
        <v>4859210</v>
      </c>
      <c r="N841" s="37">
        <v>4294360</v>
      </c>
      <c r="O841" s="37">
        <v>4181360</v>
      </c>
      <c r="P841" s="37">
        <f>SUM(P842:P864)</f>
        <v>2133223</v>
      </c>
      <c r="Q841" s="186">
        <f t="shared" si="113"/>
        <v>0.5101744408517803</v>
      </c>
      <c r="R841" s="157">
        <f>SUM(R842:R865)</f>
        <v>4227604</v>
      </c>
      <c r="S841" s="157">
        <f>SUM(S842:S865)</f>
        <v>4309000</v>
      </c>
      <c r="T841" s="37">
        <v>3817680</v>
      </c>
      <c r="U841" s="37">
        <f>SUM(U842:U865)</f>
        <v>153200</v>
      </c>
      <c r="V841" s="37">
        <f>SUM(V842:V865)</f>
        <v>53200</v>
      </c>
      <c r="W841" s="32">
        <f t="shared" si="114"/>
        <v>3917680</v>
      </c>
    </row>
    <row r="842" spans="1:23" ht="24">
      <c r="A842" s="25"/>
      <c r="B842" s="25"/>
      <c r="C842" s="26">
        <v>3020</v>
      </c>
      <c r="D842" s="27" t="s">
        <v>188</v>
      </c>
      <c r="E842" s="93">
        <v>68800</v>
      </c>
      <c r="F842" s="93">
        <v>25000</v>
      </c>
      <c r="G842" s="1">
        <v>14500</v>
      </c>
      <c r="H842" s="1">
        <v>14500</v>
      </c>
      <c r="I842" s="1"/>
      <c r="J842" s="12">
        <v>14500</v>
      </c>
      <c r="K842" s="12">
        <v>16758</v>
      </c>
      <c r="L842" s="12">
        <v>16758</v>
      </c>
      <c r="M842" s="12">
        <v>11500</v>
      </c>
      <c r="N842" s="12">
        <v>11500</v>
      </c>
      <c r="O842" s="12">
        <v>11500</v>
      </c>
      <c r="P842" s="12">
        <v>1861</v>
      </c>
      <c r="Q842" s="186">
        <f t="shared" si="113"/>
        <v>0.16182608695652173</v>
      </c>
      <c r="R842" s="155">
        <v>11500</v>
      </c>
      <c r="S842" s="155">
        <v>10000</v>
      </c>
      <c r="T842" s="12">
        <v>10000</v>
      </c>
      <c r="U842" s="12">
        <v>3000</v>
      </c>
      <c r="V842" s="12"/>
      <c r="W842" s="32">
        <f t="shared" si="114"/>
        <v>13000</v>
      </c>
    </row>
    <row r="843" spans="1:23" ht="24">
      <c r="A843" s="25"/>
      <c r="B843" s="25"/>
      <c r="C843" s="26">
        <v>4010</v>
      </c>
      <c r="D843" s="27" t="s">
        <v>29</v>
      </c>
      <c r="E843" s="93">
        <v>1904500</v>
      </c>
      <c r="F843" s="1">
        <v>2045720</v>
      </c>
      <c r="G843" s="1">
        <v>2187500</v>
      </c>
      <c r="H843" s="1">
        <v>2184838</v>
      </c>
      <c r="I843" s="1"/>
      <c r="J843" s="12">
        <v>2088900</v>
      </c>
      <c r="K843" s="12">
        <v>1983434</v>
      </c>
      <c r="L843" s="12">
        <v>1983434</v>
      </c>
      <c r="M843" s="12">
        <v>2098440</v>
      </c>
      <c r="N843" s="12">
        <v>1891100</v>
      </c>
      <c r="O843" s="12">
        <v>1778100</v>
      </c>
      <c r="P843" s="12">
        <v>955079</v>
      </c>
      <c r="Q843" s="186">
        <f t="shared" si="113"/>
        <v>0.5371345818570384</v>
      </c>
      <c r="R843" s="155">
        <v>1853690</v>
      </c>
      <c r="S843" s="155">
        <v>1963800</v>
      </c>
      <c r="T843" s="12">
        <v>1781075</v>
      </c>
      <c r="U843" s="12"/>
      <c r="V843" s="12">
        <v>44000</v>
      </c>
      <c r="W843" s="32">
        <f t="shared" si="114"/>
        <v>1737075</v>
      </c>
    </row>
    <row r="844" spans="1:23" ht="12">
      <c r="A844" s="25"/>
      <c r="B844" s="25"/>
      <c r="C844" s="26">
        <v>4040</v>
      </c>
      <c r="D844" s="27" t="s">
        <v>30</v>
      </c>
      <c r="E844" s="93">
        <v>161000</v>
      </c>
      <c r="F844" s="11">
        <v>154247</v>
      </c>
      <c r="G844" s="1">
        <v>168000</v>
      </c>
      <c r="H844" s="1">
        <v>176860</v>
      </c>
      <c r="I844" s="1"/>
      <c r="J844" s="12">
        <v>176860</v>
      </c>
      <c r="K844" s="12">
        <v>154472</v>
      </c>
      <c r="L844" s="12">
        <v>154472</v>
      </c>
      <c r="M844" s="12">
        <v>156450</v>
      </c>
      <c r="N844" s="12">
        <v>154100</v>
      </c>
      <c r="O844" s="12">
        <v>164570</v>
      </c>
      <c r="P844" s="12">
        <v>164569</v>
      </c>
      <c r="Q844" s="186">
        <f t="shared" si="113"/>
        <v>0.9999939235583643</v>
      </c>
      <c r="R844" s="155">
        <v>164570</v>
      </c>
      <c r="S844" s="155">
        <v>152200</v>
      </c>
      <c r="T844" s="12">
        <v>156149</v>
      </c>
      <c r="U844" s="12"/>
      <c r="V844" s="12"/>
      <c r="W844" s="32">
        <f t="shared" si="114"/>
        <v>156149</v>
      </c>
    </row>
    <row r="845" spans="1:23" ht="24">
      <c r="A845" s="25"/>
      <c r="B845" s="25"/>
      <c r="C845" s="26">
        <v>4110</v>
      </c>
      <c r="D845" s="27" t="s">
        <v>31</v>
      </c>
      <c r="E845" s="93">
        <v>346500</v>
      </c>
      <c r="F845" s="11">
        <v>359650</v>
      </c>
      <c r="G845" s="1">
        <v>354400</v>
      </c>
      <c r="H845" s="1">
        <v>361700</v>
      </c>
      <c r="I845" s="1"/>
      <c r="J845" s="12">
        <v>360000</v>
      </c>
      <c r="K845" s="12">
        <v>341776</v>
      </c>
      <c r="L845" s="12">
        <v>341776</v>
      </c>
      <c r="M845" s="12">
        <v>345600</v>
      </c>
      <c r="N845" s="12">
        <v>312300</v>
      </c>
      <c r="O845" s="12">
        <v>301830</v>
      </c>
      <c r="P845" s="12">
        <v>161913</v>
      </c>
      <c r="Q845" s="186">
        <f t="shared" si="113"/>
        <v>0.5364377298479276</v>
      </c>
      <c r="R845" s="155">
        <v>307760</v>
      </c>
      <c r="S845" s="155">
        <v>326700</v>
      </c>
      <c r="T845" s="12">
        <v>299911</v>
      </c>
      <c r="U845" s="12"/>
      <c r="V845" s="12"/>
      <c r="W845" s="32">
        <f t="shared" si="114"/>
        <v>299911</v>
      </c>
    </row>
    <row r="846" spans="1:23" ht="12">
      <c r="A846" s="25"/>
      <c r="B846" s="25"/>
      <c r="C846" s="26">
        <v>4120</v>
      </c>
      <c r="D846" s="27" t="s">
        <v>32</v>
      </c>
      <c r="E846" s="93">
        <v>49900</v>
      </c>
      <c r="F846" s="11">
        <v>52290</v>
      </c>
      <c r="G846" s="1">
        <v>54700</v>
      </c>
      <c r="H846" s="1">
        <v>55800</v>
      </c>
      <c r="I846" s="1"/>
      <c r="J846" s="12">
        <v>55500</v>
      </c>
      <c r="K846" s="12">
        <v>52979</v>
      </c>
      <c r="L846" s="12">
        <v>52979</v>
      </c>
      <c r="M846" s="12">
        <v>55760</v>
      </c>
      <c r="N846" s="12">
        <v>48200</v>
      </c>
      <c r="O846" s="12">
        <v>48200</v>
      </c>
      <c r="P846" s="12">
        <v>23680</v>
      </c>
      <c r="Q846" s="186">
        <f t="shared" si="113"/>
        <v>0.4912863070539419</v>
      </c>
      <c r="R846" s="155">
        <v>49124</v>
      </c>
      <c r="S846" s="155">
        <v>50900</v>
      </c>
      <c r="T846" s="12">
        <v>47433</v>
      </c>
      <c r="U846" s="12"/>
      <c r="V846" s="12"/>
      <c r="W846" s="32">
        <f t="shared" si="114"/>
        <v>47433</v>
      </c>
    </row>
    <row r="847" spans="1:23" ht="12">
      <c r="A847" s="25"/>
      <c r="B847" s="25"/>
      <c r="C847" s="26">
        <v>4170</v>
      </c>
      <c r="D847" s="27" t="s">
        <v>137</v>
      </c>
      <c r="E847" s="93">
        <v>5500</v>
      </c>
      <c r="F847" s="11">
        <v>5620</v>
      </c>
      <c r="G847" s="1">
        <v>96000</v>
      </c>
      <c r="H847" s="1">
        <v>96000</v>
      </c>
      <c r="I847" s="1"/>
      <c r="J847" s="12">
        <v>96000</v>
      </c>
      <c r="K847" s="12">
        <v>96000</v>
      </c>
      <c r="L847" s="12">
        <v>96000</v>
      </c>
      <c r="M847" s="12">
        <v>99750</v>
      </c>
      <c r="N847" s="12">
        <v>99700</v>
      </c>
      <c r="O847" s="12">
        <v>99700</v>
      </c>
      <c r="P847" s="12">
        <v>19968</v>
      </c>
      <c r="Q847" s="186">
        <f t="shared" si="113"/>
        <v>0.20028084252758274</v>
      </c>
      <c r="R847" s="155">
        <v>55000</v>
      </c>
      <c r="S847" s="155">
        <v>46200</v>
      </c>
      <c r="T847" s="12">
        <v>46200</v>
      </c>
      <c r="U847" s="12">
        <v>44000</v>
      </c>
      <c r="V847" s="12"/>
      <c r="W847" s="32">
        <f t="shared" si="114"/>
        <v>90200</v>
      </c>
    </row>
    <row r="848" spans="1:23" ht="12">
      <c r="A848" s="25"/>
      <c r="B848" s="25"/>
      <c r="C848" s="26">
        <v>4210</v>
      </c>
      <c r="D848" s="27" t="s">
        <v>34</v>
      </c>
      <c r="E848" s="93">
        <v>472000</v>
      </c>
      <c r="F848" s="11">
        <v>472000</v>
      </c>
      <c r="G848" s="1">
        <v>616700</v>
      </c>
      <c r="H848" s="1">
        <v>482900</v>
      </c>
      <c r="I848" s="1"/>
      <c r="J848" s="12">
        <v>482900</v>
      </c>
      <c r="K848" s="12">
        <v>538492</v>
      </c>
      <c r="L848" s="12">
        <v>538492</v>
      </c>
      <c r="M848" s="12">
        <v>828200</v>
      </c>
      <c r="N848" s="12">
        <v>559000</v>
      </c>
      <c r="O848" s="12">
        <v>559000</v>
      </c>
      <c r="P848" s="12">
        <v>213601</v>
      </c>
      <c r="Q848" s="186">
        <f t="shared" si="113"/>
        <v>0.3821127012522361</v>
      </c>
      <c r="R848" s="155">
        <v>562500</v>
      </c>
      <c r="S848" s="155">
        <v>489000</v>
      </c>
      <c r="T848" s="12">
        <v>489000</v>
      </c>
      <c r="U848" s="12">
        <v>100000</v>
      </c>
      <c r="V848" s="12">
        <v>3000</v>
      </c>
      <c r="W848" s="32">
        <f t="shared" si="114"/>
        <v>586000</v>
      </c>
    </row>
    <row r="849" spans="1:23" ht="12">
      <c r="A849" s="25"/>
      <c r="B849" s="25"/>
      <c r="C849" s="26">
        <v>4220</v>
      </c>
      <c r="D849" s="27" t="s">
        <v>370</v>
      </c>
      <c r="E849" s="93"/>
      <c r="F849" s="11"/>
      <c r="G849" s="1"/>
      <c r="H849" s="1"/>
      <c r="I849" s="1"/>
      <c r="J849" s="12"/>
      <c r="K849" s="12"/>
      <c r="L849" s="12"/>
      <c r="M849" s="12"/>
      <c r="N849" s="12"/>
      <c r="O849" s="12"/>
      <c r="P849" s="12"/>
      <c r="Q849" s="186"/>
      <c r="R849" s="155"/>
      <c r="S849" s="155"/>
      <c r="T849" s="12">
        <v>198000</v>
      </c>
      <c r="U849" s="12"/>
      <c r="V849" s="12"/>
      <c r="W849" s="32">
        <f t="shared" si="114"/>
        <v>198000</v>
      </c>
    </row>
    <row r="850" spans="1:23" ht="36">
      <c r="A850" s="25"/>
      <c r="B850" s="25"/>
      <c r="C850" s="26">
        <v>4230</v>
      </c>
      <c r="D850" s="27" t="s">
        <v>88</v>
      </c>
      <c r="E850" s="93">
        <v>62950</v>
      </c>
      <c r="F850" s="11">
        <v>70705</v>
      </c>
      <c r="G850" s="1">
        <v>70000</v>
      </c>
      <c r="H850" s="1">
        <v>74730</v>
      </c>
      <c r="I850" s="1"/>
      <c r="J850" s="12">
        <v>74730</v>
      </c>
      <c r="K850" s="12">
        <v>84730</v>
      </c>
      <c r="L850" s="12">
        <v>84730</v>
      </c>
      <c r="M850" s="12">
        <v>85060</v>
      </c>
      <c r="N850" s="12">
        <v>88000</v>
      </c>
      <c r="O850" s="12">
        <v>88000</v>
      </c>
      <c r="P850" s="12">
        <v>35663</v>
      </c>
      <c r="Q850" s="186">
        <f t="shared" si="113"/>
        <v>0.4052613636363636</v>
      </c>
      <c r="R850" s="155">
        <v>88000</v>
      </c>
      <c r="S850" s="155">
        <v>78000</v>
      </c>
      <c r="T850" s="12">
        <v>78000</v>
      </c>
      <c r="U850" s="12"/>
      <c r="V850" s="12"/>
      <c r="W850" s="32">
        <f t="shared" si="114"/>
        <v>78000</v>
      </c>
    </row>
    <row r="851" spans="1:23" ht="12">
      <c r="A851" s="25"/>
      <c r="B851" s="25"/>
      <c r="C851" s="26">
        <v>4260</v>
      </c>
      <c r="D851" s="27" t="s">
        <v>35</v>
      </c>
      <c r="E851" s="93">
        <v>105800</v>
      </c>
      <c r="F851" s="11">
        <v>105800</v>
      </c>
      <c r="G851" s="1">
        <v>113000</v>
      </c>
      <c r="H851" s="1">
        <v>108200</v>
      </c>
      <c r="I851" s="1"/>
      <c r="J851" s="12">
        <v>108200</v>
      </c>
      <c r="K851" s="12">
        <v>118200</v>
      </c>
      <c r="L851" s="12">
        <v>118200</v>
      </c>
      <c r="M851" s="12">
        <v>130000</v>
      </c>
      <c r="N851" s="12">
        <v>121600</v>
      </c>
      <c r="O851" s="12">
        <v>121600</v>
      </c>
      <c r="P851" s="12">
        <v>63016</v>
      </c>
      <c r="Q851" s="186">
        <f t="shared" si="113"/>
        <v>0.5182236842105263</v>
      </c>
      <c r="R851" s="155">
        <v>121600</v>
      </c>
      <c r="S851" s="155">
        <v>129900</v>
      </c>
      <c r="T851" s="12">
        <v>127680</v>
      </c>
      <c r="U851" s="12"/>
      <c r="V851" s="12"/>
      <c r="W851" s="32">
        <f t="shared" si="114"/>
        <v>127680</v>
      </c>
    </row>
    <row r="852" spans="1:23" ht="12">
      <c r="A852" s="25"/>
      <c r="B852" s="25"/>
      <c r="C852" s="26">
        <v>4270</v>
      </c>
      <c r="D852" s="27" t="s">
        <v>36</v>
      </c>
      <c r="E852" s="93">
        <v>30000</v>
      </c>
      <c r="F852" s="11">
        <v>147150</v>
      </c>
      <c r="G852" s="1">
        <v>34100</v>
      </c>
      <c r="H852" s="1">
        <v>34100</v>
      </c>
      <c r="I852" s="1"/>
      <c r="J852" s="1">
        <v>34100</v>
      </c>
      <c r="K852" s="1">
        <v>107100</v>
      </c>
      <c r="L852" s="1">
        <v>107100</v>
      </c>
      <c r="M852" s="1">
        <v>39000</v>
      </c>
      <c r="N852" s="1">
        <v>39000</v>
      </c>
      <c r="O852" s="1">
        <v>39000</v>
      </c>
      <c r="P852" s="1">
        <v>12152</v>
      </c>
      <c r="Q852" s="186">
        <f t="shared" si="113"/>
        <v>0.3115897435897436</v>
      </c>
      <c r="R852" s="156">
        <v>44000</v>
      </c>
      <c r="S852" s="156">
        <v>37800</v>
      </c>
      <c r="T852" s="1">
        <v>37800</v>
      </c>
      <c r="U852" s="1"/>
      <c r="V852" s="1"/>
      <c r="W852" s="32">
        <f t="shared" si="114"/>
        <v>37800</v>
      </c>
    </row>
    <row r="853" spans="1:23" ht="12">
      <c r="A853" s="25"/>
      <c r="B853" s="25"/>
      <c r="C853" s="26">
        <v>4280</v>
      </c>
      <c r="D853" s="27" t="s">
        <v>37</v>
      </c>
      <c r="E853" s="93">
        <v>6500</v>
      </c>
      <c r="F853" s="11">
        <v>6500</v>
      </c>
      <c r="G853" s="1">
        <v>5450</v>
      </c>
      <c r="H853" s="1">
        <v>5450</v>
      </c>
      <c r="I853" s="1"/>
      <c r="J853" s="1">
        <v>5450</v>
      </c>
      <c r="K853" s="1">
        <v>4800</v>
      </c>
      <c r="L853" s="1">
        <v>4800</v>
      </c>
      <c r="M853" s="1">
        <v>7250</v>
      </c>
      <c r="N853" s="1">
        <v>4900</v>
      </c>
      <c r="O853" s="1">
        <v>4900</v>
      </c>
      <c r="P853" s="1">
        <v>1433</v>
      </c>
      <c r="Q853" s="186">
        <f t="shared" si="113"/>
        <v>0.29244897959183674</v>
      </c>
      <c r="R853" s="156">
        <v>4900</v>
      </c>
      <c r="S853" s="156">
        <v>4300</v>
      </c>
      <c r="T853" s="1">
        <v>4300</v>
      </c>
      <c r="U853" s="1"/>
      <c r="V853" s="1"/>
      <c r="W853" s="32">
        <f t="shared" si="114"/>
        <v>4300</v>
      </c>
    </row>
    <row r="854" spans="1:23" ht="12">
      <c r="A854" s="25"/>
      <c r="B854" s="25"/>
      <c r="C854" s="26">
        <v>4300</v>
      </c>
      <c r="D854" s="27" t="s">
        <v>17</v>
      </c>
      <c r="E854" s="93">
        <v>131050</v>
      </c>
      <c r="F854" s="11">
        <v>125050</v>
      </c>
      <c r="G854" s="1">
        <v>126500</v>
      </c>
      <c r="H854" s="1">
        <v>126500</v>
      </c>
      <c r="I854" s="1"/>
      <c r="J854" s="1">
        <v>126500</v>
      </c>
      <c r="K854" s="1">
        <v>666700</v>
      </c>
      <c r="L854" s="1">
        <v>666700</v>
      </c>
      <c r="M854" s="1">
        <v>836810</v>
      </c>
      <c r="N854" s="1">
        <v>802000</v>
      </c>
      <c r="O854" s="1">
        <v>802000</v>
      </c>
      <c r="P854" s="1">
        <v>367931</v>
      </c>
      <c r="Q854" s="186">
        <f t="shared" si="113"/>
        <v>0.45876683291770576</v>
      </c>
      <c r="R854" s="156">
        <v>802000</v>
      </c>
      <c r="S854" s="156">
        <v>738500</v>
      </c>
      <c r="T854" s="1">
        <v>378927</v>
      </c>
      <c r="U854" s="1"/>
      <c r="V854" s="1">
        <v>6200</v>
      </c>
      <c r="W854" s="32">
        <f t="shared" si="114"/>
        <v>372727</v>
      </c>
    </row>
    <row r="855" spans="1:23" ht="24">
      <c r="A855" s="25"/>
      <c r="B855" s="25"/>
      <c r="C855" s="26">
        <v>4350</v>
      </c>
      <c r="D855" s="27" t="s">
        <v>38</v>
      </c>
      <c r="E855" s="93">
        <v>4000</v>
      </c>
      <c r="F855" s="11">
        <v>2000</v>
      </c>
      <c r="G855" s="1">
        <v>2500</v>
      </c>
      <c r="H855" s="1">
        <v>2050</v>
      </c>
      <c r="I855" s="1"/>
      <c r="J855" s="12">
        <v>2050</v>
      </c>
      <c r="K855" s="12">
        <v>2050</v>
      </c>
      <c r="L855" s="12">
        <v>2050</v>
      </c>
      <c r="M855" s="12">
        <v>2100</v>
      </c>
      <c r="N855" s="12">
        <v>2100</v>
      </c>
      <c r="O855" s="12">
        <v>2100</v>
      </c>
      <c r="P855" s="12">
        <v>1010</v>
      </c>
      <c r="Q855" s="186">
        <f t="shared" si="113"/>
        <v>0.48095238095238096</v>
      </c>
      <c r="R855" s="155">
        <v>2100</v>
      </c>
      <c r="S855" s="155">
        <v>2000</v>
      </c>
      <c r="T855" s="12">
        <v>2000</v>
      </c>
      <c r="U855" s="12"/>
      <c r="V855" s="12"/>
      <c r="W855" s="32">
        <f t="shared" si="114"/>
        <v>2000</v>
      </c>
    </row>
    <row r="856" spans="1:23" ht="36">
      <c r="A856" s="25"/>
      <c r="B856" s="25"/>
      <c r="C856" s="26">
        <v>4360</v>
      </c>
      <c r="D856" s="27" t="s">
        <v>130</v>
      </c>
      <c r="E856" s="93">
        <v>9000</v>
      </c>
      <c r="F856" s="11">
        <v>9000</v>
      </c>
      <c r="G856" s="1">
        <v>8000</v>
      </c>
      <c r="H856" s="1">
        <v>8000</v>
      </c>
      <c r="I856" s="1"/>
      <c r="J856" s="12">
        <v>8000</v>
      </c>
      <c r="K856" s="12">
        <v>7400</v>
      </c>
      <c r="L856" s="12">
        <v>7400</v>
      </c>
      <c r="M856" s="12">
        <v>6640</v>
      </c>
      <c r="N856" s="12">
        <v>7600</v>
      </c>
      <c r="O856" s="12">
        <v>7600</v>
      </c>
      <c r="P856" s="12">
        <v>2028</v>
      </c>
      <c r="Q856" s="186">
        <f t="shared" si="113"/>
        <v>0.2668421052631579</v>
      </c>
      <c r="R856" s="155">
        <v>4700</v>
      </c>
      <c r="S856" s="155">
        <v>4300</v>
      </c>
      <c r="T856" s="12">
        <v>4300</v>
      </c>
      <c r="U856" s="12">
        <v>2000</v>
      </c>
      <c r="V856" s="12"/>
      <c r="W856" s="32">
        <f t="shared" si="114"/>
        <v>6300</v>
      </c>
    </row>
    <row r="857" spans="1:23" ht="36">
      <c r="A857" s="25"/>
      <c r="B857" s="25"/>
      <c r="C857" s="26">
        <v>4370</v>
      </c>
      <c r="D857" s="27" t="s">
        <v>135</v>
      </c>
      <c r="E857" s="93">
        <v>19000</v>
      </c>
      <c r="F857" s="11">
        <v>19000</v>
      </c>
      <c r="G857" s="1">
        <v>12950</v>
      </c>
      <c r="H857" s="1">
        <v>12950</v>
      </c>
      <c r="I857" s="1"/>
      <c r="J857" s="12">
        <v>12950</v>
      </c>
      <c r="K857" s="12">
        <v>10650</v>
      </c>
      <c r="L857" s="12">
        <v>10650</v>
      </c>
      <c r="M857" s="12">
        <v>8700</v>
      </c>
      <c r="N857" s="12">
        <v>11000</v>
      </c>
      <c r="O857" s="12">
        <v>11000</v>
      </c>
      <c r="P857" s="12">
        <v>2855</v>
      </c>
      <c r="Q857" s="186">
        <f t="shared" si="113"/>
        <v>0.2595454545454545</v>
      </c>
      <c r="R857" s="155">
        <v>7500</v>
      </c>
      <c r="S857" s="155">
        <v>6300</v>
      </c>
      <c r="T857" s="12">
        <v>6300</v>
      </c>
      <c r="U857" s="12">
        <v>2200</v>
      </c>
      <c r="V857" s="12"/>
      <c r="W857" s="32">
        <f t="shared" si="114"/>
        <v>8500</v>
      </c>
    </row>
    <row r="858" spans="1:23" ht="12">
      <c r="A858" s="25"/>
      <c r="B858" s="25"/>
      <c r="C858" s="26">
        <v>4410</v>
      </c>
      <c r="D858" s="27" t="s">
        <v>42</v>
      </c>
      <c r="E858" s="93">
        <v>4000</v>
      </c>
      <c r="F858" s="11">
        <v>1300</v>
      </c>
      <c r="G858" s="1">
        <v>3600</v>
      </c>
      <c r="H858" s="1">
        <v>1330</v>
      </c>
      <c r="I858" s="1"/>
      <c r="J858" s="12">
        <v>1330</v>
      </c>
      <c r="K858" s="12">
        <v>4200</v>
      </c>
      <c r="L858" s="12">
        <v>4200</v>
      </c>
      <c r="M858" s="12">
        <v>4200</v>
      </c>
      <c r="N858" s="12">
        <v>4300</v>
      </c>
      <c r="O858" s="12">
        <v>4300</v>
      </c>
      <c r="P858" s="12">
        <v>1969</v>
      </c>
      <c r="Q858" s="186">
        <f t="shared" si="113"/>
        <v>0.45790697674418607</v>
      </c>
      <c r="R858" s="155">
        <v>4300</v>
      </c>
      <c r="S858" s="155">
        <v>4500</v>
      </c>
      <c r="T858" s="12">
        <v>4300</v>
      </c>
      <c r="U858" s="12"/>
      <c r="V858" s="12"/>
      <c r="W858" s="32">
        <f t="shared" si="114"/>
        <v>4300</v>
      </c>
    </row>
    <row r="859" spans="1:23" ht="12">
      <c r="A859" s="25"/>
      <c r="B859" s="25"/>
      <c r="C859" s="26">
        <v>4430</v>
      </c>
      <c r="D859" s="27" t="s">
        <v>43</v>
      </c>
      <c r="E859" s="93">
        <v>9200</v>
      </c>
      <c r="F859" s="11">
        <v>9200</v>
      </c>
      <c r="G859" s="1">
        <v>9000</v>
      </c>
      <c r="H859" s="1">
        <v>9000</v>
      </c>
      <c r="I859" s="1"/>
      <c r="J859" s="12">
        <v>9000</v>
      </c>
      <c r="K859" s="12">
        <v>9500</v>
      </c>
      <c r="L859" s="12">
        <v>9500</v>
      </c>
      <c r="M859" s="12">
        <v>13000</v>
      </c>
      <c r="N859" s="12">
        <v>9800</v>
      </c>
      <c r="O859" s="12">
        <v>9800</v>
      </c>
      <c r="P859" s="12">
        <v>8310</v>
      </c>
      <c r="Q859" s="186">
        <f t="shared" si="113"/>
        <v>0.8479591836734693</v>
      </c>
      <c r="R859" s="155">
        <v>9800</v>
      </c>
      <c r="S859" s="155">
        <v>10200</v>
      </c>
      <c r="T859" s="12">
        <v>10200</v>
      </c>
      <c r="U859" s="12"/>
      <c r="V859" s="12"/>
      <c r="W859" s="32">
        <f t="shared" si="114"/>
        <v>10200</v>
      </c>
    </row>
    <row r="860" spans="1:23" ht="24">
      <c r="A860" s="25"/>
      <c r="B860" s="25"/>
      <c r="C860" s="26">
        <v>4440</v>
      </c>
      <c r="D860" s="27" t="s">
        <v>44</v>
      </c>
      <c r="E860" s="93">
        <v>80300</v>
      </c>
      <c r="F860" s="11">
        <v>82873</v>
      </c>
      <c r="G860" s="1">
        <v>81000</v>
      </c>
      <c r="H860" s="1">
        <v>80930</v>
      </c>
      <c r="I860" s="1"/>
      <c r="J860" s="12">
        <v>80930</v>
      </c>
      <c r="K860" s="12">
        <v>82749</v>
      </c>
      <c r="L860" s="12">
        <v>82749</v>
      </c>
      <c r="M860" s="12">
        <v>90200</v>
      </c>
      <c r="N860" s="12">
        <v>87160</v>
      </c>
      <c r="O860" s="12">
        <v>87160</v>
      </c>
      <c r="P860" s="12">
        <v>75370</v>
      </c>
      <c r="Q860" s="186">
        <f t="shared" si="113"/>
        <v>0.8647315282239559</v>
      </c>
      <c r="R860" s="155">
        <v>87160</v>
      </c>
      <c r="S860" s="155">
        <v>81900</v>
      </c>
      <c r="T860" s="12">
        <v>83605</v>
      </c>
      <c r="U860" s="12"/>
      <c r="V860" s="12"/>
      <c r="W860" s="32">
        <f t="shared" si="114"/>
        <v>83605</v>
      </c>
    </row>
    <row r="861" spans="1:23" ht="12">
      <c r="A861" s="25"/>
      <c r="B861" s="25"/>
      <c r="C861" s="26">
        <v>4480</v>
      </c>
      <c r="D861" s="27" t="s">
        <v>61</v>
      </c>
      <c r="E861" s="93">
        <v>24700</v>
      </c>
      <c r="F861" s="11">
        <v>25498</v>
      </c>
      <c r="G861" s="1">
        <v>28500</v>
      </c>
      <c r="H861" s="1">
        <v>26100</v>
      </c>
      <c r="I861" s="1"/>
      <c r="J861" s="12">
        <v>26100</v>
      </c>
      <c r="K861" s="12">
        <v>26100</v>
      </c>
      <c r="L861" s="12">
        <v>26100</v>
      </c>
      <c r="M861" s="12">
        <v>26850</v>
      </c>
      <c r="N861" s="12">
        <v>26900</v>
      </c>
      <c r="O861" s="12">
        <v>26900</v>
      </c>
      <c r="P861" s="12">
        <v>17308</v>
      </c>
      <c r="Q861" s="186">
        <f t="shared" si="113"/>
        <v>0.6434200743494424</v>
      </c>
      <c r="R861" s="155">
        <v>35807</v>
      </c>
      <c r="S861" s="155">
        <v>41200</v>
      </c>
      <c r="T861" s="12">
        <v>41200</v>
      </c>
      <c r="U861" s="12"/>
      <c r="V861" s="12"/>
      <c r="W861" s="32">
        <f t="shared" si="114"/>
        <v>41200</v>
      </c>
    </row>
    <row r="862" spans="1:23" ht="36">
      <c r="A862" s="25"/>
      <c r="B862" s="25"/>
      <c r="C862" s="26">
        <v>4700</v>
      </c>
      <c r="D862" s="27" t="s">
        <v>46</v>
      </c>
      <c r="E862" s="93">
        <v>3600</v>
      </c>
      <c r="F862" s="11">
        <v>5600</v>
      </c>
      <c r="G862" s="1">
        <v>6100</v>
      </c>
      <c r="H862" s="1">
        <v>5700</v>
      </c>
      <c r="I862" s="1"/>
      <c r="J862" s="12">
        <v>5700</v>
      </c>
      <c r="K862" s="12">
        <v>5700</v>
      </c>
      <c r="L862" s="12">
        <v>5700</v>
      </c>
      <c r="M862" s="12">
        <v>5700</v>
      </c>
      <c r="N862" s="12">
        <v>5900</v>
      </c>
      <c r="O862" s="12">
        <v>5900</v>
      </c>
      <c r="P862" s="12">
        <v>2515</v>
      </c>
      <c r="Q862" s="186">
        <f t="shared" si="113"/>
        <v>0.42627118644067796</v>
      </c>
      <c r="R862" s="155">
        <v>5900</v>
      </c>
      <c r="S862" s="155">
        <v>5700</v>
      </c>
      <c r="T862" s="12">
        <v>5700</v>
      </c>
      <c r="U862" s="12"/>
      <c r="V862" s="12"/>
      <c r="W862" s="32">
        <f t="shared" si="114"/>
        <v>5700</v>
      </c>
    </row>
    <row r="863" spans="1:23" ht="36">
      <c r="A863" s="25"/>
      <c r="B863" s="25"/>
      <c r="C863" s="26">
        <v>4740</v>
      </c>
      <c r="D863" s="27" t="s">
        <v>73</v>
      </c>
      <c r="E863" s="93">
        <v>1500</v>
      </c>
      <c r="F863" s="11">
        <v>3900</v>
      </c>
      <c r="G863" s="1">
        <v>3900</v>
      </c>
      <c r="H863" s="1">
        <v>3900</v>
      </c>
      <c r="I863" s="1"/>
      <c r="J863" s="12">
        <v>3900</v>
      </c>
      <c r="K863" s="12">
        <v>3000</v>
      </c>
      <c r="L863" s="12">
        <v>3000</v>
      </c>
      <c r="M863" s="12">
        <v>3000</v>
      </c>
      <c r="N863" s="12">
        <v>3100</v>
      </c>
      <c r="O863" s="12">
        <v>3100</v>
      </c>
      <c r="P863" s="12">
        <v>948</v>
      </c>
      <c r="Q863" s="186">
        <f t="shared" si="113"/>
        <v>0.3058064516129032</v>
      </c>
      <c r="R863" s="155">
        <v>3100</v>
      </c>
      <c r="S863" s="155">
        <v>3000</v>
      </c>
      <c r="T863" s="12">
        <v>3000</v>
      </c>
      <c r="U863" s="12"/>
      <c r="V863" s="12"/>
      <c r="W863" s="32">
        <f t="shared" si="114"/>
        <v>3000</v>
      </c>
    </row>
    <row r="864" spans="1:23" ht="24">
      <c r="A864" s="25"/>
      <c r="B864" s="25"/>
      <c r="C864" s="26">
        <v>4750</v>
      </c>
      <c r="D864" s="27" t="s">
        <v>118</v>
      </c>
      <c r="E864" s="93">
        <v>700</v>
      </c>
      <c r="F864" s="11">
        <v>2200</v>
      </c>
      <c r="G864" s="1">
        <v>7000</v>
      </c>
      <c r="H864" s="1">
        <v>2250</v>
      </c>
      <c r="I864" s="1"/>
      <c r="J864" s="12">
        <v>2250</v>
      </c>
      <c r="K864" s="12">
        <v>9055</v>
      </c>
      <c r="L864" s="12">
        <v>9055</v>
      </c>
      <c r="M864" s="12">
        <v>5000</v>
      </c>
      <c r="N864" s="12">
        <v>5100</v>
      </c>
      <c r="O864" s="12">
        <v>5100</v>
      </c>
      <c r="P864" s="12">
        <v>44</v>
      </c>
      <c r="Q864" s="186">
        <f t="shared" si="113"/>
        <v>0.008627450980392156</v>
      </c>
      <c r="R864" s="173">
        <v>2593</v>
      </c>
      <c r="S864" s="155">
        <v>2600</v>
      </c>
      <c r="T864" s="12">
        <v>2600</v>
      </c>
      <c r="U864" s="12">
        <v>2000</v>
      </c>
      <c r="V864" s="12"/>
      <c r="W864" s="32">
        <f t="shared" si="114"/>
        <v>4600</v>
      </c>
    </row>
    <row r="865" spans="1:23" ht="24" hidden="1">
      <c r="A865" s="25"/>
      <c r="B865" s="25"/>
      <c r="C865" s="26">
        <v>6060</v>
      </c>
      <c r="D865" s="10" t="s">
        <v>50</v>
      </c>
      <c r="E865" s="93"/>
      <c r="F865" s="11"/>
      <c r="G865" s="1"/>
      <c r="H865" s="1"/>
      <c r="I865" s="1"/>
      <c r="J865" s="12"/>
      <c r="K865" s="12"/>
      <c r="L865" s="12"/>
      <c r="M865" s="12"/>
      <c r="N865" s="12">
        <v>0</v>
      </c>
      <c r="O865" s="12">
        <v>0</v>
      </c>
      <c r="P865" s="12">
        <v>0</v>
      </c>
      <c r="Q865" s="186"/>
      <c r="R865" s="155">
        <v>0</v>
      </c>
      <c r="S865" s="155">
        <v>120000</v>
      </c>
      <c r="T865" s="12">
        <v>0</v>
      </c>
      <c r="U865" s="12"/>
      <c r="V865" s="12"/>
      <c r="W865" s="32">
        <f t="shared" si="114"/>
        <v>0</v>
      </c>
    </row>
    <row r="866" spans="1:23" ht="12">
      <c r="A866" s="25"/>
      <c r="B866" s="25"/>
      <c r="C866" s="36"/>
      <c r="D866" s="42" t="s">
        <v>194</v>
      </c>
      <c r="E866" s="35">
        <f>SUM(E867:E890)</f>
        <v>1772140</v>
      </c>
      <c r="F866" s="35">
        <f>SUM(F867:F890)</f>
        <v>1839500</v>
      </c>
      <c r="G866" s="35">
        <f>SUM(G867:G890)</f>
        <v>2042486</v>
      </c>
      <c r="H866" s="35">
        <f>SUM(H867:H890)</f>
        <v>2031494</v>
      </c>
      <c r="I866" s="35"/>
      <c r="J866" s="35">
        <f aca="true" t="shared" si="115" ref="J866:P866">SUM(J867:J890)</f>
        <v>2031910</v>
      </c>
      <c r="K866" s="35">
        <f t="shared" si="115"/>
        <v>2186129</v>
      </c>
      <c r="L866" s="35">
        <f t="shared" si="115"/>
        <v>2149681</v>
      </c>
      <c r="M866" s="35">
        <f t="shared" si="115"/>
        <v>2373478</v>
      </c>
      <c r="N866" s="35">
        <v>2162070</v>
      </c>
      <c r="O866" s="35">
        <f t="shared" si="115"/>
        <v>2098670</v>
      </c>
      <c r="P866" s="35">
        <f t="shared" si="115"/>
        <v>1189667</v>
      </c>
      <c r="Q866" s="186">
        <f t="shared" si="113"/>
        <v>0.5668671110751095</v>
      </c>
      <c r="R866" s="152">
        <f>SUM(R867:R890)</f>
        <v>2267108</v>
      </c>
      <c r="S866" s="152">
        <f>SUM(S867:S890)</f>
        <v>2560430</v>
      </c>
      <c r="T866" s="35">
        <v>2359755</v>
      </c>
      <c r="U866" s="35">
        <f>SUM(U867:U890)</f>
        <v>0</v>
      </c>
      <c r="V866" s="35">
        <f>SUM(V867:V890)</f>
        <v>0</v>
      </c>
      <c r="W866" s="32">
        <f t="shared" si="114"/>
        <v>2359755</v>
      </c>
    </row>
    <row r="867" spans="1:23" ht="24">
      <c r="A867" s="25"/>
      <c r="B867" s="25"/>
      <c r="C867" s="26">
        <v>3020</v>
      </c>
      <c r="D867" s="27" t="s">
        <v>188</v>
      </c>
      <c r="E867" s="100">
        <v>4000</v>
      </c>
      <c r="F867" s="11">
        <v>4000</v>
      </c>
      <c r="G867" s="101">
        <v>5600</v>
      </c>
      <c r="H867" s="59">
        <v>4100</v>
      </c>
      <c r="I867" s="59"/>
      <c r="J867" s="59">
        <v>4100</v>
      </c>
      <c r="K867" s="59">
        <v>4100</v>
      </c>
      <c r="L867" s="59">
        <v>5500</v>
      </c>
      <c r="M867" s="59">
        <v>7000</v>
      </c>
      <c r="N867" s="59">
        <v>4200</v>
      </c>
      <c r="O867" s="59">
        <v>4200</v>
      </c>
      <c r="P867" s="59">
        <v>3728</v>
      </c>
      <c r="Q867" s="186">
        <f t="shared" si="113"/>
        <v>0.8876190476190476</v>
      </c>
      <c r="R867" s="153">
        <v>6382</v>
      </c>
      <c r="S867" s="153">
        <v>6700</v>
      </c>
      <c r="T867" s="59">
        <v>6300</v>
      </c>
      <c r="U867" s="59"/>
      <c r="V867" s="59"/>
      <c r="W867" s="32">
        <f t="shared" si="114"/>
        <v>6300</v>
      </c>
    </row>
    <row r="868" spans="1:23" ht="24">
      <c r="A868" s="25"/>
      <c r="B868" s="25"/>
      <c r="C868" s="26">
        <v>4010</v>
      </c>
      <c r="D868" s="27" t="s">
        <v>29</v>
      </c>
      <c r="E868" s="100">
        <v>900900</v>
      </c>
      <c r="F868" s="11">
        <v>945950</v>
      </c>
      <c r="G868" s="101">
        <v>1082917</v>
      </c>
      <c r="H868" s="59">
        <v>1106184</v>
      </c>
      <c r="I868" s="59"/>
      <c r="J868" s="59">
        <v>1106200</v>
      </c>
      <c r="K868" s="59">
        <v>1189441</v>
      </c>
      <c r="L868" s="59">
        <v>1158191</v>
      </c>
      <c r="M868" s="59">
        <v>1274000</v>
      </c>
      <c r="N868" s="59">
        <v>1156900</v>
      </c>
      <c r="O868" s="59">
        <v>1088900</v>
      </c>
      <c r="P868" s="59">
        <v>571983</v>
      </c>
      <c r="Q868" s="186">
        <f t="shared" si="113"/>
        <v>0.5252851501515291</v>
      </c>
      <c r="R868" s="153">
        <v>1176760</v>
      </c>
      <c r="S868" s="153">
        <v>1339760</v>
      </c>
      <c r="T868" s="59">
        <v>1214164</v>
      </c>
      <c r="U868" s="59"/>
      <c r="V868" s="59"/>
      <c r="W868" s="32">
        <f t="shared" si="114"/>
        <v>1214164</v>
      </c>
    </row>
    <row r="869" spans="1:23" ht="12">
      <c r="A869" s="25"/>
      <c r="B869" s="25"/>
      <c r="C869" s="26">
        <v>4040</v>
      </c>
      <c r="D869" s="27" t="s">
        <v>30</v>
      </c>
      <c r="E869" s="100">
        <v>73200</v>
      </c>
      <c r="F869" s="11">
        <v>70399</v>
      </c>
      <c r="G869" s="101">
        <v>78000</v>
      </c>
      <c r="H869" s="59">
        <v>80700</v>
      </c>
      <c r="I869" s="59"/>
      <c r="J869" s="59">
        <v>80700</v>
      </c>
      <c r="K869" s="59">
        <v>80700</v>
      </c>
      <c r="L869" s="59">
        <v>77612</v>
      </c>
      <c r="M869" s="59">
        <v>90000</v>
      </c>
      <c r="N869" s="59">
        <v>88100</v>
      </c>
      <c r="O869" s="59">
        <v>95070</v>
      </c>
      <c r="P869" s="59">
        <v>95063</v>
      </c>
      <c r="Q869" s="186">
        <f t="shared" si="113"/>
        <v>0.9999263700431261</v>
      </c>
      <c r="R869" s="153">
        <v>95063</v>
      </c>
      <c r="S869" s="153">
        <v>97500</v>
      </c>
      <c r="T869" s="59">
        <v>97500</v>
      </c>
      <c r="U869" s="59"/>
      <c r="V869" s="59"/>
      <c r="W869" s="32">
        <f t="shared" si="114"/>
        <v>97500</v>
      </c>
    </row>
    <row r="870" spans="1:23" ht="24">
      <c r="A870" s="25"/>
      <c r="B870" s="25"/>
      <c r="C870" s="26">
        <v>4110</v>
      </c>
      <c r="D870" s="27" t="s">
        <v>31</v>
      </c>
      <c r="E870" s="100">
        <v>161200</v>
      </c>
      <c r="F870" s="11">
        <v>169190</v>
      </c>
      <c r="G870" s="101">
        <v>176653</v>
      </c>
      <c r="H870" s="59">
        <v>172450</v>
      </c>
      <c r="I870" s="59"/>
      <c r="J870" s="59">
        <v>172450</v>
      </c>
      <c r="K870" s="59">
        <v>180477</v>
      </c>
      <c r="L870" s="59">
        <v>180477</v>
      </c>
      <c r="M870" s="59">
        <v>191765</v>
      </c>
      <c r="N870" s="59">
        <v>187300</v>
      </c>
      <c r="O870" s="59">
        <v>180330</v>
      </c>
      <c r="P870" s="59">
        <v>85341</v>
      </c>
      <c r="Q870" s="186">
        <f t="shared" si="113"/>
        <v>0.4732490434203959</v>
      </c>
      <c r="R870" s="153">
        <v>190380</v>
      </c>
      <c r="S870" s="153">
        <v>220000</v>
      </c>
      <c r="T870" s="59">
        <v>212883</v>
      </c>
      <c r="U870" s="59"/>
      <c r="V870" s="59"/>
      <c r="W870" s="32">
        <f t="shared" si="114"/>
        <v>212883</v>
      </c>
    </row>
    <row r="871" spans="1:23" ht="12">
      <c r="A871" s="25"/>
      <c r="B871" s="25"/>
      <c r="C871" s="26">
        <v>4120</v>
      </c>
      <c r="D871" s="27" t="s">
        <v>32</v>
      </c>
      <c r="E871" s="100">
        <v>23200</v>
      </c>
      <c r="F871" s="11">
        <v>24300</v>
      </c>
      <c r="G871" s="101">
        <v>24816</v>
      </c>
      <c r="H871" s="59">
        <v>27400</v>
      </c>
      <c r="I871" s="59"/>
      <c r="J871" s="59">
        <v>27400</v>
      </c>
      <c r="K871" s="59">
        <v>28674</v>
      </c>
      <c r="L871" s="59">
        <v>28674</v>
      </c>
      <c r="M871" s="59">
        <v>30429</v>
      </c>
      <c r="N871" s="59">
        <v>29700</v>
      </c>
      <c r="O871" s="59">
        <v>29700</v>
      </c>
      <c r="P871" s="59">
        <v>14529</v>
      </c>
      <c r="Q871" s="186">
        <f t="shared" si="113"/>
        <v>0.4891919191919192</v>
      </c>
      <c r="R871" s="153">
        <v>30185</v>
      </c>
      <c r="S871" s="153">
        <v>34820</v>
      </c>
      <c r="T871" s="59">
        <v>33453</v>
      </c>
      <c r="U871" s="59"/>
      <c r="V871" s="59"/>
      <c r="W871" s="32">
        <f t="shared" si="114"/>
        <v>33453</v>
      </c>
    </row>
    <row r="872" spans="1:23" ht="12">
      <c r="A872" s="25"/>
      <c r="B872" s="25"/>
      <c r="C872" s="26">
        <v>4170</v>
      </c>
      <c r="D872" s="27" t="s">
        <v>195</v>
      </c>
      <c r="E872" s="100">
        <v>1000</v>
      </c>
      <c r="F872" s="11">
        <v>1000</v>
      </c>
      <c r="G872" s="101">
        <v>2000</v>
      </c>
      <c r="H872" s="59">
        <v>1500</v>
      </c>
      <c r="I872" s="59"/>
      <c r="J872" s="59">
        <v>1500</v>
      </c>
      <c r="K872" s="59">
        <v>1500</v>
      </c>
      <c r="L872" s="59">
        <v>1500</v>
      </c>
      <c r="M872" s="59">
        <v>2000</v>
      </c>
      <c r="N872" s="59">
        <v>1600</v>
      </c>
      <c r="O872" s="59">
        <v>1600</v>
      </c>
      <c r="P872" s="59"/>
      <c r="Q872" s="186">
        <f t="shared" si="113"/>
        <v>0</v>
      </c>
      <c r="R872" s="153">
        <v>1600</v>
      </c>
      <c r="S872" s="153">
        <v>5000</v>
      </c>
      <c r="T872" s="59">
        <v>1600</v>
      </c>
      <c r="U872" s="59"/>
      <c r="V872" s="59"/>
      <c r="W872" s="32">
        <f t="shared" si="114"/>
        <v>1600</v>
      </c>
    </row>
    <row r="873" spans="1:23" ht="12">
      <c r="A873" s="25"/>
      <c r="B873" s="25"/>
      <c r="C873" s="26">
        <v>4210</v>
      </c>
      <c r="D873" s="27" t="s">
        <v>34</v>
      </c>
      <c r="E873" s="100">
        <v>200000</v>
      </c>
      <c r="F873" s="11">
        <v>211451</v>
      </c>
      <c r="G873" s="101">
        <v>235300</v>
      </c>
      <c r="H873" s="59">
        <f>ROUND(F873+(F873*2.3%),-2)</f>
        <v>216300</v>
      </c>
      <c r="I873" s="59"/>
      <c r="J873" s="59">
        <v>216300</v>
      </c>
      <c r="K873" s="59">
        <v>216300</v>
      </c>
      <c r="L873" s="59">
        <v>238000</v>
      </c>
      <c r="M873" s="59">
        <v>280000</v>
      </c>
      <c r="N873" s="59">
        <v>239000</v>
      </c>
      <c r="O873" s="59">
        <v>239000</v>
      </c>
      <c r="P873" s="59">
        <v>143626</v>
      </c>
      <c r="Q873" s="186">
        <f t="shared" si="113"/>
        <v>0.6009456066945607</v>
      </c>
      <c r="R873" s="153">
        <v>239000</v>
      </c>
      <c r="S873" s="153">
        <v>280000</v>
      </c>
      <c r="T873" s="59">
        <v>239000</v>
      </c>
      <c r="U873" s="59"/>
      <c r="V873" s="59"/>
      <c r="W873" s="32">
        <f t="shared" si="114"/>
        <v>239000</v>
      </c>
    </row>
    <row r="874" spans="1:23" ht="12">
      <c r="A874" s="25"/>
      <c r="B874" s="25"/>
      <c r="C874" s="26">
        <v>4220</v>
      </c>
      <c r="D874" s="27" t="s">
        <v>180</v>
      </c>
      <c r="E874" s="100">
        <v>201700</v>
      </c>
      <c r="F874" s="11">
        <v>201700</v>
      </c>
      <c r="G874" s="101">
        <v>206400</v>
      </c>
      <c r="H874" s="59">
        <v>206300</v>
      </c>
      <c r="I874" s="59"/>
      <c r="J874" s="59">
        <v>206300</v>
      </c>
      <c r="K874" s="59">
        <v>206300</v>
      </c>
      <c r="L874" s="59">
        <v>210000</v>
      </c>
      <c r="M874" s="59">
        <v>220000</v>
      </c>
      <c r="N874" s="59">
        <v>212300</v>
      </c>
      <c r="O874" s="59">
        <v>212300</v>
      </c>
      <c r="P874" s="59">
        <v>102850</v>
      </c>
      <c r="Q874" s="186">
        <f t="shared" si="113"/>
        <v>0.4844559585492228</v>
      </c>
      <c r="R874" s="153">
        <v>212300</v>
      </c>
      <c r="S874" s="153">
        <v>223000</v>
      </c>
      <c r="T874" s="59">
        <v>212300</v>
      </c>
      <c r="U874" s="59"/>
      <c r="V874" s="59"/>
      <c r="W874" s="32">
        <f t="shared" si="114"/>
        <v>212300</v>
      </c>
    </row>
    <row r="875" spans="1:23" ht="36">
      <c r="A875" s="25"/>
      <c r="B875" s="25"/>
      <c r="C875" s="26">
        <v>4230</v>
      </c>
      <c r="D875" s="27" t="s">
        <v>88</v>
      </c>
      <c r="E875" s="100">
        <v>27770</v>
      </c>
      <c r="F875" s="11">
        <f>23600+4170</f>
        <v>27770</v>
      </c>
      <c r="G875" s="101">
        <v>34000</v>
      </c>
      <c r="H875" s="59">
        <v>28400</v>
      </c>
      <c r="I875" s="59"/>
      <c r="J875" s="59">
        <v>28400</v>
      </c>
      <c r="K875" s="59">
        <v>46400</v>
      </c>
      <c r="L875" s="59">
        <v>46400</v>
      </c>
      <c r="M875" s="59">
        <v>50000</v>
      </c>
      <c r="N875" s="59">
        <v>49500</v>
      </c>
      <c r="O875" s="59">
        <v>49500</v>
      </c>
      <c r="P875" s="59">
        <v>29943</v>
      </c>
      <c r="Q875" s="186">
        <f t="shared" si="113"/>
        <v>0.604909090909091</v>
      </c>
      <c r="R875" s="153">
        <v>49500</v>
      </c>
      <c r="S875" s="153">
        <v>58000</v>
      </c>
      <c r="T875" s="59">
        <v>55800</v>
      </c>
      <c r="U875" s="59"/>
      <c r="V875" s="59"/>
      <c r="W875" s="32">
        <f t="shared" si="114"/>
        <v>55800</v>
      </c>
    </row>
    <row r="876" spans="1:23" ht="12">
      <c r="A876" s="25"/>
      <c r="B876" s="25"/>
      <c r="C876" s="26">
        <v>4260</v>
      </c>
      <c r="D876" s="27" t="s">
        <v>35</v>
      </c>
      <c r="E876" s="100">
        <v>64000</v>
      </c>
      <c r="F876" s="11">
        <v>64000</v>
      </c>
      <c r="G876" s="101">
        <v>73000</v>
      </c>
      <c r="H876" s="59">
        <f>ROUND(F876+(F876*2.3%),-2)</f>
        <v>65500</v>
      </c>
      <c r="I876" s="59"/>
      <c r="J876" s="59">
        <v>65300</v>
      </c>
      <c r="K876" s="59">
        <v>65300</v>
      </c>
      <c r="L876" s="59">
        <v>80300</v>
      </c>
      <c r="M876" s="59">
        <v>85000</v>
      </c>
      <c r="N876" s="59">
        <v>67200</v>
      </c>
      <c r="O876" s="59">
        <v>67200</v>
      </c>
      <c r="P876" s="59">
        <v>54078</v>
      </c>
      <c r="Q876" s="186">
        <f t="shared" si="113"/>
        <v>0.8047321428571429</v>
      </c>
      <c r="R876" s="153">
        <v>80000</v>
      </c>
      <c r="S876" s="153">
        <v>85000</v>
      </c>
      <c r="T876" s="59">
        <v>84000</v>
      </c>
      <c r="U876" s="59"/>
      <c r="V876" s="59"/>
      <c r="W876" s="32">
        <f t="shared" si="114"/>
        <v>84000</v>
      </c>
    </row>
    <row r="877" spans="1:23" ht="12">
      <c r="A877" s="25"/>
      <c r="B877" s="25"/>
      <c r="C877" s="26">
        <v>4270</v>
      </c>
      <c r="D877" s="27" t="s">
        <v>36</v>
      </c>
      <c r="E877" s="102">
        <v>15000</v>
      </c>
      <c r="F877" s="11">
        <v>15000</v>
      </c>
      <c r="G877" s="101">
        <v>15500</v>
      </c>
      <c r="H877" s="59">
        <f>ROUND(F877+(F877*2.3%),-2)</f>
        <v>15300</v>
      </c>
      <c r="I877" s="59"/>
      <c r="J877" s="59">
        <v>15900</v>
      </c>
      <c r="K877" s="59">
        <v>55900</v>
      </c>
      <c r="L877" s="59">
        <v>15900</v>
      </c>
      <c r="M877" s="59">
        <v>18500</v>
      </c>
      <c r="N877" s="59">
        <v>16400</v>
      </c>
      <c r="O877" s="59">
        <v>16400</v>
      </c>
      <c r="P877" s="59">
        <v>11623</v>
      </c>
      <c r="Q877" s="186">
        <f t="shared" si="113"/>
        <v>0.708719512195122</v>
      </c>
      <c r="R877" s="153">
        <v>21450</v>
      </c>
      <c r="S877" s="153">
        <v>26000</v>
      </c>
      <c r="T877" s="59">
        <v>16400</v>
      </c>
      <c r="U877" s="59"/>
      <c r="V877" s="59"/>
      <c r="W877" s="32">
        <f t="shared" si="114"/>
        <v>16400</v>
      </c>
    </row>
    <row r="878" spans="1:23" ht="12">
      <c r="A878" s="25"/>
      <c r="B878" s="25"/>
      <c r="C878" s="26">
        <v>4280</v>
      </c>
      <c r="D878" s="27" t="s">
        <v>37</v>
      </c>
      <c r="E878" s="100">
        <v>1630</v>
      </c>
      <c r="F878" s="11">
        <v>1630</v>
      </c>
      <c r="G878" s="101">
        <v>1700</v>
      </c>
      <c r="H878" s="59">
        <f>ROUND(F878+(F878*2.3%),-1)</f>
        <v>1670</v>
      </c>
      <c r="I878" s="59"/>
      <c r="J878" s="59">
        <v>1670</v>
      </c>
      <c r="K878" s="59">
        <v>1670</v>
      </c>
      <c r="L878" s="59">
        <v>1800</v>
      </c>
      <c r="M878" s="59">
        <v>2200</v>
      </c>
      <c r="N878" s="59">
        <v>1720</v>
      </c>
      <c r="O878" s="59">
        <v>1720</v>
      </c>
      <c r="P878" s="59">
        <v>1479</v>
      </c>
      <c r="Q878" s="186">
        <f t="shared" si="113"/>
        <v>0.8598837209302326</v>
      </c>
      <c r="R878" s="153">
        <v>2320</v>
      </c>
      <c r="S878" s="153">
        <v>2500</v>
      </c>
      <c r="T878" s="59">
        <v>2500</v>
      </c>
      <c r="U878" s="59"/>
      <c r="V878" s="59"/>
      <c r="W878" s="32">
        <f t="shared" si="114"/>
        <v>2500</v>
      </c>
    </row>
    <row r="879" spans="1:23" ht="12">
      <c r="A879" s="25"/>
      <c r="B879" s="25"/>
      <c r="C879" s="26">
        <v>4300</v>
      </c>
      <c r="D879" s="27" t="s">
        <v>17</v>
      </c>
      <c r="E879" s="100">
        <v>29000</v>
      </c>
      <c r="F879" s="11">
        <v>31000</v>
      </c>
      <c r="G879" s="101">
        <v>32000</v>
      </c>
      <c r="H879" s="59">
        <v>31700</v>
      </c>
      <c r="I879" s="59"/>
      <c r="J879" s="59">
        <v>31700</v>
      </c>
      <c r="K879" s="59">
        <v>31700</v>
      </c>
      <c r="L879" s="59">
        <v>31700</v>
      </c>
      <c r="M879" s="59">
        <v>35000</v>
      </c>
      <c r="N879" s="59">
        <v>32620</v>
      </c>
      <c r="O879" s="59">
        <v>32620</v>
      </c>
      <c r="P879" s="59">
        <v>24320</v>
      </c>
      <c r="Q879" s="186">
        <f t="shared" si="113"/>
        <v>0.7455548743102391</v>
      </c>
      <c r="R879" s="153">
        <v>75820</v>
      </c>
      <c r="S879" s="153">
        <v>84000</v>
      </c>
      <c r="T879" s="59">
        <v>84000</v>
      </c>
      <c r="U879" s="59"/>
      <c r="V879" s="59"/>
      <c r="W879" s="32">
        <f t="shared" si="114"/>
        <v>84000</v>
      </c>
    </row>
    <row r="880" spans="1:23" ht="24">
      <c r="A880" s="25"/>
      <c r="B880" s="25"/>
      <c r="C880" s="26">
        <v>4350</v>
      </c>
      <c r="D880" s="27" t="s">
        <v>38</v>
      </c>
      <c r="E880" s="100">
        <v>1700</v>
      </c>
      <c r="F880" s="11">
        <v>1700</v>
      </c>
      <c r="G880" s="101">
        <v>1800</v>
      </c>
      <c r="H880" s="59">
        <f>ROUND(F880+(F880*2.3%),-1)+10</f>
        <v>1750</v>
      </c>
      <c r="I880" s="59"/>
      <c r="J880" s="59">
        <v>1750</v>
      </c>
      <c r="K880" s="59">
        <v>1750</v>
      </c>
      <c r="L880" s="59">
        <v>400</v>
      </c>
      <c r="M880" s="59">
        <v>2800</v>
      </c>
      <c r="N880" s="59">
        <v>1800</v>
      </c>
      <c r="O880" s="59">
        <v>1800</v>
      </c>
      <c r="P880" s="59">
        <v>336</v>
      </c>
      <c r="Q880" s="186">
        <f t="shared" si="113"/>
        <v>0.18666666666666668</v>
      </c>
      <c r="R880" s="153">
        <v>700</v>
      </c>
      <c r="S880" s="153">
        <v>750</v>
      </c>
      <c r="T880" s="59">
        <v>700</v>
      </c>
      <c r="U880" s="59"/>
      <c r="V880" s="59"/>
      <c r="W880" s="32">
        <f t="shared" si="114"/>
        <v>700</v>
      </c>
    </row>
    <row r="881" spans="1:23" ht="36">
      <c r="A881" s="25"/>
      <c r="B881" s="25"/>
      <c r="C881" s="26">
        <v>4360</v>
      </c>
      <c r="D881" s="27" t="s">
        <v>130</v>
      </c>
      <c r="E881" s="100">
        <v>3600</v>
      </c>
      <c r="F881" s="11">
        <v>3600</v>
      </c>
      <c r="G881" s="101">
        <v>3700</v>
      </c>
      <c r="H881" s="59">
        <v>3700</v>
      </c>
      <c r="I881" s="59"/>
      <c r="J881" s="59">
        <v>3700</v>
      </c>
      <c r="K881" s="59">
        <v>3700</v>
      </c>
      <c r="L881" s="59">
        <v>3700</v>
      </c>
      <c r="M881" s="59">
        <v>4500</v>
      </c>
      <c r="N881" s="59">
        <v>3810</v>
      </c>
      <c r="O881" s="59">
        <v>3810</v>
      </c>
      <c r="P881" s="59">
        <v>2036</v>
      </c>
      <c r="Q881" s="186">
        <f t="shared" si="113"/>
        <v>0.5343832020997376</v>
      </c>
      <c r="R881" s="153">
        <v>3810</v>
      </c>
      <c r="S881" s="153">
        <v>4500</v>
      </c>
      <c r="T881" s="59">
        <v>4500</v>
      </c>
      <c r="U881" s="59"/>
      <c r="V881" s="59"/>
      <c r="W881" s="32">
        <f t="shared" si="114"/>
        <v>4500</v>
      </c>
    </row>
    <row r="882" spans="1:23" ht="36">
      <c r="A882" s="25"/>
      <c r="B882" s="25"/>
      <c r="C882" s="26">
        <v>4370</v>
      </c>
      <c r="D882" s="27" t="s">
        <v>135</v>
      </c>
      <c r="E882" s="100">
        <v>8400</v>
      </c>
      <c r="F882" s="11">
        <v>8400</v>
      </c>
      <c r="G882" s="101">
        <v>8600</v>
      </c>
      <c r="H882" s="59">
        <v>8600</v>
      </c>
      <c r="I882" s="59"/>
      <c r="J882" s="59">
        <v>8600</v>
      </c>
      <c r="K882" s="59">
        <v>8600</v>
      </c>
      <c r="L882" s="59">
        <v>5500</v>
      </c>
      <c r="M882" s="59">
        <v>6000</v>
      </c>
      <c r="N882" s="59">
        <v>8850</v>
      </c>
      <c r="O882" s="59">
        <v>8850</v>
      </c>
      <c r="P882" s="59">
        <v>2166</v>
      </c>
      <c r="Q882" s="186">
        <f t="shared" si="113"/>
        <v>0.2447457627118644</v>
      </c>
      <c r="R882" s="153">
        <v>4450</v>
      </c>
      <c r="S882" s="153">
        <v>5500</v>
      </c>
      <c r="T882" s="59">
        <v>5500</v>
      </c>
      <c r="U882" s="59"/>
      <c r="V882" s="59"/>
      <c r="W882" s="32">
        <f t="shared" si="114"/>
        <v>5500</v>
      </c>
    </row>
    <row r="883" spans="1:23" ht="12">
      <c r="A883" s="25"/>
      <c r="B883" s="25"/>
      <c r="C883" s="26">
        <v>4410</v>
      </c>
      <c r="D883" s="27" t="s">
        <v>42</v>
      </c>
      <c r="E883" s="100">
        <v>2150</v>
      </c>
      <c r="F883" s="11">
        <v>2150</v>
      </c>
      <c r="G883" s="101">
        <v>2200</v>
      </c>
      <c r="H883" s="59">
        <v>2200</v>
      </c>
      <c r="I883" s="59"/>
      <c r="J883" s="59">
        <v>2200</v>
      </c>
      <c r="K883" s="59">
        <v>2200</v>
      </c>
      <c r="L883" s="59">
        <v>2200</v>
      </c>
      <c r="M883" s="59">
        <v>2500</v>
      </c>
      <c r="N883" s="59">
        <v>2260</v>
      </c>
      <c r="O883" s="59">
        <v>2260</v>
      </c>
      <c r="P883" s="59">
        <v>569</v>
      </c>
      <c r="Q883" s="186">
        <f t="shared" si="113"/>
        <v>0.2517699115044248</v>
      </c>
      <c r="R883" s="153">
        <v>2260</v>
      </c>
      <c r="S883" s="153">
        <v>2500</v>
      </c>
      <c r="T883" s="59">
        <v>2260</v>
      </c>
      <c r="U883" s="59"/>
      <c r="V883" s="59"/>
      <c r="W883" s="32">
        <f t="shared" si="114"/>
        <v>2260</v>
      </c>
    </row>
    <row r="884" spans="1:23" ht="12">
      <c r="A884" s="25"/>
      <c r="B884" s="25"/>
      <c r="C884" s="26">
        <v>4430</v>
      </c>
      <c r="D884" s="27" t="s">
        <v>43</v>
      </c>
      <c r="E884" s="102">
        <v>5450</v>
      </c>
      <c r="F884" s="11">
        <f>5000+450</f>
        <v>5450</v>
      </c>
      <c r="G884" s="101">
        <v>5600</v>
      </c>
      <c r="H884" s="59">
        <v>5570</v>
      </c>
      <c r="I884" s="59"/>
      <c r="J884" s="59">
        <v>5570</v>
      </c>
      <c r="K884" s="59">
        <v>5570</v>
      </c>
      <c r="L884" s="59">
        <v>6580</v>
      </c>
      <c r="M884" s="59">
        <v>7500</v>
      </c>
      <c r="N884" s="59">
        <v>5730</v>
      </c>
      <c r="O884" s="59">
        <v>5730</v>
      </c>
      <c r="P884" s="59">
        <v>4919</v>
      </c>
      <c r="Q884" s="186">
        <f t="shared" si="113"/>
        <v>0.8584642233856894</v>
      </c>
      <c r="R884" s="153">
        <v>5948</v>
      </c>
      <c r="S884" s="153">
        <v>7000</v>
      </c>
      <c r="T884" s="59">
        <v>7000</v>
      </c>
      <c r="U884" s="59"/>
      <c r="V884" s="59"/>
      <c r="W884" s="32">
        <f t="shared" si="114"/>
        <v>7000</v>
      </c>
    </row>
    <row r="885" spans="1:23" ht="24">
      <c r="A885" s="25"/>
      <c r="B885" s="25"/>
      <c r="C885" s="26">
        <v>4440</v>
      </c>
      <c r="D885" s="27" t="s">
        <v>44</v>
      </c>
      <c r="E885" s="100">
        <v>37400</v>
      </c>
      <c r="F885" s="11">
        <v>38620</v>
      </c>
      <c r="G885" s="101">
        <v>39500</v>
      </c>
      <c r="H885" s="59">
        <v>39840</v>
      </c>
      <c r="I885" s="59"/>
      <c r="J885" s="59">
        <v>39840</v>
      </c>
      <c r="K885" s="59">
        <v>43517</v>
      </c>
      <c r="L885" s="59">
        <v>43517</v>
      </c>
      <c r="M885" s="59">
        <v>49444</v>
      </c>
      <c r="N885" s="59">
        <v>45120</v>
      </c>
      <c r="O885" s="59">
        <v>45120</v>
      </c>
      <c r="P885" s="59">
        <v>33840</v>
      </c>
      <c r="Q885" s="186">
        <f t="shared" si="113"/>
        <v>0.75</v>
      </c>
      <c r="R885" s="153">
        <v>57120</v>
      </c>
      <c r="S885" s="153">
        <v>60000</v>
      </c>
      <c r="T885" s="59">
        <v>49000</v>
      </c>
      <c r="U885" s="59"/>
      <c r="V885" s="59"/>
      <c r="W885" s="32">
        <f t="shared" si="114"/>
        <v>49000</v>
      </c>
    </row>
    <row r="886" spans="1:23" ht="12">
      <c r="A886" s="25"/>
      <c r="B886" s="25"/>
      <c r="C886" s="26">
        <v>4480</v>
      </c>
      <c r="D886" s="27" t="s">
        <v>61</v>
      </c>
      <c r="E886" s="100">
        <v>2240</v>
      </c>
      <c r="F886" s="11">
        <v>2240</v>
      </c>
      <c r="G886" s="101">
        <v>2300</v>
      </c>
      <c r="H886" s="59">
        <v>2300</v>
      </c>
      <c r="I886" s="59"/>
      <c r="J886" s="59">
        <v>2300</v>
      </c>
      <c r="K886" s="59">
        <v>2300</v>
      </c>
      <c r="L886" s="59">
        <v>2300</v>
      </c>
      <c r="M886" s="59">
        <v>2940</v>
      </c>
      <c r="N886" s="59">
        <v>2370</v>
      </c>
      <c r="O886" s="59">
        <v>2370</v>
      </c>
      <c r="P886" s="59">
        <v>900</v>
      </c>
      <c r="Q886" s="186">
        <f t="shared" si="113"/>
        <v>0.379746835443038</v>
      </c>
      <c r="R886" s="153">
        <v>2370</v>
      </c>
      <c r="S886" s="153">
        <v>2500</v>
      </c>
      <c r="T886" s="59">
        <v>2500</v>
      </c>
      <c r="U886" s="59"/>
      <c r="V886" s="59"/>
      <c r="W886" s="32">
        <f t="shared" si="114"/>
        <v>2500</v>
      </c>
    </row>
    <row r="887" spans="1:23" ht="24">
      <c r="A887" s="25"/>
      <c r="B887" s="25"/>
      <c r="C887" s="26">
        <v>4520</v>
      </c>
      <c r="D887" s="27" t="s">
        <v>191</v>
      </c>
      <c r="E887" s="93">
        <v>4600</v>
      </c>
      <c r="F887" s="11">
        <v>4600</v>
      </c>
      <c r="G887" s="1">
        <v>4600</v>
      </c>
      <c r="H887" s="59">
        <v>4600</v>
      </c>
      <c r="I887" s="59"/>
      <c r="J887" s="59">
        <v>4600</v>
      </c>
      <c r="K887" s="59">
        <v>4600</v>
      </c>
      <c r="L887" s="59">
        <v>4600</v>
      </c>
      <c r="M887" s="59">
        <v>4600</v>
      </c>
      <c r="N887" s="59">
        <v>4600</v>
      </c>
      <c r="O887" s="59">
        <v>4600</v>
      </c>
      <c r="P887" s="59">
        <v>4591</v>
      </c>
      <c r="Q887" s="186">
        <f>P887/O887</f>
        <v>0.9980434782608696</v>
      </c>
      <c r="R887" s="153">
        <v>4600</v>
      </c>
      <c r="S887" s="153">
        <v>4600</v>
      </c>
      <c r="T887" s="59">
        <v>23305</v>
      </c>
      <c r="U887" s="59"/>
      <c r="V887" s="59"/>
      <c r="W887" s="32">
        <f>T887+U887-V887</f>
        <v>23305</v>
      </c>
    </row>
    <row r="888" spans="1:23" ht="36">
      <c r="A888" s="25"/>
      <c r="B888" s="25"/>
      <c r="C888" s="26">
        <v>4700</v>
      </c>
      <c r="D888" s="27" t="s">
        <v>46</v>
      </c>
      <c r="E888" s="100">
        <v>1700</v>
      </c>
      <c r="F888" s="11">
        <v>3050</v>
      </c>
      <c r="G888" s="101">
        <v>3800</v>
      </c>
      <c r="H888" s="59">
        <v>3100</v>
      </c>
      <c r="I888" s="59"/>
      <c r="J888" s="59">
        <v>3100</v>
      </c>
      <c r="K888" s="59">
        <v>3100</v>
      </c>
      <c r="L888" s="59">
        <v>2500</v>
      </c>
      <c r="M888" s="59">
        <v>3000</v>
      </c>
      <c r="N888" s="59">
        <v>3190</v>
      </c>
      <c r="O888" s="59">
        <v>3190</v>
      </c>
      <c r="P888" s="59">
        <v>315</v>
      </c>
      <c r="Q888" s="186">
        <f t="shared" si="113"/>
        <v>0.0987460815047022</v>
      </c>
      <c r="R888" s="153">
        <v>1690</v>
      </c>
      <c r="S888" s="153">
        <v>6500</v>
      </c>
      <c r="T888" s="59">
        <v>1690</v>
      </c>
      <c r="U888" s="59"/>
      <c r="V888" s="59"/>
      <c r="W888" s="32">
        <f t="shared" si="114"/>
        <v>1690</v>
      </c>
    </row>
    <row r="889" spans="1:23" ht="36">
      <c r="A889" s="25"/>
      <c r="B889" s="25"/>
      <c r="C889" s="26">
        <v>4740</v>
      </c>
      <c r="D889" s="27" t="s">
        <v>73</v>
      </c>
      <c r="E889" s="100">
        <v>1300</v>
      </c>
      <c r="F889" s="11">
        <v>1300</v>
      </c>
      <c r="G889" s="101">
        <v>1400</v>
      </c>
      <c r="H889" s="59">
        <f>ROUND(F889+(F889*2.3%),-1)</f>
        <v>1330</v>
      </c>
      <c r="I889" s="59"/>
      <c r="J889" s="59">
        <v>1330</v>
      </c>
      <c r="K889" s="59">
        <v>1330</v>
      </c>
      <c r="L889" s="59">
        <v>1330</v>
      </c>
      <c r="M889" s="59">
        <v>1800</v>
      </c>
      <c r="N889" s="59">
        <v>1370</v>
      </c>
      <c r="O889" s="59">
        <v>1370</v>
      </c>
      <c r="P889" s="59">
        <v>588</v>
      </c>
      <c r="Q889" s="186">
        <f t="shared" si="113"/>
        <v>0.4291970802919708</v>
      </c>
      <c r="R889" s="153">
        <v>1370</v>
      </c>
      <c r="S889" s="153">
        <v>1800</v>
      </c>
      <c r="T889" s="59">
        <v>1370</v>
      </c>
      <c r="U889" s="59"/>
      <c r="V889" s="59"/>
      <c r="W889" s="32">
        <f t="shared" si="114"/>
        <v>1370</v>
      </c>
    </row>
    <row r="890" spans="1:23" ht="24">
      <c r="A890" s="25"/>
      <c r="B890" s="25"/>
      <c r="C890" s="26">
        <v>4750</v>
      </c>
      <c r="D890" s="27" t="s">
        <v>118</v>
      </c>
      <c r="E890" s="103">
        <v>1000</v>
      </c>
      <c r="F890" s="11">
        <v>1000</v>
      </c>
      <c r="G890" s="101">
        <v>1100</v>
      </c>
      <c r="H890" s="59">
        <v>1000</v>
      </c>
      <c r="I890" s="59"/>
      <c r="J890" s="59">
        <v>1000</v>
      </c>
      <c r="K890" s="59">
        <v>1000</v>
      </c>
      <c r="L890" s="59">
        <v>1000</v>
      </c>
      <c r="M890" s="59">
        <v>2500</v>
      </c>
      <c r="N890" s="59">
        <v>1030</v>
      </c>
      <c r="O890" s="59">
        <v>1030</v>
      </c>
      <c r="P890" s="59">
        <v>844</v>
      </c>
      <c r="Q890" s="186">
        <f t="shared" si="113"/>
        <v>0.8194174757281554</v>
      </c>
      <c r="R890" s="153">
        <v>2030</v>
      </c>
      <c r="S890" s="153">
        <v>2500</v>
      </c>
      <c r="T890" s="59">
        <v>2030</v>
      </c>
      <c r="U890" s="59"/>
      <c r="V890" s="59"/>
      <c r="W890" s="32">
        <f t="shared" si="114"/>
        <v>2030</v>
      </c>
    </row>
    <row r="891" spans="1:23" ht="12">
      <c r="A891" s="33"/>
      <c r="B891" s="33"/>
      <c r="C891" s="36"/>
      <c r="D891" s="42" t="s">
        <v>196</v>
      </c>
      <c r="E891" s="35">
        <f>SUM(E892:E915)</f>
        <v>1331560</v>
      </c>
      <c r="F891" s="35">
        <f>SUM(F892:F915)</f>
        <v>1376643</v>
      </c>
      <c r="G891" s="37">
        <f>SUM(G892:G915)</f>
        <v>1521980</v>
      </c>
      <c r="H891" s="37">
        <f>SUM(H892:H915)</f>
        <v>1497982</v>
      </c>
      <c r="I891" s="37"/>
      <c r="J891" s="37">
        <f>SUM(J892:J915)</f>
        <v>1498060</v>
      </c>
      <c r="K891" s="37">
        <f>SUM(K892:K915)</f>
        <v>1541395</v>
      </c>
      <c r="L891" s="37">
        <f>SUM(L892:L915)</f>
        <v>1541395</v>
      </c>
      <c r="M891" s="37">
        <f>SUM(M892:M915)</f>
        <v>1629730</v>
      </c>
      <c r="N891" s="37">
        <v>1615660</v>
      </c>
      <c r="O891" s="37">
        <v>1562660</v>
      </c>
      <c r="P891" s="37">
        <f>SUM(P892:P915)</f>
        <v>786707</v>
      </c>
      <c r="Q891" s="186">
        <f t="shared" si="113"/>
        <v>0.5034409276490087</v>
      </c>
      <c r="R891" s="157">
        <f>SUM(R892:R915)</f>
        <v>1593185</v>
      </c>
      <c r="S891" s="157">
        <f>SUM(S892:S915)</f>
        <v>1671556</v>
      </c>
      <c r="T891" s="37">
        <v>1659913</v>
      </c>
      <c r="U891" s="37">
        <f>SUM(U892:U915)</f>
        <v>7300</v>
      </c>
      <c r="V891" s="37">
        <f>SUM(V892:V915)</f>
        <v>7300</v>
      </c>
      <c r="W891" s="32">
        <f t="shared" si="114"/>
        <v>1659913</v>
      </c>
    </row>
    <row r="892" spans="1:23" ht="24">
      <c r="A892" s="25"/>
      <c r="B892" s="25"/>
      <c r="C892" s="26">
        <v>3020</v>
      </c>
      <c r="D892" s="27" t="s">
        <v>188</v>
      </c>
      <c r="E892" s="93">
        <v>2000</v>
      </c>
      <c r="F892" s="11">
        <v>2000</v>
      </c>
      <c r="G892" s="1">
        <v>4500</v>
      </c>
      <c r="H892" s="59">
        <f>ROUND(F892+(F892*2.3%),-2)+100</f>
        <v>2100</v>
      </c>
      <c r="I892" s="59"/>
      <c r="J892" s="59">
        <v>2100</v>
      </c>
      <c r="K892" s="59">
        <v>2100</v>
      </c>
      <c r="L892" s="56">
        <v>2100</v>
      </c>
      <c r="M892" s="59">
        <v>1600</v>
      </c>
      <c r="N892" s="59">
        <v>2200</v>
      </c>
      <c r="O892" s="59">
        <v>1800</v>
      </c>
      <c r="P892" s="59">
        <v>23</v>
      </c>
      <c r="Q892" s="186">
        <f t="shared" si="113"/>
        <v>0.012777777777777779</v>
      </c>
      <c r="R892" s="153">
        <v>1800</v>
      </c>
      <c r="S892" s="153">
        <v>2200</v>
      </c>
      <c r="T892" s="59">
        <v>1800</v>
      </c>
      <c r="U892" s="59">
        <v>1500</v>
      </c>
      <c r="V892" s="59"/>
      <c r="W892" s="32">
        <f t="shared" si="114"/>
        <v>3300</v>
      </c>
    </row>
    <row r="893" spans="1:23" ht="24">
      <c r="A893" s="25"/>
      <c r="B893" s="25"/>
      <c r="C893" s="26">
        <v>4010</v>
      </c>
      <c r="D893" s="27" t="s">
        <v>29</v>
      </c>
      <c r="E893" s="93">
        <v>651070</v>
      </c>
      <c r="F893" s="11">
        <v>683620</v>
      </c>
      <c r="G893" s="1">
        <v>776820</v>
      </c>
      <c r="H893" s="59">
        <v>780122</v>
      </c>
      <c r="I893" s="59"/>
      <c r="J893" s="59">
        <v>780200</v>
      </c>
      <c r="K893" s="59">
        <v>816869</v>
      </c>
      <c r="L893" s="56">
        <v>816869</v>
      </c>
      <c r="M893" s="59">
        <v>852180</v>
      </c>
      <c r="N893" s="59">
        <v>852500</v>
      </c>
      <c r="O893" s="59">
        <v>799500</v>
      </c>
      <c r="P893" s="59">
        <v>406543</v>
      </c>
      <c r="Q893" s="186">
        <f aca="true" t="shared" si="116" ref="Q893:Q968">P893/O893</f>
        <v>0.5084965603502188</v>
      </c>
      <c r="R893" s="153">
        <v>814200</v>
      </c>
      <c r="S893" s="153">
        <v>889856</v>
      </c>
      <c r="T893" s="59">
        <v>879878</v>
      </c>
      <c r="U893" s="59"/>
      <c r="V893" s="59"/>
      <c r="W893" s="32">
        <f t="shared" si="114"/>
        <v>879878</v>
      </c>
    </row>
    <row r="894" spans="1:23" ht="12">
      <c r="A894" s="25"/>
      <c r="B894" s="25"/>
      <c r="C894" s="26">
        <v>4040</v>
      </c>
      <c r="D894" s="27" t="s">
        <v>30</v>
      </c>
      <c r="E894" s="93">
        <v>52000</v>
      </c>
      <c r="F894" s="11">
        <v>52000</v>
      </c>
      <c r="G894" s="1">
        <v>58000</v>
      </c>
      <c r="H894" s="59">
        <v>59700</v>
      </c>
      <c r="I894" s="59"/>
      <c r="J894" s="59">
        <v>59700</v>
      </c>
      <c r="K894" s="59">
        <v>59700</v>
      </c>
      <c r="L894" s="56">
        <v>59700</v>
      </c>
      <c r="M894" s="59">
        <v>68500</v>
      </c>
      <c r="N894" s="59">
        <v>65300</v>
      </c>
      <c r="O894" s="59">
        <v>66748</v>
      </c>
      <c r="P894" s="59">
        <v>66748</v>
      </c>
      <c r="Q894" s="186">
        <f t="shared" si="116"/>
        <v>1</v>
      </c>
      <c r="R894" s="153">
        <v>66748</v>
      </c>
      <c r="S894" s="153">
        <v>71910</v>
      </c>
      <c r="T894" s="59">
        <v>70100</v>
      </c>
      <c r="U894" s="59"/>
      <c r="V894" s="59"/>
      <c r="W894" s="32">
        <f t="shared" si="114"/>
        <v>70100</v>
      </c>
    </row>
    <row r="895" spans="1:23" ht="24">
      <c r="A895" s="25"/>
      <c r="B895" s="25"/>
      <c r="C895" s="26">
        <v>4110</v>
      </c>
      <c r="D895" s="27" t="s">
        <v>31</v>
      </c>
      <c r="E895" s="93">
        <v>119300</v>
      </c>
      <c r="F895" s="11">
        <v>125070</v>
      </c>
      <c r="G895" s="1">
        <v>129500</v>
      </c>
      <c r="H895" s="59">
        <v>130200</v>
      </c>
      <c r="I895" s="59"/>
      <c r="J895" s="59">
        <v>130200</v>
      </c>
      <c r="K895" s="59">
        <v>135968</v>
      </c>
      <c r="L895" s="56">
        <v>135968</v>
      </c>
      <c r="M895" s="59">
        <v>140250</v>
      </c>
      <c r="N895" s="59">
        <v>141100</v>
      </c>
      <c r="O895" s="59">
        <v>139652</v>
      </c>
      <c r="P895" s="59">
        <v>70214</v>
      </c>
      <c r="Q895" s="186">
        <f t="shared" si="116"/>
        <v>0.5027783347177269</v>
      </c>
      <c r="R895" s="153">
        <v>141919</v>
      </c>
      <c r="S895" s="153">
        <v>146400</v>
      </c>
      <c r="T895" s="59">
        <v>146400</v>
      </c>
      <c r="U895" s="59"/>
      <c r="V895" s="59"/>
      <c r="W895" s="32">
        <f t="shared" si="114"/>
        <v>146400</v>
      </c>
    </row>
    <row r="896" spans="1:23" ht="12">
      <c r="A896" s="25"/>
      <c r="B896" s="25"/>
      <c r="C896" s="26">
        <v>4120</v>
      </c>
      <c r="D896" s="27" t="s">
        <v>32</v>
      </c>
      <c r="E896" s="93">
        <v>17120</v>
      </c>
      <c r="F896" s="11">
        <v>17920</v>
      </c>
      <c r="G896" s="1">
        <v>20160</v>
      </c>
      <c r="H896" s="59">
        <v>20300</v>
      </c>
      <c r="I896" s="59"/>
      <c r="J896" s="59">
        <v>20300</v>
      </c>
      <c r="K896" s="59">
        <v>21198</v>
      </c>
      <c r="L896" s="56">
        <v>21198</v>
      </c>
      <c r="M896" s="59">
        <v>22100</v>
      </c>
      <c r="N896" s="59">
        <v>22000</v>
      </c>
      <c r="O896" s="59">
        <v>22000</v>
      </c>
      <c r="P896" s="59">
        <v>10957</v>
      </c>
      <c r="Q896" s="186">
        <f t="shared" si="116"/>
        <v>0.49804545454545457</v>
      </c>
      <c r="R896" s="153">
        <v>22358</v>
      </c>
      <c r="S896" s="153">
        <v>23300</v>
      </c>
      <c r="T896" s="59">
        <v>23300</v>
      </c>
      <c r="U896" s="59"/>
      <c r="V896" s="59"/>
      <c r="W896" s="32">
        <f t="shared" si="114"/>
        <v>23300</v>
      </c>
    </row>
    <row r="897" spans="1:23" ht="12">
      <c r="A897" s="25"/>
      <c r="B897" s="25"/>
      <c r="C897" s="26">
        <v>4170</v>
      </c>
      <c r="D897" s="27" t="s">
        <v>33</v>
      </c>
      <c r="E897" s="93">
        <v>8400</v>
      </c>
      <c r="F897" s="11">
        <v>8400</v>
      </c>
      <c r="G897" s="1">
        <v>8400</v>
      </c>
      <c r="H897" s="59">
        <v>8400</v>
      </c>
      <c r="I897" s="59"/>
      <c r="J897" s="59">
        <v>8400</v>
      </c>
      <c r="K897" s="59">
        <v>4200</v>
      </c>
      <c r="L897" s="56">
        <v>4200</v>
      </c>
      <c r="M897" s="59">
        <v>8400</v>
      </c>
      <c r="N897" s="59">
        <v>8700</v>
      </c>
      <c r="O897" s="59">
        <v>8700</v>
      </c>
      <c r="P897" s="59">
        <v>2006</v>
      </c>
      <c r="Q897" s="186">
        <f t="shared" si="116"/>
        <v>0.23057471264367815</v>
      </c>
      <c r="R897" s="153">
        <v>6570</v>
      </c>
      <c r="S897" s="153">
        <v>8700</v>
      </c>
      <c r="T897" s="59">
        <v>6600</v>
      </c>
      <c r="U897" s="59"/>
      <c r="V897" s="59"/>
      <c r="W897" s="32">
        <f t="shared" si="114"/>
        <v>6600</v>
      </c>
    </row>
    <row r="898" spans="1:23" ht="12">
      <c r="A898" s="25"/>
      <c r="B898" s="25"/>
      <c r="C898" s="26">
        <v>4210</v>
      </c>
      <c r="D898" s="27" t="s">
        <v>34</v>
      </c>
      <c r="E898" s="93">
        <v>163200</v>
      </c>
      <c r="F898" s="11">
        <v>163700</v>
      </c>
      <c r="G898" s="1">
        <v>168300</v>
      </c>
      <c r="H898" s="59">
        <v>167500</v>
      </c>
      <c r="I898" s="59"/>
      <c r="J898" s="59">
        <v>167500</v>
      </c>
      <c r="K898" s="59">
        <v>167500</v>
      </c>
      <c r="L898" s="56">
        <v>167500</v>
      </c>
      <c r="M898" s="59">
        <v>173500</v>
      </c>
      <c r="N898" s="59">
        <v>172400</v>
      </c>
      <c r="O898" s="59">
        <v>169400</v>
      </c>
      <c r="P898" s="59">
        <v>49125</v>
      </c>
      <c r="Q898" s="186">
        <f t="shared" si="116"/>
        <v>0.2899940968122786</v>
      </c>
      <c r="R898" s="153">
        <v>148000</v>
      </c>
      <c r="S898" s="153">
        <v>151000</v>
      </c>
      <c r="T898" s="59">
        <v>148000</v>
      </c>
      <c r="U898" s="59"/>
      <c r="V898" s="59">
        <v>4900</v>
      </c>
      <c r="W898" s="32">
        <f aca="true" t="shared" si="117" ref="W898:W964">T898+U898-V898</f>
        <v>143100</v>
      </c>
    </row>
    <row r="899" spans="1:23" ht="12">
      <c r="A899" s="25"/>
      <c r="B899" s="25"/>
      <c r="C899" s="26">
        <v>4220</v>
      </c>
      <c r="D899" s="27" t="s">
        <v>180</v>
      </c>
      <c r="E899" s="93">
        <v>138900</v>
      </c>
      <c r="F899" s="11">
        <v>138900</v>
      </c>
      <c r="G899" s="1">
        <v>142600</v>
      </c>
      <c r="H899" s="59">
        <v>142200</v>
      </c>
      <c r="I899" s="59"/>
      <c r="J899" s="59">
        <v>142200</v>
      </c>
      <c r="K899" s="59">
        <v>142200</v>
      </c>
      <c r="L899" s="56">
        <v>142200</v>
      </c>
      <c r="M899" s="59">
        <v>146500</v>
      </c>
      <c r="N899" s="59">
        <v>146300</v>
      </c>
      <c r="O899" s="59">
        <v>146300</v>
      </c>
      <c r="P899" s="59">
        <v>71179</v>
      </c>
      <c r="Q899" s="186">
        <f t="shared" si="116"/>
        <v>0.4865276828434723</v>
      </c>
      <c r="R899" s="153">
        <v>146300</v>
      </c>
      <c r="S899" s="153">
        <v>146300</v>
      </c>
      <c r="T899" s="59">
        <v>146300</v>
      </c>
      <c r="U899" s="59"/>
      <c r="V899" s="59"/>
      <c r="W899" s="32">
        <f t="shared" si="117"/>
        <v>146300</v>
      </c>
    </row>
    <row r="900" spans="1:23" ht="36">
      <c r="A900" s="25"/>
      <c r="B900" s="25"/>
      <c r="C900" s="26">
        <v>4230</v>
      </c>
      <c r="D900" s="27" t="s">
        <v>88</v>
      </c>
      <c r="E900" s="93">
        <v>19170</v>
      </c>
      <c r="F900" s="11">
        <f>16300+2870</f>
        <v>19170</v>
      </c>
      <c r="G900" s="1">
        <v>28100</v>
      </c>
      <c r="H900" s="59">
        <v>19600</v>
      </c>
      <c r="I900" s="59"/>
      <c r="J900" s="59">
        <v>19600</v>
      </c>
      <c r="K900" s="59">
        <v>19600</v>
      </c>
      <c r="L900" s="56">
        <v>19600</v>
      </c>
      <c r="M900" s="59">
        <v>27200</v>
      </c>
      <c r="N900" s="59">
        <v>30100</v>
      </c>
      <c r="O900" s="59">
        <v>30100</v>
      </c>
      <c r="P900" s="59">
        <v>9310</v>
      </c>
      <c r="Q900" s="186">
        <f t="shared" si="116"/>
        <v>0.30930232558139537</v>
      </c>
      <c r="R900" s="153">
        <v>30100</v>
      </c>
      <c r="S900" s="153">
        <v>30100</v>
      </c>
      <c r="T900" s="59">
        <v>34100</v>
      </c>
      <c r="U900" s="59"/>
      <c r="V900" s="59">
        <v>2400</v>
      </c>
      <c r="W900" s="32">
        <f t="shared" si="117"/>
        <v>31700</v>
      </c>
    </row>
    <row r="901" spans="1:23" ht="12">
      <c r="A901" s="25"/>
      <c r="B901" s="25"/>
      <c r="C901" s="26">
        <v>4260</v>
      </c>
      <c r="D901" s="27" t="s">
        <v>35</v>
      </c>
      <c r="E901" s="93">
        <v>42800</v>
      </c>
      <c r="F901" s="11">
        <v>42800</v>
      </c>
      <c r="G901" s="1">
        <v>44100</v>
      </c>
      <c r="H901" s="59">
        <v>43800</v>
      </c>
      <c r="I901" s="59"/>
      <c r="J901" s="59">
        <v>43800</v>
      </c>
      <c r="K901" s="59">
        <v>54000</v>
      </c>
      <c r="L901" s="56">
        <v>54000</v>
      </c>
      <c r="M901" s="59">
        <v>56600</v>
      </c>
      <c r="N901" s="59">
        <v>45100</v>
      </c>
      <c r="O901" s="59">
        <v>56100</v>
      </c>
      <c r="P901" s="59">
        <v>30695</v>
      </c>
      <c r="Q901" s="186">
        <f t="shared" si="116"/>
        <v>0.5471479500891265</v>
      </c>
      <c r="R901" s="153">
        <v>56100</v>
      </c>
      <c r="S901" s="153">
        <v>68400</v>
      </c>
      <c r="T901" s="59">
        <v>58900</v>
      </c>
      <c r="U901" s="59">
        <v>4100</v>
      </c>
      <c r="V901" s="59"/>
      <c r="W901" s="32">
        <f t="shared" si="117"/>
        <v>63000</v>
      </c>
    </row>
    <row r="902" spans="1:23" ht="12">
      <c r="A902" s="25"/>
      <c r="B902" s="25"/>
      <c r="C902" s="26">
        <v>4270</v>
      </c>
      <c r="D902" s="27" t="s">
        <v>36</v>
      </c>
      <c r="E902" s="93">
        <v>15500</v>
      </c>
      <c r="F902" s="11">
        <v>18100</v>
      </c>
      <c r="G902" s="1">
        <v>17800</v>
      </c>
      <c r="H902" s="59">
        <v>17800</v>
      </c>
      <c r="I902" s="59"/>
      <c r="J902" s="59">
        <v>17800</v>
      </c>
      <c r="K902" s="59">
        <v>17800</v>
      </c>
      <c r="L902" s="56">
        <v>17800</v>
      </c>
      <c r="M902" s="59">
        <v>18300</v>
      </c>
      <c r="N902" s="59">
        <v>18300</v>
      </c>
      <c r="O902" s="59">
        <v>17300</v>
      </c>
      <c r="P902" s="59">
        <v>4758</v>
      </c>
      <c r="Q902" s="186">
        <f t="shared" si="116"/>
        <v>0.27502890173410405</v>
      </c>
      <c r="R902" s="153">
        <v>47300</v>
      </c>
      <c r="S902" s="153">
        <v>17300</v>
      </c>
      <c r="T902" s="59">
        <v>17300</v>
      </c>
      <c r="U902" s="59"/>
      <c r="V902" s="59"/>
      <c r="W902" s="32">
        <f t="shared" si="117"/>
        <v>17300</v>
      </c>
    </row>
    <row r="903" spans="1:23" ht="12">
      <c r="A903" s="25"/>
      <c r="B903" s="25"/>
      <c r="C903" s="26">
        <v>4280</v>
      </c>
      <c r="D903" s="27" t="s">
        <v>37</v>
      </c>
      <c r="E903" s="93">
        <v>2800</v>
      </c>
      <c r="F903" s="11">
        <v>2800</v>
      </c>
      <c r="G903" s="1">
        <v>2800</v>
      </c>
      <c r="H903" s="59">
        <v>2800</v>
      </c>
      <c r="I903" s="59"/>
      <c r="J903" s="59">
        <v>2800</v>
      </c>
      <c r="K903" s="59">
        <v>1100</v>
      </c>
      <c r="L903" s="56">
        <v>1100</v>
      </c>
      <c r="M903" s="59">
        <v>1000</v>
      </c>
      <c r="N903" s="59">
        <v>2900</v>
      </c>
      <c r="O903" s="59">
        <v>2900</v>
      </c>
      <c r="P903" s="59">
        <v>546</v>
      </c>
      <c r="Q903" s="186">
        <f t="shared" si="116"/>
        <v>0.18827586206896552</v>
      </c>
      <c r="R903" s="153">
        <v>2900</v>
      </c>
      <c r="S903" s="153">
        <v>2900</v>
      </c>
      <c r="T903" s="59">
        <v>2900</v>
      </c>
      <c r="U903" s="59"/>
      <c r="V903" s="59"/>
      <c r="W903" s="32">
        <f t="shared" si="117"/>
        <v>2900</v>
      </c>
    </row>
    <row r="904" spans="1:23" ht="12">
      <c r="A904" s="25"/>
      <c r="B904" s="25"/>
      <c r="C904" s="26">
        <v>4300</v>
      </c>
      <c r="D904" s="27" t="s">
        <v>17</v>
      </c>
      <c r="E904" s="93">
        <v>39000</v>
      </c>
      <c r="F904" s="11">
        <v>37885</v>
      </c>
      <c r="G904" s="1">
        <v>52550</v>
      </c>
      <c r="H904" s="59">
        <v>38800</v>
      </c>
      <c r="I904" s="59"/>
      <c r="J904" s="59">
        <v>38800</v>
      </c>
      <c r="K904" s="59">
        <v>40700</v>
      </c>
      <c r="L904" s="56">
        <v>40700</v>
      </c>
      <c r="M904" s="59">
        <v>44000</v>
      </c>
      <c r="N904" s="59">
        <v>39900</v>
      </c>
      <c r="O904" s="59">
        <v>43400</v>
      </c>
      <c r="P904" s="59">
        <v>21565</v>
      </c>
      <c r="Q904" s="186">
        <f t="shared" si="116"/>
        <v>0.496889400921659</v>
      </c>
      <c r="R904" s="153">
        <v>43400</v>
      </c>
      <c r="S904" s="153">
        <v>47700</v>
      </c>
      <c r="T904" s="59">
        <v>47700</v>
      </c>
      <c r="U904" s="59"/>
      <c r="V904" s="59"/>
      <c r="W904" s="32">
        <f t="shared" si="117"/>
        <v>47700</v>
      </c>
    </row>
    <row r="905" spans="1:23" ht="24">
      <c r="A905" s="25"/>
      <c r="B905" s="25"/>
      <c r="C905" s="26">
        <v>4350</v>
      </c>
      <c r="D905" s="27" t="s">
        <v>38</v>
      </c>
      <c r="E905" s="93">
        <v>1600</v>
      </c>
      <c r="F905" s="11">
        <v>1600</v>
      </c>
      <c r="G905" s="1">
        <v>1650</v>
      </c>
      <c r="H905" s="59">
        <v>1600</v>
      </c>
      <c r="I905" s="59"/>
      <c r="J905" s="59">
        <v>1600</v>
      </c>
      <c r="K905" s="59">
        <v>1600</v>
      </c>
      <c r="L905" s="56">
        <v>1600</v>
      </c>
      <c r="M905" s="59">
        <v>1700</v>
      </c>
      <c r="N905" s="59">
        <v>1650</v>
      </c>
      <c r="O905" s="59">
        <v>1650</v>
      </c>
      <c r="P905" s="59">
        <v>719</v>
      </c>
      <c r="Q905" s="186">
        <f t="shared" si="116"/>
        <v>0.43575757575757573</v>
      </c>
      <c r="R905" s="153">
        <v>1650</v>
      </c>
      <c r="S905" s="153">
        <v>1650</v>
      </c>
      <c r="T905" s="59">
        <v>1650</v>
      </c>
      <c r="U905" s="59"/>
      <c r="V905" s="59"/>
      <c r="W905" s="32">
        <f t="shared" si="117"/>
        <v>1650</v>
      </c>
    </row>
    <row r="906" spans="1:23" ht="36">
      <c r="A906" s="25"/>
      <c r="B906" s="25"/>
      <c r="C906" s="26">
        <v>4360</v>
      </c>
      <c r="D906" s="27" t="s">
        <v>130</v>
      </c>
      <c r="E906" s="93">
        <v>1300</v>
      </c>
      <c r="F906" s="11">
        <v>1300</v>
      </c>
      <c r="G906" s="1">
        <v>1500</v>
      </c>
      <c r="H906" s="59">
        <v>1350</v>
      </c>
      <c r="I906" s="59"/>
      <c r="J906" s="59">
        <v>1350</v>
      </c>
      <c r="K906" s="59">
        <v>1450</v>
      </c>
      <c r="L906" s="56">
        <v>1450</v>
      </c>
      <c r="M906" s="59">
        <v>1900</v>
      </c>
      <c r="N906" s="59">
        <v>1400</v>
      </c>
      <c r="O906" s="59">
        <v>1400</v>
      </c>
      <c r="P906" s="59">
        <v>746</v>
      </c>
      <c r="Q906" s="186">
        <f t="shared" si="116"/>
        <v>0.5328571428571428</v>
      </c>
      <c r="R906" s="153">
        <v>1400</v>
      </c>
      <c r="S906" s="153">
        <v>1400</v>
      </c>
      <c r="T906" s="59">
        <v>1400</v>
      </c>
      <c r="U906" s="59"/>
      <c r="V906" s="59"/>
      <c r="W906" s="32">
        <f t="shared" si="117"/>
        <v>1400</v>
      </c>
    </row>
    <row r="907" spans="1:23" ht="36">
      <c r="A907" s="25"/>
      <c r="B907" s="25"/>
      <c r="C907" s="26">
        <v>4370</v>
      </c>
      <c r="D907" s="27" t="s">
        <v>135</v>
      </c>
      <c r="E907" s="93">
        <v>9200</v>
      </c>
      <c r="F907" s="11">
        <v>9200</v>
      </c>
      <c r="G907" s="1">
        <v>9200</v>
      </c>
      <c r="H907" s="59">
        <v>9200</v>
      </c>
      <c r="I907" s="59"/>
      <c r="J907" s="59">
        <v>9200</v>
      </c>
      <c r="K907" s="59">
        <v>6300</v>
      </c>
      <c r="L907" s="56">
        <v>6300</v>
      </c>
      <c r="M907" s="59">
        <v>6500</v>
      </c>
      <c r="N907" s="59">
        <v>9500</v>
      </c>
      <c r="O907" s="59">
        <v>7500</v>
      </c>
      <c r="P907" s="59">
        <v>3119</v>
      </c>
      <c r="Q907" s="186">
        <f t="shared" si="116"/>
        <v>0.41586666666666666</v>
      </c>
      <c r="R907" s="153">
        <v>7500</v>
      </c>
      <c r="S907" s="153">
        <v>7500</v>
      </c>
      <c r="T907" s="59">
        <v>7500</v>
      </c>
      <c r="U907" s="59"/>
      <c r="V907" s="59"/>
      <c r="W907" s="32">
        <f t="shared" si="117"/>
        <v>7500</v>
      </c>
    </row>
    <row r="908" spans="1:23" ht="12">
      <c r="A908" s="25"/>
      <c r="B908" s="25"/>
      <c r="C908" s="26">
        <v>4410</v>
      </c>
      <c r="D908" s="27" t="s">
        <v>42</v>
      </c>
      <c r="E908" s="93">
        <v>2500</v>
      </c>
      <c r="F908" s="11">
        <v>2500</v>
      </c>
      <c r="G908" s="1">
        <v>1500</v>
      </c>
      <c r="H908" s="59">
        <v>1500</v>
      </c>
      <c r="I908" s="59"/>
      <c r="J908" s="59">
        <v>1500</v>
      </c>
      <c r="K908" s="59">
        <v>600</v>
      </c>
      <c r="L908" s="56">
        <v>600</v>
      </c>
      <c r="M908" s="59">
        <v>1500</v>
      </c>
      <c r="N908" s="59">
        <v>1500</v>
      </c>
      <c r="O908" s="59">
        <v>1000</v>
      </c>
      <c r="P908" s="59"/>
      <c r="Q908" s="186">
        <f t="shared" si="116"/>
        <v>0</v>
      </c>
      <c r="R908" s="153">
        <v>1000</v>
      </c>
      <c r="S908" s="153">
        <v>1000</v>
      </c>
      <c r="T908" s="59">
        <v>1000</v>
      </c>
      <c r="U908" s="59"/>
      <c r="V908" s="59"/>
      <c r="W908" s="32">
        <f t="shared" si="117"/>
        <v>1000</v>
      </c>
    </row>
    <row r="909" spans="1:23" ht="12">
      <c r="A909" s="25"/>
      <c r="B909" s="25"/>
      <c r="C909" s="26">
        <v>4430</v>
      </c>
      <c r="D909" s="27" t="s">
        <v>43</v>
      </c>
      <c r="E909" s="93">
        <v>9600</v>
      </c>
      <c r="F909" s="11">
        <v>9600</v>
      </c>
      <c r="G909" s="1">
        <v>9900</v>
      </c>
      <c r="H909" s="59">
        <v>9800</v>
      </c>
      <c r="I909" s="59"/>
      <c r="J909" s="59">
        <v>9800</v>
      </c>
      <c r="K909" s="59">
        <v>8900</v>
      </c>
      <c r="L909" s="56">
        <v>8900</v>
      </c>
      <c r="M909" s="59">
        <v>9600</v>
      </c>
      <c r="N909" s="59">
        <v>10100</v>
      </c>
      <c r="O909" s="59">
        <v>7100</v>
      </c>
      <c r="P909" s="59">
        <v>5760</v>
      </c>
      <c r="Q909" s="186">
        <f t="shared" si="116"/>
        <v>0.8112676056338028</v>
      </c>
      <c r="R909" s="153">
        <v>7100</v>
      </c>
      <c r="S909" s="153">
        <v>7100</v>
      </c>
      <c r="T909" s="59">
        <v>7100</v>
      </c>
      <c r="U909" s="59"/>
      <c r="V909" s="59"/>
      <c r="W909" s="32">
        <f t="shared" si="117"/>
        <v>7100</v>
      </c>
    </row>
    <row r="910" spans="1:23" ht="24">
      <c r="A910" s="25"/>
      <c r="B910" s="25"/>
      <c r="C910" s="26">
        <v>4440</v>
      </c>
      <c r="D910" s="27" t="s">
        <v>44</v>
      </c>
      <c r="E910" s="93">
        <v>25700</v>
      </c>
      <c r="F910" s="11">
        <v>28563</v>
      </c>
      <c r="G910" s="1">
        <v>29200</v>
      </c>
      <c r="H910" s="59">
        <v>29500</v>
      </c>
      <c r="I910" s="59"/>
      <c r="J910" s="59">
        <v>29500</v>
      </c>
      <c r="K910" s="59">
        <v>29500</v>
      </c>
      <c r="L910" s="56">
        <v>29500</v>
      </c>
      <c r="M910" s="59">
        <v>33000</v>
      </c>
      <c r="N910" s="59">
        <v>33370</v>
      </c>
      <c r="O910" s="59">
        <v>33370</v>
      </c>
      <c r="P910" s="59">
        <v>26626</v>
      </c>
      <c r="Q910" s="186">
        <f t="shared" si="116"/>
        <v>0.797902307461792</v>
      </c>
      <c r="R910" s="153">
        <v>35500</v>
      </c>
      <c r="S910" s="153">
        <v>35500</v>
      </c>
      <c r="T910" s="59">
        <v>35500</v>
      </c>
      <c r="U910" s="59">
        <v>1700</v>
      </c>
      <c r="V910" s="59"/>
      <c r="W910" s="32">
        <f t="shared" si="117"/>
        <v>37200</v>
      </c>
    </row>
    <row r="911" spans="1:23" ht="24">
      <c r="A911" s="25"/>
      <c r="B911" s="25"/>
      <c r="C911" s="26">
        <v>4520</v>
      </c>
      <c r="D911" s="27" t="s">
        <v>191</v>
      </c>
      <c r="E911" s="93">
        <v>4600</v>
      </c>
      <c r="F911" s="11">
        <v>4600</v>
      </c>
      <c r="G911" s="1">
        <v>4600</v>
      </c>
      <c r="H911" s="59">
        <v>4600</v>
      </c>
      <c r="I911" s="59"/>
      <c r="J911" s="59">
        <v>4600</v>
      </c>
      <c r="K911" s="59">
        <v>4600</v>
      </c>
      <c r="L911" s="59">
        <v>4600</v>
      </c>
      <c r="M911" s="59">
        <v>4600</v>
      </c>
      <c r="N911" s="59">
        <v>4600</v>
      </c>
      <c r="O911" s="59">
        <v>4600</v>
      </c>
      <c r="P911" s="59">
        <v>4591</v>
      </c>
      <c r="Q911" s="186">
        <f t="shared" si="116"/>
        <v>0.9980434782608696</v>
      </c>
      <c r="R911" s="153">
        <v>4600</v>
      </c>
      <c r="S911" s="153">
        <v>4600</v>
      </c>
      <c r="T911" s="59">
        <v>15745</v>
      </c>
      <c r="U911" s="59"/>
      <c r="V911" s="59"/>
      <c r="W911" s="32">
        <f t="shared" si="117"/>
        <v>15745</v>
      </c>
    </row>
    <row r="912" spans="1:23" ht="12">
      <c r="A912" s="25"/>
      <c r="B912" s="25"/>
      <c r="C912" s="26">
        <v>4480</v>
      </c>
      <c r="D912" s="27" t="s">
        <v>61</v>
      </c>
      <c r="E912" s="93">
        <v>3100</v>
      </c>
      <c r="F912" s="11">
        <v>1715</v>
      </c>
      <c r="G912" s="1">
        <v>1800</v>
      </c>
      <c r="H912" s="59">
        <v>1760</v>
      </c>
      <c r="I912" s="59"/>
      <c r="J912" s="59">
        <v>1760</v>
      </c>
      <c r="K912" s="59">
        <v>160</v>
      </c>
      <c r="L912" s="56">
        <v>160</v>
      </c>
      <c r="M912" s="59">
        <v>1800</v>
      </c>
      <c r="N912" s="59">
        <v>1800</v>
      </c>
      <c r="O912" s="59">
        <v>300</v>
      </c>
      <c r="P912" s="59">
        <v>117</v>
      </c>
      <c r="Q912" s="186">
        <f t="shared" si="116"/>
        <v>0.39</v>
      </c>
      <c r="R912" s="153">
        <v>300</v>
      </c>
      <c r="S912" s="153">
        <v>300</v>
      </c>
      <c r="T912" s="59">
        <v>300</v>
      </c>
      <c r="U912" s="59"/>
      <c r="V912" s="59"/>
      <c r="W912" s="32">
        <f t="shared" si="117"/>
        <v>300</v>
      </c>
    </row>
    <row r="913" spans="1:23" ht="36">
      <c r="A913" s="25"/>
      <c r="B913" s="25"/>
      <c r="C913" s="26">
        <v>4700</v>
      </c>
      <c r="D913" s="27" t="s">
        <v>46</v>
      </c>
      <c r="E913" s="93">
        <v>1200</v>
      </c>
      <c r="F913" s="11">
        <v>3200</v>
      </c>
      <c r="G913" s="1">
        <v>5000</v>
      </c>
      <c r="H913" s="59">
        <v>3300</v>
      </c>
      <c r="I913" s="59"/>
      <c r="J913" s="59">
        <v>3300</v>
      </c>
      <c r="K913" s="59">
        <v>3300</v>
      </c>
      <c r="L913" s="56">
        <v>3300</v>
      </c>
      <c r="M913" s="59">
        <v>5000</v>
      </c>
      <c r="N913" s="59">
        <v>3400</v>
      </c>
      <c r="O913" s="59">
        <v>3400</v>
      </c>
      <c r="P913" s="59">
        <v>610</v>
      </c>
      <c r="Q913" s="186">
        <f t="shared" si="116"/>
        <v>0.17941176470588235</v>
      </c>
      <c r="R913" s="153">
        <v>3400</v>
      </c>
      <c r="S913" s="153">
        <v>3400</v>
      </c>
      <c r="T913" s="59">
        <v>3400</v>
      </c>
      <c r="U913" s="59"/>
      <c r="V913" s="59"/>
      <c r="W913" s="32">
        <f t="shared" si="117"/>
        <v>3400</v>
      </c>
    </row>
    <row r="914" spans="1:23" ht="36">
      <c r="A914" s="25"/>
      <c r="B914" s="25"/>
      <c r="C914" s="26">
        <v>4740</v>
      </c>
      <c r="D914" s="27" t="s">
        <v>73</v>
      </c>
      <c r="E914" s="93">
        <v>1300</v>
      </c>
      <c r="F914" s="11">
        <v>1300</v>
      </c>
      <c r="G914" s="1">
        <v>2000</v>
      </c>
      <c r="H914" s="59">
        <v>1330</v>
      </c>
      <c r="I914" s="59"/>
      <c r="J914" s="59">
        <v>1330</v>
      </c>
      <c r="K914" s="59">
        <v>1330</v>
      </c>
      <c r="L914" s="56">
        <v>1330</v>
      </c>
      <c r="M914" s="59">
        <v>2000</v>
      </c>
      <c r="N914" s="59">
        <v>1400</v>
      </c>
      <c r="O914" s="59">
        <v>1400</v>
      </c>
      <c r="P914" s="59">
        <v>91</v>
      </c>
      <c r="Q914" s="186">
        <f t="shared" si="116"/>
        <v>0.065</v>
      </c>
      <c r="R914" s="153">
        <v>1400</v>
      </c>
      <c r="S914" s="153">
        <v>1400</v>
      </c>
      <c r="T914" s="59">
        <v>1400</v>
      </c>
      <c r="U914" s="59"/>
      <c r="V914" s="59"/>
      <c r="W914" s="32">
        <f t="shared" si="117"/>
        <v>1400</v>
      </c>
    </row>
    <row r="915" spans="1:23" ht="24">
      <c r="A915" s="25"/>
      <c r="B915" s="25"/>
      <c r="C915" s="26">
        <v>4750</v>
      </c>
      <c r="D915" s="27" t="s">
        <v>118</v>
      </c>
      <c r="E915" s="93">
        <v>200</v>
      </c>
      <c r="F915" s="11">
        <v>700</v>
      </c>
      <c r="G915" s="1">
        <v>2000</v>
      </c>
      <c r="H915" s="59">
        <v>720</v>
      </c>
      <c r="I915" s="59"/>
      <c r="J915" s="59">
        <v>720</v>
      </c>
      <c r="K915" s="59">
        <v>720</v>
      </c>
      <c r="L915" s="56">
        <v>720</v>
      </c>
      <c r="M915" s="59">
        <v>2000</v>
      </c>
      <c r="N915" s="59">
        <v>740</v>
      </c>
      <c r="O915" s="59">
        <v>1640</v>
      </c>
      <c r="P915" s="59">
        <v>659</v>
      </c>
      <c r="Q915" s="186">
        <f t="shared" si="116"/>
        <v>0.40182926829268295</v>
      </c>
      <c r="R915" s="153">
        <v>1640</v>
      </c>
      <c r="S915" s="153">
        <v>1640</v>
      </c>
      <c r="T915" s="59">
        <v>1640</v>
      </c>
      <c r="U915" s="59"/>
      <c r="V915" s="59"/>
      <c r="W915" s="32">
        <f t="shared" si="117"/>
        <v>1640</v>
      </c>
    </row>
    <row r="916" spans="1:23" ht="12">
      <c r="A916" s="25"/>
      <c r="B916" s="25"/>
      <c r="C916" s="26"/>
      <c r="D916" s="42" t="s">
        <v>146</v>
      </c>
      <c r="E916" s="93"/>
      <c r="F916" s="11"/>
      <c r="G916" s="1"/>
      <c r="H916" s="59"/>
      <c r="I916" s="59"/>
      <c r="J916" s="59">
        <f>SUM(J917)</f>
        <v>0</v>
      </c>
      <c r="K916" s="59">
        <f>SUM(K917)</f>
        <v>106699</v>
      </c>
      <c r="L916" s="56">
        <v>0</v>
      </c>
      <c r="M916" s="59">
        <f>SUM(M917)</f>
        <v>0</v>
      </c>
      <c r="N916" s="59">
        <f>SUM(N917)</f>
        <v>50000</v>
      </c>
      <c r="O916" s="59">
        <f>SUM(O917)</f>
        <v>162500</v>
      </c>
      <c r="P916" s="59">
        <f>SUM(P917)</f>
        <v>49999</v>
      </c>
      <c r="Q916" s="186">
        <f t="shared" si="116"/>
        <v>0.30768615384615383</v>
      </c>
      <c r="R916" s="59">
        <f>SUM(R917)</f>
        <v>208</v>
      </c>
      <c r="S916" s="59">
        <f>SUM(S917)</f>
        <v>3023900</v>
      </c>
      <c r="T916" s="59">
        <v>2541214</v>
      </c>
      <c r="U916" s="59">
        <f>SUM(U917:U919)</f>
        <v>50000</v>
      </c>
      <c r="V916" s="59">
        <f>SUM(V917:V919)</f>
        <v>100000</v>
      </c>
      <c r="W916" s="32">
        <f t="shared" si="117"/>
        <v>2491214</v>
      </c>
    </row>
    <row r="917" spans="1:23" ht="24">
      <c r="A917" s="8"/>
      <c r="B917" s="8"/>
      <c r="C917" s="26">
        <v>6050</v>
      </c>
      <c r="D917" s="10" t="s">
        <v>193</v>
      </c>
      <c r="E917" s="55">
        <v>0</v>
      </c>
      <c r="F917" s="55">
        <v>12000</v>
      </c>
      <c r="G917" s="101">
        <v>11000</v>
      </c>
      <c r="H917" s="59">
        <v>11000</v>
      </c>
      <c r="I917" s="59"/>
      <c r="J917" s="59"/>
      <c r="K917" s="59">
        <v>106699</v>
      </c>
      <c r="L917" s="56">
        <v>0</v>
      </c>
      <c r="M917" s="59">
        <v>0</v>
      </c>
      <c r="N917" s="59">
        <v>50000</v>
      </c>
      <c r="O917" s="59">
        <v>162500</v>
      </c>
      <c r="P917" s="59">
        <v>49999</v>
      </c>
      <c r="Q917" s="186">
        <f t="shared" si="116"/>
        <v>0.30768615384615383</v>
      </c>
      <c r="R917" s="59">
        <v>208</v>
      </c>
      <c r="S917" s="59">
        <v>3023900</v>
      </c>
      <c r="T917" s="59">
        <v>0</v>
      </c>
      <c r="U917" s="59">
        <v>50000</v>
      </c>
      <c r="V917" s="59"/>
      <c r="W917" s="32">
        <f t="shared" si="117"/>
        <v>50000</v>
      </c>
    </row>
    <row r="918" spans="1:23" ht="24">
      <c r="A918" s="8"/>
      <c r="B918" s="8"/>
      <c r="C918" s="26">
        <v>6057</v>
      </c>
      <c r="D918" s="10" t="s">
        <v>193</v>
      </c>
      <c r="E918" s="55"/>
      <c r="F918" s="55"/>
      <c r="G918" s="101"/>
      <c r="H918" s="59"/>
      <c r="I918" s="59"/>
      <c r="J918" s="59"/>
      <c r="K918" s="59"/>
      <c r="L918" s="56"/>
      <c r="M918" s="59"/>
      <c r="N918" s="59"/>
      <c r="O918" s="59"/>
      <c r="P918" s="59"/>
      <c r="Q918" s="186"/>
      <c r="R918" s="59"/>
      <c r="S918" s="59"/>
      <c r="T918" s="59">
        <v>1996614</v>
      </c>
      <c r="U918" s="59"/>
      <c r="V918" s="59"/>
      <c r="W918" s="32">
        <f>T918+U918-V918</f>
        <v>1996614</v>
      </c>
    </row>
    <row r="919" spans="1:23" ht="24">
      <c r="A919" s="8"/>
      <c r="B919" s="8"/>
      <c r="C919" s="26">
        <v>6059</v>
      </c>
      <c r="D919" s="10" t="s">
        <v>193</v>
      </c>
      <c r="E919" s="55"/>
      <c r="F919" s="55"/>
      <c r="G919" s="101"/>
      <c r="H919" s="59"/>
      <c r="I919" s="59"/>
      <c r="J919" s="59"/>
      <c r="K919" s="59"/>
      <c r="L919" s="56"/>
      <c r="M919" s="59"/>
      <c r="N919" s="59"/>
      <c r="O919" s="59"/>
      <c r="P919" s="59"/>
      <c r="Q919" s="186"/>
      <c r="R919" s="59"/>
      <c r="S919" s="59"/>
      <c r="T919" s="59">
        <v>544600</v>
      </c>
      <c r="U919" s="59"/>
      <c r="V919" s="59">
        <f>50000+50000</f>
        <v>100000</v>
      </c>
      <c r="W919" s="32">
        <f t="shared" si="117"/>
        <v>444600</v>
      </c>
    </row>
    <row r="920" spans="1:23" ht="12">
      <c r="A920" s="33"/>
      <c r="B920" s="33">
        <v>85203</v>
      </c>
      <c r="C920" s="36"/>
      <c r="D920" s="42" t="s">
        <v>197</v>
      </c>
      <c r="E920" s="35" t="e">
        <f>SUM(E921:E944)</f>
        <v>#REF!</v>
      </c>
      <c r="F920" s="35" t="e">
        <f>SUM(F921:F944)</f>
        <v>#REF!</v>
      </c>
      <c r="G920" s="35" t="e">
        <f>SUM(G921:G944)</f>
        <v>#REF!</v>
      </c>
      <c r="H920" s="35" t="e">
        <f>SUM(H921:H944)</f>
        <v>#REF!</v>
      </c>
      <c r="I920" s="35"/>
      <c r="J920" s="35">
        <f>SUM(J921:J944)</f>
        <v>696600</v>
      </c>
      <c r="K920" s="35" t="e">
        <f>SUM(K921:K944)</f>
        <v>#REF!</v>
      </c>
      <c r="L920" s="35" t="e">
        <f>SUM(L921:L944)</f>
        <v>#REF!</v>
      </c>
      <c r="M920" s="35" t="e">
        <f>SUM(M921:M944)</f>
        <v>#REF!</v>
      </c>
      <c r="N920" s="35">
        <v>750000</v>
      </c>
      <c r="O920" s="35">
        <v>750000</v>
      </c>
      <c r="P920" s="35">
        <f>SUM(P921:P944)</f>
        <v>365476</v>
      </c>
      <c r="Q920" s="186">
        <f t="shared" si="116"/>
        <v>0.4873013333333333</v>
      </c>
      <c r="R920" s="152">
        <f>SUM(R921:R944)</f>
        <v>783316</v>
      </c>
      <c r="S920" s="152">
        <f>SUM(S921:S944)</f>
        <v>813978</v>
      </c>
      <c r="T920" s="35">
        <v>754000</v>
      </c>
      <c r="U920" s="35">
        <f>SUM(U921:U944)</f>
        <v>11155</v>
      </c>
      <c r="V920" s="35">
        <f>SUM(V921:V944)</f>
        <v>11155</v>
      </c>
      <c r="W920" s="32">
        <f t="shared" si="117"/>
        <v>754000</v>
      </c>
    </row>
    <row r="921" spans="1:23" ht="24">
      <c r="A921" s="25"/>
      <c r="B921" s="25"/>
      <c r="C921" s="26">
        <v>3020</v>
      </c>
      <c r="D921" s="27" t="s">
        <v>188</v>
      </c>
      <c r="E921" s="11" t="e">
        <f>#REF!+E971</f>
        <v>#REF!</v>
      </c>
      <c r="F921" s="11" t="e">
        <f>#REF!+F971</f>
        <v>#REF!</v>
      </c>
      <c r="G921" s="11" t="e">
        <f>#REF!+G971</f>
        <v>#REF!</v>
      </c>
      <c r="H921" s="11" t="e">
        <f>#REF!+H971</f>
        <v>#REF!</v>
      </c>
      <c r="I921" s="11"/>
      <c r="J921" s="11">
        <v>600</v>
      </c>
      <c r="K921" s="11">
        <v>800</v>
      </c>
      <c r="L921" s="11" t="e">
        <f>#REF!+L971</f>
        <v>#REF!</v>
      </c>
      <c r="M921" s="11" t="e">
        <f>#REF!+M971</f>
        <v>#REF!</v>
      </c>
      <c r="N921" s="11">
        <v>810</v>
      </c>
      <c r="O921" s="11">
        <v>600</v>
      </c>
      <c r="P921" s="11">
        <f>P971</f>
        <v>0</v>
      </c>
      <c r="Q921" s="186">
        <f t="shared" si="116"/>
        <v>0</v>
      </c>
      <c r="R921" s="158">
        <f>R971+R946</f>
        <v>600</v>
      </c>
      <c r="S921" s="158">
        <f>S971+S946</f>
        <v>800</v>
      </c>
      <c r="T921" s="11">
        <v>2800</v>
      </c>
      <c r="U921" s="11">
        <f>U971+U946</f>
        <v>0</v>
      </c>
      <c r="V921" s="11">
        <f>V971+V946</f>
        <v>1500</v>
      </c>
      <c r="W921" s="32">
        <f t="shared" si="117"/>
        <v>1300</v>
      </c>
    </row>
    <row r="922" spans="1:23" ht="24">
      <c r="A922" s="25"/>
      <c r="B922" s="25"/>
      <c r="C922" s="26">
        <v>4010</v>
      </c>
      <c r="D922" s="27" t="s">
        <v>29</v>
      </c>
      <c r="E922" s="11">
        <f aca="true" t="shared" si="118" ref="E922:H925">E947+E972</f>
        <v>310800</v>
      </c>
      <c r="F922" s="11">
        <f t="shared" si="118"/>
        <v>326340</v>
      </c>
      <c r="G922" s="11">
        <f t="shared" si="118"/>
        <v>366220</v>
      </c>
      <c r="H922" s="11">
        <f t="shared" si="118"/>
        <v>366180</v>
      </c>
      <c r="I922" s="11">
        <v>366180</v>
      </c>
      <c r="J922" s="11">
        <v>366180</v>
      </c>
      <c r="K922" s="11">
        <v>373552</v>
      </c>
      <c r="L922" s="11">
        <f aca="true" t="shared" si="119" ref="L922:M925">L947+L972</f>
        <v>373552</v>
      </c>
      <c r="M922" s="11">
        <f t="shared" si="119"/>
        <v>398310</v>
      </c>
      <c r="N922" s="11">
        <v>398400</v>
      </c>
      <c r="O922" s="11">
        <v>398400</v>
      </c>
      <c r="P922" s="11">
        <f>P947+P972</f>
        <v>178339</v>
      </c>
      <c r="Q922" s="186">
        <f t="shared" si="116"/>
        <v>0.44763805220883535</v>
      </c>
      <c r="R922" s="158">
        <f aca="true" t="shared" si="120" ref="R922:V925">R947+R972</f>
        <v>411443</v>
      </c>
      <c r="S922" s="158">
        <f t="shared" si="120"/>
        <v>425828</v>
      </c>
      <c r="T922" s="11">
        <v>425780</v>
      </c>
      <c r="U922" s="11">
        <f t="shared" si="120"/>
        <v>0</v>
      </c>
      <c r="V922" s="11">
        <f t="shared" si="120"/>
        <v>0</v>
      </c>
      <c r="W922" s="32">
        <f t="shared" si="117"/>
        <v>425780</v>
      </c>
    </row>
    <row r="923" spans="1:23" ht="12">
      <c r="A923" s="25"/>
      <c r="B923" s="25"/>
      <c r="C923" s="26">
        <v>4040</v>
      </c>
      <c r="D923" s="27" t="s">
        <v>30</v>
      </c>
      <c r="E923" s="11">
        <f t="shared" si="118"/>
        <v>17100</v>
      </c>
      <c r="F923" s="11">
        <f t="shared" si="118"/>
        <v>17403</v>
      </c>
      <c r="G923" s="11">
        <f t="shared" si="118"/>
        <v>28000</v>
      </c>
      <c r="H923" s="11">
        <f t="shared" si="118"/>
        <v>28385</v>
      </c>
      <c r="I923" s="11"/>
      <c r="J923" s="11">
        <v>28400</v>
      </c>
      <c r="K923" s="11">
        <v>24513</v>
      </c>
      <c r="L923" s="11">
        <f t="shared" si="119"/>
        <v>24513</v>
      </c>
      <c r="M923" s="11">
        <f t="shared" si="119"/>
        <v>31550</v>
      </c>
      <c r="N923" s="11">
        <v>31100</v>
      </c>
      <c r="O923" s="11">
        <v>31602</v>
      </c>
      <c r="P923" s="11">
        <f>P948+P973</f>
        <v>29845</v>
      </c>
      <c r="Q923" s="186">
        <f t="shared" si="116"/>
        <v>0.9444022530219607</v>
      </c>
      <c r="R923" s="158">
        <f t="shared" si="120"/>
        <v>29845</v>
      </c>
      <c r="S923" s="158">
        <f t="shared" si="120"/>
        <v>34700</v>
      </c>
      <c r="T923" s="11">
        <v>34700</v>
      </c>
      <c r="U923" s="11">
        <f t="shared" si="120"/>
        <v>0</v>
      </c>
      <c r="V923" s="11">
        <f t="shared" si="120"/>
        <v>55</v>
      </c>
      <c r="W923" s="32">
        <f t="shared" si="117"/>
        <v>34645</v>
      </c>
    </row>
    <row r="924" spans="1:23" ht="24">
      <c r="A924" s="25"/>
      <c r="B924" s="25"/>
      <c r="C924" s="26">
        <v>4110</v>
      </c>
      <c r="D924" s="27" t="s">
        <v>31</v>
      </c>
      <c r="E924" s="11">
        <f t="shared" si="118"/>
        <v>56600</v>
      </c>
      <c r="F924" s="11">
        <f t="shared" si="118"/>
        <v>59350</v>
      </c>
      <c r="G924" s="11">
        <f t="shared" si="118"/>
        <v>63480</v>
      </c>
      <c r="H924" s="11">
        <f t="shared" si="118"/>
        <v>63530</v>
      </c>
      <c r="I924" s="11"/>
      <c r="J924" s="11">
        <v>63530</v>
      </c>
      <c r="K924" s="11">
        <f>K949+K974</f>
        <v>65941</v>
      </c>
      <c r="L924" s="11">
        <f t="shared" si="119"/>
        <v>65941</v>
      </c>
      <c r="M924" s="11">
        <f t="shared" si="119"/>
        <v>67600</v>
      </c>
      <c r="N924" s="11">
        <v>67870</v>
      </c>
      <c r="O924" s="11">
        <v>67870</v>
      </c>
      <c r="P924" s="11">
        <f>P949+P974</f>
        <v>28155</v>
      </c>
      <c r="Q924" s="186">
        <f t="shared" si="116"/>
        <v>0.4148371887431855</v>
      </c>
      <c r="R924" s="158">
        <f t="shared" si="120"/>
        <v>69058</v>
      </c>
      <c r="S924" s="158">
        <f t="shared" si="120"/>
        <v>68611</v>
      </c>
      <c r="T924" s="11">
        <v>68540</v>
      </c>
      <c r="U924" s="11">
        <f t="shared" si="120"/>
        <v>0</v>
      </c>
      <c r="V924" s="11">
        <f t="shared" si="120"/>
        <v>0</v>
      </c>
      <c r="W924" s="32">
        <f t="shared" si="117"/>
        <v>68540</v>
      </c>
    </row>
    <row r="925" spans="1:23" ht="12">
      <c r="A925" s="25"/>
      <c r="B925" s="25"/>
      <c r="C925" s="26">
        <v>4120</v>
      </c>
      <c r="D925" s="27" t="s">
        <v>32</v>
      </c>
      <c r="E925" s="11">
        <f t="shared" si="118"/>
        <v>8100</v>
      </c>
      <c r="F925" s="11">
        <f t="shared" si="118"/>
        <v>8480</v>
      </c>
      <c r="G925" s="11">
        <f t="shared" si="118"/>
        <v>8951</v>
      </c>
      <c r="H925" s="11">
        <f t="shared" si="118"/>
        <v>9320</v>
      </c>
      <c r="I925" s="11"/>
      <c r="J925" s="11">
        <v>9320</v>
      </c>
      <c r="K925" s="11">
        <f>K950+K975</f>
        <v>9660</v>
      </c>
      <c r="L925" s="11">
        <f t="shared" si="119"/>
        <v>9660</v>
      </c>
      <c r="M925" s="11">
        <f t="shared" si="119"/>
        <v>10530</v>
      </c>
      <c r="N925" s="11">
        <v>10520</v>
      </c>
      <c r="O925" s="11">
        <v>10520</v>
      </c>
      <c r="P925" s="11">
        <f>P950+P975</f>
        <v>4397</v>
      </c>
      <c r="Q925" s="186">
        <f t="shared" si="116"/>
        <v>0.4179657794676806</v>
      </c>
      <c r="R925" s="158">
        <f t="shared" si="120"/>
        <v>10705</v>
      </c>
      <c r="S925" s="158">
        <f t="shared" si="120"/>
        <v>10799</v>
      </c>
      <c r="T925" s="11">
        <v>10740</v>
      </c>
      <c r="U925" s="11">
        <f t="shared" si="120"/>
        <v>0</v>
      </c>
      <c r="V925" s="11">
        <f t="shared" si="120"/>
        <v>0</v>
      </c>
      <c r="W925" s="32">
        <f t="shared" si="117"/>
        <v>10740</v>
      </c>
    </row>
    <row r="926" spans="1:23" ht="12">
      <c r="A926" s="25"/>
      <c r="B926" s="25"/>
      <c r="C926" s="26">
        <v>4170</v>
      </c>
      <c r="D926" s="27" t="s">
        <v>137</v>
      </c>
      <c r="E926" s="11">
        <f>E951</f>
        <v>16800</v>
      </c>
      <c r="F926" s="11">
        <f>F951</f>
        <v>16800</v>
      </c>
      <c r="G926" s="11">
        <f>G951</f>
        <v>8400</v>
      </c>
      <c r="H926" s="11">
        <f>H951</f>
        <v>8400</v>
      </c>
      <c r="I926" s="11"/>
      <c r="J926" s="11">
        <v>8400</v>
      </c>
      <c r="K926" s="11">
        <v>12200</v>
      </c>
      <c r="L926" s="11" t="e">
        <f>L951+#REF!</f>
        <v>#REF!</v>
      </c>
      <c r="M926" s="11" t="e">
        <f>M951+#REF!</f>
        <v>#REF!</v>
      </c>
      <c r="N926" s="11">
        <v>8700</v>
      </c>
      <c r="O926" s="11">
        <v>8700</v>
      </c>
      <c r="P926" s="11">
        <f>P951</f>
        <v>2006</v>
      </c>
      <c r="Q926" s="186">
        <f t="shared" si="116"/>
        <v>0.23057471264367815</v>
      </c>
      <c r="R926" s="158">
        <f>R951</f>
        <v>5360</v>
      </c>
      <c r="S926" s="158">
        <f>S951</f>
        <v>8700</v>
      </c>
      <c r="T926" s="11">
        <v>8700</v>
      </c>
      <c r="U926" s="11">
        <f>U951</f>
        <v>0</v>
      </c>
      <c r="V926" s="11">
        <f>V951</f>
        <v>4300</v>
      </c>
      <c r="W926" s="32">
        <f t="shared" si="117"/>
        <v>4400</v>
      </c>
    </row>
    <row r="927" spans="1:23" ht="12">
      <c r="A927" s="25"/>
      <c r="B927" s="25"/>
      <c r="C927" s="26">
        <v>4210</v>
      </c>
      <c r="D927" s="27" t="s">
        <v>34</v>
      </c>
      <c r="E927" s="11">
        <f>E952+E976</f>
        <v>133100</v>
      </c>
      <c r="F927" s="11">
        <f>F952+F976</f>
        <v>137812</v>
      </c>
      <c r="G927" s="11">
        <f>G952+G976</f>
        <v>78471</v>
      </c>
      <c r="H927" s="11">
        <f>H952+H976</f>
        <v>78500</v>
      </c>
      <c r="I927" s="11"/>
      <c r="J927" s="11">
        <v>86340</v>
      </c>
      <c r="K927" s="11">
        <v>101204</v>
      </c>
      <c r="L927" s="11">
        <f>L952+L976</f>
        <v>101204</v>
      </c>
      <c r="M927" s="11">
        <f>M952+M976</f>
        <v>129700</v>
      </c>
      <c r="N927" s="11">
        <v>49520</v>
      </c>
      <c r="O927" s="11">
        <v>114764</v>
      </c>
      <c r="P927" s="11">
        <f>P952+P976</f>
        <v>54699</v>
      </c>
      <c r="Q927" s="186">
        <f t="shared" si="116"/>
        <v>0.4766215886514935</v>
      </c>
      <c r="R927" s="158">
        <f aca="true" t="shared" si="121" ref="R927:V928">R952+R976</f>
        <v>132464</v>
      </c>
      <c r="S927" s="158">
        <f t="shared" si="121"/>
        <v>124360</v>
      </c>
      <c r="T927" s="11">
        <v>69560</v>
      </c>
      <c r="U927" s="11">
        <f t="shared" si="121"/>
        <v>7669</v>
      </c>
      <c r="V927" s="11">
        <f t="shared" si="121"/>
        <v>0</v>
      </c>
      <c r="W927" s="32">
        <f t="shared" si="117"/>
        <v>77229</v>
      </c>
    </row>
    <row r="928" spans="1:23" ht="12">
      <c r="A928" s="25"/>
      <c r="B928" s="25"/>
      <c r="C928" s="26">
        <v>4220</v>
      </c>
      <c r="D928" s="27" t="s">
        <v>180</v>
      </c>
      <c r="E928" s="11" t="e">
        <f>E953+#REF!</f>
        <v>#REF!</v>
      </c>
      <c r="F928" s="11" t="e">
        <f>F953+#REF!</f>
        <v>#REF!</v>
      </c>
      <c r="G928" s="11" t="e">
        <f>G953+#REF!</f>
        <v>#REF!</v>
      </c>
      <c r="H928" s="11" t="e">
        <f>H953+#REF!</f>
        <v>#REF!</v>
      </c>
      <c r="I928" s="11"/>
      <c r="J928" s="11">
        <v>21950</v>
      </c>
      <c r="K928" s="11" t="e">
        <f>K953+#REF!</f>
        <v>#REF!</v>
      </c>
      <c r="L928" s="11" t="e">
        <f>L953+#REF!</f>
        <v>#REF!</v>
      </c>
      <c r="M928" s="11" t="e">
        <f>M953+#REF!</f>
        <v>#REF!</v>
      </c>
      <c r="N928" s="11">
        <v>84790</v>
      </c>
      <c r="O928" s="11">
        <v>19800</v>
      </c>
      <c r="P928" s="11">
        <f>P953</f>
        <v>8746</v>
      </c>
      <c r="Q928" s="186">
        <f t="shared" si="116"/>
        <v>0.44171717171717173</v>
      </c>
      <c r="R928" s="158">
        <f t="shared" si="121"/>
        <v>19800</v>
      </c>
      <c r="S928" s="158">
        <f t="shared" si="121"/>
        <v>19800</v>
      </c>
      <c r="T928" s="11">
        <v>28902</v>
      </c>
      <c r="U928" s="11">
        <f t="shared" si="121"/>
        <v>1500</v>
      </c>
      <c r="V928" s="11">
        <f t="shared" si="121"/>
        <v>0</v>
      </c>
      <c r="W928" s="32">
        <f t="shared" si="117"/>
        <v>30402</v>
      </c>
    </row>
    <row r="929" spans="1:23" ht="24">
      <c r="A929" s="25"/>
      <c r="B929" s="25"/>
      <c r="C929" s="26">
        <v>4230</v>
      </c>
      <c r="D929" s="27" t="s">
        <v>323</v>
      </c>
      <c r="E929" s="11"/>
      <c r="F929" s="11"/>
      <c r="G929" s="11"/>
      <c r="H929" s="11"/>
      <c r="I929" s="11"/>
      <c r="J929" s="11"/>
      <c r="K929" s="11"/>
      <c r="L929" s="11"/>
      <c r="M929" s="11"/>
      <c r="N929" s="11">
        <v>100</v>
      </c>
      <c r="O929" s="11"/>
      <c r="P929" s="11"/>
      <c r="Q929" s="186"/>
      <c r="R929" s="158">
        <f>R954</f>
        <v>0</v>
      </c>
      <c r="S929" s="158">
        <f>S954</f>
        <v>200</v>
      </c>
      <c r="T929" s="11">
        <v>200</v>
      </c>
      <c r="U929" s="11">
        <f>U954</f>
        <v>0</v>
      </c>
      <c r="V929" s="11">
        <f>V954</f>
        <v>0</v>
      </c>
      <c r="W929" s="32">
        <f t="shared" si="117"/>
        <v>200</v>
      </c>
    </row>
    <row r="930" spans="1:23" ht="12">
      <c r="A930" s="25"/>
      <c r="B930" s="25"/>
      <c r="C930" s="26">
        <v>4260</v>
      </c>
      <c r="D930" s="27" t="s">
        <v>35</v>
      </c>
      <c r="E930" s="11">
        <f>E955+E978</f>
        <v>15000</v>
      </c>
      <c r="F930" s="11">
        <f>F955+F978</f>
        <v>15000</v>
      </c>
      <c r="G930" s="11">
        <f>G955+G978</f>
        <v>11100</v>
      </c>
      <c r="H930" s="11">
        <f>H955+H978</f>
        <v>11100</v>
      </c>
      <c r="I930" s="11"/>
      <c r="J930" s="11">
        <v>11100</v>
      </c>
      <c r="K930" s="11">
        <f>K955+K978</f>
        <v>11100</v>
      </c>
      <c r="L930" s="11">
        <f>L955+L978</f>
        <v>11100</v>
      </c>
      <c r="M930" s="11">
        <f>M955+M978</f>
        <v>11900</v>
      </c>
      <c r="N930" s="11">
        <v>11400</v>
      </c>
      <c r="O930" s="11">
        <v>11400</v>
      </c>
      <c r="P930" s="11">
        <f>P955+P978</f>
        <v>6334</v>
      </c>
      <c r="Q930" s="186">
        <f t="shared" si="116"/>
        <v>0.5556140350877193</v>
      </c>
      <c r="R930" s="158">
        <f aca="true" t="shared" si="122" ref="R930:V933">R955+R978</f>
        <v>14200</v>
      </c>
      <c r="S930" s="158">
        <f t="shared" si="122"/>
        <v>13800</v>
      </c>
      <c r="T930" s="11">
        <v>13800</v>
      </c>
      <c r="U930" s="11">
        <f t="shared" si="122"/>
        <v>0</v>
      </c>
      <c r="V930" s="11">
        <f t="shared" si="122"/>
        <v>0</v>
      </c>
      <c r="W930" s="32">
        <f t="shared" si="117"/>
        <v>13800</v>
      </c>
    </row>
    <row r="931" spans="1:23" ht="12">
      <c r="A931" s="25"/>
      <c r="B931" s="25"/>
      <c r="C931" s="26">
        <v>4270</v>
      </c>
      <c r="D931" s="27" t="s">
        <v>36</v>
      </c>
      <c r="E931" s="11">
        <f aca="true" t="shared" si="123" ref="E931:F933">E956+E979</f>
        <v>7700</v>
      </c>
      <c r="F931" s="11">
        <f t="shared" si="123"/>
        <v>17700</v>
      </c>
      <c r="G931" s="11">
        <f>G956+G978</f>
        <v>10320</v>
      </c>
      <c r="H931" s="11">
        <f>H956+H979</f>
        <v>6220</v>
      </c>
      <c r="I931" s="11"/>
      <c r="J931" s="11">
        <v>6220</v>
      </c>
      <c r="K931" s="11">
        <v>29720</v>
      </c>
      <c r="L931" s="11">
        <f aca="true" t="shared" si="124" ref="L931:M933">L956+L979</f>
        <v>29720</v>
      </c>
      <c r="M931" s="11">
        <f t="shared" si="124"/>
        <v>7400</v>
      </c>
      <c r="N931" s="11">
        <v>7400</v>
      </c>
      <c r="O931" s="11">
        <v>9535</v>
      </c>
      <c r="P931" s="11">
        <f>P956+P979</f>
        <v>5215</v>
      </c>
      <c r="Q931" s="186">
        <f t="shared" si="116"/>
        <v>0.5469323544834819</v>
      </c>
      <c r="R931" s="158">
        <f t="shared" si="122"/>
        <v>11135</v>
      </c>
      <c r="S931" s="158">
        <f t="shared" si="122"/>
        <v>11400</v>
      </c>
      <c r="T931" s="11">
        <v>11400</v>
      </c>
      <c r="U931" s="11">
        <f t="shared" si="122"/>
        <v>0</v>
      </c>
      <c r="V931" s="11">
        <f t="shared" si="122"/>
        <v>0</v>
      </c>
      <c r="W931" s="32">
        <f t="shared" si="117"/>
        <v>11400</v>
      </c>
    </row>
    <row r="932" spans="1:23" ht="12">
      <c r="A932" s="25"/>
      <c r="B932" s="25"/>
      <c r="C932" s="26">
        <v>4280</v>
      </c>
      <c r="D932" s="27" t="s">
        <v>37</v>
      </c>
      <c r="E932" s="11">
        <f t="shared" si="123"/>
        <v>1200</v>
      </c>
      <c r="F932" s="11">
        <f t="shared" si="123"/>
        <v>1200</v>
      </c>
      <c r="G932" s="11">
        <f>G957+G979</f>
        <v>2200</v>
      </c>
      <c r="H932" s="11">
        <f>H957+H980</f>
        <v>1200</v>
      </c>
      <c r="I932" s="11"/>
      <c r="J932" s="11">
        <v>1200</v>
      </c>
      <c r="K932" s="11">
        <f>K957+K980</f>
        <v>1200</v>
      </c>
      <c r="L932" s="11">
        <f t="shared" si="124"/>
        <v>1200</v>
      </c>
      <c r="M932" s="11">
        <f t="shared" si="124"/>
        <v>1200</v>
      </c>
      <c r="N932" s="11">
        <v>1200</v>
      </c>
      <c r="O932" s="11">
        <v>1400</v>
      </c>
      <c r="P932" s="11">
        <f>P957+P980</f>
        <v>657</v>
      </c>
      <c r="Q932" s="186">
        <f t="shared" si="116"/>
        <v>0.4692857142857143</v>
      </c>
      <c r="R932" s="158">
        <f t="shared" si="122"/>
        <v>1400</v>
      </c>
      <c r="S932" s="158">
        <f t="shared" si="122"/>
        <v>1400</v>
      </c>
      <c r="T932" s="11">
        <v>1400</v>
      </c>
      <c r="U932" s="11">
        <f t="shared" si="122"/>
        <v>55</v>
      </c>
      <c r="V932" s="11">
        <f t="shared" si="122"/>
        <v>0</v>
      </c>
      <c r="W932" s="32">
        <f t="shared" si="117"/>
        <v>1455</v>
      </c>
    </row>
    <row r="933" spans="1:23" ht="12">
      <c r="A933" s="25"/>
      <c r="B933" s="25"/>
      <c r="C933" s="26">
        <v>4300</v>
      </c>
      <c r="D933" s="27" t="s">
        <v>17</v>
      </c>
      <c r="E933" s="11">
        <f t="shared" si="123"/>
        <v>16100</v>
      </c>
      <c r="F933" s="11">
        <f t="shared" si="123"/>
        <v>18100</v>
      </c>
      <c r="G933" s="11">
        <f>G958+G980</f>
        <v>11470</v>
      </c>
      <c r="H933" s="11">
        <f>H958+H981</f>
        <v>25194</v>
      </c>
      <c r="I933" s="11"/>
      <c r="J933" s="11">
        <v>59800</v>
      </c>
      <c r="K933" s="11">
        <v>46000</v>
      </c>
      <c r="L933" s="11">
        <f t="shared" si="124"/>
        <v>46000</v>
      </c>
      <c r="M933" s="11">
        <f t="shared" si="124"/>
        <v>65800</v>
      </c>
      <c r="N933" s="11">
        <v>43000</v>
      </c>
      <c r="O933" s="11">
        <v>43048</v>
      </c>
      <c r="P933" s="11">
        <f>P958+P981</f>
        <v>21971</v>
      </c>
      <c r="Q933" s="186">
        <f t="shared" si="116"/>
        <v>0.5103837576658614</v>
      </c>
      <c r="R933" s="158">
        <f t="shared" si="122"/>
        <v>43605</v>
      </c>
      <c r="S933" s="158">
        <f t="shared" si="122"/>
        <v>54700</v>
      </c>
      <c r="T933" s="11">
        <v>31800</v>
      </c>
      <c r="U933" s="11">
        <f t="shared" si="122"/>
        <v>1500</v>
      </c>
      <c r="V933" s="11">
        <f t="shared" si="122"/>
        <v>2100</v>
      </c>
      <c r="W933" s="32">
        <f t="shared" si="117"/>
        <v>31200</v>
      </c>
    </row>
    <row r="934" spans="1:23" ht="24">
      <c r="A934" s="25"/>
      <c r="B934" s="25"/>
      <c r="C934" s="26">
        <v>4350</v>
      </c>
      <c r="D934" s="27" t="s">
        <v>38</v>
      </c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86"/>
      <c r="R934" s="158">
        <f>R959</f>
        <v>0</v>
      </c>
      <c r="S934" s="158">
        <f>S959</f>
        <v>1200</v>
      </c>
      <c r="T934" s="11">
        <v>1200</v>
      </c>
      <c r="U934" s="11">
        <f>U959</f>
        <v>0</v>
      </c>
      <c r="V934" s="11">
        <f>V959</f>
        <v>1200</v>
      </c>
      <c r="W934" s="32">
        <f t="shared" si="117"/>
        <v>0</v>
      </c>
    </row>
    <row r="935" spans="1:23" ht="36">
      <c r="A935" s="25"/>
      <c r="B935" s="25"/>
      <c r="C935" s="26">
        <v>4360</v>
      </c>
      <c r="D935" s="27" t="s">
        <v>130</v>
      </c>
      <c r="E935" s="11">
        <f>E960</f>
        <v>300</v>
      </c>
      <c r="F935" s="11">
        <f>F960</f>
        <v>300</v>
      </c>
      <c r="G935" s="11">
        <f>G960</f>
        <v>480</v>
      </c>
      <c r="H935" s="11">
        <f>H960</f>
        <v>480</v>
      </c>
      <c r="I935" s="11"/>
      <c r="J935" s="11">
        <v>480</v>
      </c>
      <c r="K935" s="11">
        <f>K960</f>
        <v>480</v>
      </c>
      <c r="L935" s="11">
        <f>L960</f>
        <v>480</v>
      </c>
      <c r="M935" s="11">
        <f>M960</f>
        <v>600</v>
      </c>
      <c r="N935" s="11">
        <v>500</v>
      </c>
      <c r="O935" s="11">
        <v>500</v>
      </c>
      <c r="P935" s="11">
        <f>P960</f>
        <v>220</v>
      </c>
      <c r="Q935" s="186">
        <f t="shared" si="116"/>
        <v>0.44</v>
      </c>
      <c r="R935" s="158">
        <f>R960</f>
        <v>500</v>
      </c>
      <c r="S935" s="158">
        <f>S960</f>
        <v>500</v>
      </c>
      <c r="T935" s="11">
        <v>500</v>
      </c>
      <c r="U935" s="11">
        <f>U960</f>
        <v>0</v>
      </c>
      <c r="V935" s="11">
        <f>V960</f>
        <v>0</v>
      </c>
      <c r="W935" s="32">
        <f t="shared" si="117"/>
        <v>500</v>
      </c>
    </row>
    <row r="936" spans="1:23" ht="36">
      <c r="A936" s="25"/>
      <c r="B936" s="25"/>
      <c r="C936" s="26">
        <v>4370</v>
      </c>
      <c r="D936" s="27" t="s">
        <v>135</v>
      </c>
      <c r="E936" s="11">
        <f>E961+E982</f>
        <v>4200</v>
      </c>
      <c r="F936" s="11">
        <f>F961+F982</f>
        <v>4200</v>
      </c>
      <c r="G936" s="11">
        <f>G961+G981</f>
        <v>17160</v>
      </c>
      <c r="H936" s="11">
        <f>H961+H982</f>
        <v>4050</v>
      </c>
      <c r="I936" s="11"/>
      <c r="J936" s="11">
        <v>4050</v>
      </c>
      <c r="K936" s="11">
        <v>2750</v>
      </c>
      <c r="L936" s="11">
        <f>L961+L982</f>
        <v>2750</v>
      </c>
      <c r="M936" s="11">
        <f>M961+M982</f>
        <v>4100</v>
      </c>
      <c r="N936" s="11">
        <v>2800</v>
      </c>
      <c r="O936" s="11">
        <v>2600</v>
      </c>
      <c r="P936" s="11">
        <f>P961+P982</f>
        <v>1549</v>
      </c>
      <c r="Q936" s="186">
        <f t="shared" si="116"/>
        <v>0.5957692307692307</v>
      </c>
      <c r="R936" s="158">
        <f>R961+R982</f>
        <v>3000</v>
      </c>
      <c r="S936" s="158">
        <f>S961+S982</f>
        <v>3100</v>
      </c>
      <c r="T936" s="11">
        <v>3100</v>
      </c>
      <c r="U936" s="11">
        <f>U961+U982</f>
        <v>0</v>
      </c>
      <c r="V936" s="11">
        <f>V961+V982</f>
        <v>0</v>
      </c>
      <c r="W936" s="32">
        <f t="shared" si="117"/>
        <v>3100</v>
      </c>
    </row>
    <row r="937" spans="1:23" ht="12">
      <c r="A937" s="25"/>
      <c r="B937" s="25"/>
      <c r="C937" s="26">
        <v>4410</v>
      </c>
      <c r="D937" s="27" t="s">
        <v>42</v>
      </c>
      <c r="E937" s="11"/>
      <c r="F937" s="11"/>
      <c r="G937" s="11"/>
      <c r="H937" s="11"/>
      <c r="I937" s="11"/>
      <c r="J937" s="11"/>
      <c r="K937" s="11"/>
      <c r="L937" s="11"/>
      <c r="M937" s="11"/>
      <c r="N937" s="11">
        <v>300</v>
      </c>
      <c r="O937" s="11"/>
      <c r="P937" s="11"/>
      <c r="Q937" s="186"/>
      <c r="R937" s="158">
        <f>R983+R962</f>
        <v>400</v>
      </c>
      <c r="S937" s="158">
        <f>S983+S962</f>
        <v>630</v>
      </c>
      <c r="T937" s="11">
        <v>630</v>
      </c>
      <c r="U937" s="11">
        <f>U983+U962</f>
        <v>0</v>
      </c>
      <c r="V937" s="11">
        <f>V983+V962</f>
        <v>0</v>
      </c>
      <c r="W937" s="32">
        <f t="shared" si="117"/>
        <v>630</v>
      </c>
    </row>
    <row r="938" spans="1:23" ht="12">
      <c r="A938" s="25"/>
      <c r="B938" s="25"/>
      <c r="C938" s="26">
        <v>4430</v>
      </c>
      <c r="D938" s="27" t="s">
        <v>43</v>
      </c>
      <c r="E938" s="11">
        <f>E963+E984</f>
        <v>6300</v>
      </c>
      <c r="F938" s="11">
        <f>F963+F984</f>
        <v>8300</v>
      </c>
      <c r="G938" s="11">
        <f>G963+G984</f>
        <v>8600</v>
      </c>
      <c r="H938" s="11">
        <f>H963+H984</f>
        <v>8400</v>
      </c>
      <c r="I938" s="11"/>
      <c r="J938" s="11">
        <v>8400</v>
      </c>
      <c r="K938" s="11">
        <v>7400</v>
      </c>
      <c r="L938" s="11">
        <f aca="true" t="shared" si="125" ref="L938:M940">L963+L984</f>
        <v>7400</v>
      </c>
      <c r="M938" s="11">
        <f t="shared" si="125"/>
        <v>8700</v>
      </c>
      <c r="N938" s="11">
        <v>7700</v>
      </c>
      <c r="O938" s="11">
        <v>9071</v>
      </c>
      <c r="P938" s="11">
        <f>P963+P984</f>
        <v>8571</v>
      </c>
      <c r="Q938" s="186">
        <f t="shared" si="116"/>
        <v>0.9448792856355418</v>
      </c>
      <c r="R938" s="158">
        <f aca="true" t="shared" si="126" ref="R938:V940">R963+R984</f>
        <v>9071</v>
      </c>
      <c r="S938" s="158">
        <f t="shared" si="126"/>
        <v>9200</v>
      </c>
      <c r="T938" s="11">
        <v>9200</v>
      </c>
      <c r="U938" s="11">
        <f t="shared" si="126"/>
        <v>0</v>
      </c>
      <c r="V938" s="11">
        <f t="shared" si="126"/>
        <v>0</v>
      </c>
      <c r="W938" s="32">
        <f t="shared" si="117"/>
        <v>9200</v>
      </c>
    </row>
    <row r="939" spans="1:23" ht="24">
      <c r="A939" s="25"/>
      <c r="B939" s="25"/>
      <c r="C939" s="26">
        <v>4440</v>
      </c>
      <c r="D939" s="27" t="s">
        <v>44</v>
      </c>
      <c r="E939" s="11">
        <f>E964+E985</f>
        <v>13300</v>
      </c>
      <c r="F939" s="11">
        <f>F964+F985</f>
        <v>13977</v>
      </c>
      <c r="G939" s="11">
        <f>G964+G982</f>
        <v>9680</v>
      </c>
      <c r="H939" s="11">
        <f>H964+H985</f>
        <v>13920</v>
      </c>
      <c r="I939" s="11"/>
      <c r="J939" s="11">
        <v>13920</v>
      </c>
      <c r="K939" s="11">
        <f>K964+K985</f>
        <v>13920</v>
      </c>
      <c r="L939" s="11">
        <f t="shared" si="125"/>
        <v>13920</v>
      </c>
      <c r="M939" s="11">
        <f t="shared" si="125"/>
        <v>15860</v>
      </c>
      <c r="N939" s="11">
        <v>15980</v>
      </c>
      <c r="O939" s="11">
        <v>15980</v>
      </c>
      <c r="P939" s="11">
        <f>P964+P985</f>
        <v>12390</v>
      </c>
      <c r="Q939" s="186">
        <f t="shared" si="116"/>
        <v>0.7753441802252816</v>
      </c>
      <c r="R939" s="158">
        <f t="shared" si="126"/>
        <v>16520</v>
      </c>
      <c r="S939" s="158">
        <f t="shared" si="126"/>
        <v>17400</v>
      </c>
      <c r="T939" s="11">
        <v>17400</v>
      </c>
      <c r="U939" s="11">
        <f t="shared" si="126"/>
        <v>431</v>
      </c>
      <c r="V939" s="11">
        <f t="shared" si="126"/>
        <v>0</v>
      </c>
      <c r="W939" s="32">
        <f t="shared" si="117"/>
        <v>17831</v>
      </c>
    </row>
    <row r="940" spans="1:23" ht="12">
      <c r="A940" s="25"/>
      <c r="B940" s="25"/>
      <c r="C940" s="26">
        <v>4480</v>
      </c>
      <c r="D940" s="27" t="s">
        <v>61</v>
      </c>
      <c r="E940" s="11">
        <f>E965+E986</f>
        <v>1600</v>
      </c>
      <c r="F940" s="11">
        <f>F965+F986</f>
        <v>4527</v>
      </c>
      <c r="G940" s="11">
        <f>G965+G984</f>
        <v>7000</v>
      </c>
      <c r="H940" s="11">
        <f>H965+H986</f>
        <v>4600</v>
      </c>
      <c r="I940" s="11"/>
      <c r="J940" s="11">
        <v>4600</v>
      </c>
      <c r="K940" s="11">
        <f>K965+K986</f>
        <v>1200</v>
      </c>
      <c r="L940" s="11">
        <f t="shared" si="125"/>
        <v>1200</v>
      </c>
      <c r="M940" s="11">
        <f t="shared" si="125"/>
        <v>2700</v>
      </c>
      <c r="N940" s="11">
        <v>2700</v>
      </c>
      <c r="O940" s="11">
        <v>1200</v>
      </c>
      <c r="P940" s="11">
        <f>P965+P986</f>
        <v>1200</v>
      </c>
      <c r="Q940" s="186">
        <f t="shared" si="116"/>
        <v>1</v>
      </c>
      <c r="R940" s="158">
        <f t="shared" si="126"/>
        <v>1200</v>
      </c>
      <c r="S940" s="158">
        <f t="shared" si="126"/>
        <v>1200</v>
      </c>
      <c r="T940" s="11">
        <v>1600</v>
      </c>
      <c r="U940" s="11">
        <f t="shared" si="126"/>
        <v>0</v>
      </c>
      <c r="V940" s="11">
        <f t="shared" si="126"/>
        <v>0</v>
      </c>
      <c r="W940" s="32">
        <f t="shared" si="117"/>
        <v>1600</v>
      </c>
    </row>
    <row r="941" spans="1:23" ht="12">
      <c r="A941" s="8"/>
      <c r="B941" s="8"/>
      <c r="C941" s="26">
        <v>4520</v>
      </c>
      <c r="D941" s="27" t="s">
        <v>198</v>
      </c>
      <c r="E941" s="83"/>
      <c r="F941" s="11" t="e">
        <f>#REF!+F987</f>
        <v>#REF!</v>
      </c>
      <c r="G941" s="11" t="e">
        <f>#REF!+G985</f>
        <v>#REF!</v>
      </c>
      <c r="H941" s="11" t="e">
        <f>#REF!+H987</f>
        <v>#REF!</v>
      </c>
      <c r="I941" s="11"/>
      <c r="J941" s="11">
        <v>710</v>
      </c>
      <c r="K941" s="11" t="e">
        <f>#REF!+K987</f>
        <v>#REF!</v>
      </c>
      <c r="L941" s="11" t="e">
        <f>#REF!+L987</f>
        <v>#REF!</v>
      </c>
      <c r="M941" s="11" t="e">
        <f>#REF!+M987</f>
        <v>#REF!</v>
      </c>
      <c r="N941" s="11">
        <v>710</v>
      </c>
      <c r="O941" s="11">
        <v>710</v>
      </c>
      <c r="P941" s="11">
        <f>P987</f>
        <v>391</v>
      </c>
      <c r="Q941" s="186">
        <f t="shared" si="116"/>
        <v>0.5507042253521127</v>
      </c>
      <c r="R941" s="158">
        <f>R987</f>
        <v>710</v>
      </c>
      <c r="S941" s="158">
        <f>S987</f>
        <v>750</v>
      </c>
      <c r="T941" s="11">
        <v>6648</v>
      </c>
      <c r="U941" s="11">
        <f>U987+U966</f>
        <v>0</v>
      </c>
      <c r="V941" s="11">
        <f>V987+V966</f>
        <v>0</v>
      </c>
      <c r="W941" s="32">
        <f t="shared" si="117"/>
        <v>6648</v>
      </c>
    </row>
    <row r="942" spans="1:23" ht="36">
      <c r="A942" s="25"/>
      <c r="B942" s="25"/>
      <c r="C942" s="26">
        <v>4700</v>
      </c>
      <c r="D942" s="27" t="s">
        <v>46</v>
      </c>
      <c r="E942" s="11" t="e">
        <f>#REF!+E988</f>
        <v>#REF!</v>
      </c>
      <c r="F942" s="11" t="e">
        <f>#REF!+F988</f>
        <v>#REF!</v>
      </c>
      <c r="G942" s="11" t="e">
        <f>#REF!+G986</f>
        <v>#REF!</v>
      </c>
      <c r="H942" s="11" t="e">
        <f>#REF!+H988</f>
        <v>#REF!</v>
      </c>
      <c r="I942" s="11"/>
      <c r="J942" s="11">
        <v>100</v>
      </c>
      <c r="K942" s="11">
        <v>2000</v>
      </c>
      <c r="L942" s="11" t="e">
        <f>#REF!+L988</f>
        <v>#REF!</v>
      </c>
      <c r="M942" s="11" t="e">
        <f>#REF!+M988</f>
        <v>#REF!</v>
      </c>
      <c r="N942" s="11">
        <v>3200</v>
      </c>
      <c r="O942" s="11">
        <v>1000</v>
      </c>
      <c r="P942" s="11">
        <f>P988</f>
        <v>200</v>
      </c>
      <c r="Q942" s="186">
        <f t="shared" si="116"/>
        <v>0.2</v>
      </c>
      <c r="R942" s="158">
        <f>R988+R967</f>
        <v>1000</v>
      </c>
      <c r="S942" s="158">
        <f>S988+S967</f>
        <v>3200</v>
      </c>
      <c r="T942" s="11">
        <v>3200</v>
      </c>
      <c r="U942" s="11">
        <f>U988+U967</f>
        <v>0</v>
      </c>
      <c r="V942" s="11">
        <f>V988+V967</f>
        <v>2000</v>
      </c>
      <c r="W942" s="32">
        <f t="shared" si="117"/>
        <v>1200</v>
      </c>
    </row>
    <row r="943" spans="1:23" ht="36">
      <c r="A943" s="25"/>
      <c r="B943" s="25"/>
      <c r="C943" s="26">
        <v>4740</v>
      </c>
      <c r="D943" s="27" t="s">
        <v>73</v>
      </c>
      <c r="E943" s="11">
        <f>E968+E989</f>
        <v>800</v>
      </c>
      <c r="F943" s="11">
        <f>F968+F989</f>
        <v>800</v>
      </c>
      <c r="G943" s="11">
        <f>G968+G987</f>
        <v>1100</v>
      </c>
      <c r="H943" s="11">
        <f>H968+H989</f>
        <v>1000</v>
      </c>
      <c r="I943" s="11"/>
      <c r="J943" s="11">
        <v>1000</v>
      </c>
      <c r="K943" s="11">
        <f>K968+K989</f>
        <v>1000</v>
      </c>
      <c r="L943" s="11">
        <f>L968+L989</f>
        <v>1000</v>
      </c>
      <c r="M943" s="11">
        <f>M968+M989</f>
        <v>1200</v>
      </c>
      <c r="N943" s="11">
        <v>1000</v>
      </c>
      <c r="O943" s="11">
        <v>1000</v>
      </c>
      <c r="P943" s="11">
        <f>P968+P989</f>
        <v>292</v>
      </c>
      <c r="Q943" s="186">
        <f t="shared" si="116"/>
        <v>0.292</v>
      </c>
      <c r="R943" s="158">
        <f>R968+R989</f>
        <v>1000</v>
      </c>
      <c r="S943" s="158">
        <f>S968+S989</f>
        <v>1000</v>
      </c>
      <c r="T943" s="11">
        <v>1000</v>
      </c>
      <c r="U943" s="11">
        <f>U968+U989</f>
        <v>0</v>
      </c>
      <c r="V943" s="11">
        <f>V968+V989</f>
        <v>0</v>
      </c>
      <c r="W943" s="32">
        <f t="shared" si="117"/>
        <v>1000</v>
      </c>
    </row>
    <row r="944" spans="1:23" ht="24">
      <c r="A944" s="25"/>
      <c r="B944" s="25"/>
      <c r="C944" s="26">
        <v>4750</v>
      </c>
      <c r="D944" s="27" t="s">
        <v>118</v>
      </c>
      <c r="E944" s="11"/>
      <c r="F944" s="11">
        <v>500</v>
      </c>
      <c r="G944" s="11">
        <f>G968</f>
        <v>300</v>
      </c>
      <c r="H944" s="11">
        <f>H968</f>
        <v>300</v>
      </c>
      <c r="I944" s="11"/>
      <c r="J944" s="11">
        <v>300</v>
      </c>
      <c r="K944" s="11">
        <f>K968</f>
        <v>300</v>
      </c>
      <c r="L944" s="11">
        <f>L969</f>
        <v>300</v>
      </c>
      <c r="M944" s="11">
        <f>M969</f>
        <v>500</v>
      </c>
      <c r="N944" s="11">
        <v>300</v>
      </c>
      <c r="O944" s="11">
        <v>300</v>
      </c>
      <c r="P944" s="11">
        <f>P969</f>
        <v>299</v>
      </c>
      <c r="Q944" s="186">
        <f t="shared" si="116"/>
        <v>0.9966666666666667</v>
      </c>
      <c r="R944" s="158">
        <f>R969</f>
        <v>300</v>
      </c>
      <c r="S944" s="158">
        <f>S969</f>
        <v>700</v>
      </c>
      <c r="T944" s="11">
        <v>1200</v>
      </c>
      <c r="U944" s="11">
        <f>U969+U990</f>
        <v>0</v>
      </c>
      <c r="V944" s="11">
        <f>V969+V990</f>
        <v>0</v>
      </c>
      <c r="W944" s="32">
        <f t="shared" si="117"/>
        <v>1200</v>
      </c>
    </row>
    <row r="945" spans="1:23" ht="24">
      <c r="A945" s="8"/>
      <c r="B945" s="8"/>
      <c r="C945" s="36" t="s">
        <v>121</v>
      </c>
      <c r="D945" s="42" t="s">
        <v>199</v>
      </c>
      <c r="E945" s="35">
        <f>SUM(E947:E969)</f>
        <v>355150</v>
      </c>
      <c r="F945" s="35">
        <f>SUM(F947:F969)</f>
        <v>378060</v>
      </c>
      <c r="G945" s="35">
        <f>SUM(G947:G969)</f>
        <v>363462</v>
      </c>
      <c r="H945" s="35">
        <f>SUM(H947:H969)</f>
        <v>363459</v>
      </c>
      <c r="I945" s="35"/>
      <c r="J945" s="35">
        <f>SUM(J947:J969)</f>
        <v>379280</v>
      </c>
      <c r="K945" s="35">
        <f>SUM(K947:K969)</f>
        <v>378680</v>
      </c>
      <c r="L945" s="35">
        <f>SUM(L947:L969)</f>
        <v>378680</v>
      </c>
      <c r="M945" s="35">
        <f>SUM(M947:M969)</f>
        <v>407350</v>
      </c>
      <c r="N945" s="35">
        <v>386030</v>
      </c>
      <c r="O945" s="35">
        <v>386030</v>
      </c>
      <c r="P945" s="35">
        <f>SUM(P947:P969)</f>
        <v>200684</v>
      </c>
      <c r="Q945" s="186">
        <f t="shared" si="116"/>
        <v>0.5198663316322566</v>
      </c>
      <c r="R945" s="152">
        <f>SUM(R947:R969)</f>
        <v>410342</v>
      </c>
      <c r="S945" s="152">
        <f>SUM(S946:S969)</f>
        <v>436378</v>
      </c>
      <c r="T945" s="35">
        <v>400000</v>
      </c>
      <c r="U945" s="35">
        <f>SUM(U946:U969)</f>
        <v>9600</v>
      </c>
      <c r="V945" s="35">
        <f>SUM(V946:V969)</f>
        <v>9600</v>
      </c>
      <c r="W945" s="32">
        <f t="shared" si="117"/>
        <v>400000</v>
      </c>
    </row>
    <row r="946" spans="1:23" ht="24">
      <c r="A946" s="8"/>
      <c r="B946" s="8"/>
      <c r="C946" s="26">
        <v>3020</v>
      </c>
      <c r="D946" s="27" t="s">
        <v>188</v>
      </c>
      <c r="E946" s="35"/>
      <c r="F946" s="35"/>
      <c r="G946" s="35"/>
      <c r="H946" s="35"/>
      <c r="I946" s="35"/>
      <c r="J946" s="35"/>
      <c r="K946" s="35"/>
      <c r="L946" s="35"/>
      <c r="M946" s="35"/>
      <c r="N946" s="11">
        <v>0</v>
      </c>
      <c r="O946" s="11"/>
      <c r="P946" s="35"/>
      <c r="Q946" s="186"/>
      <c r="R946" s="152">
        <v>0</v>
      </c>
      <c r="S946" s="152">
        <v>200</v>
      </c>
      <c r="T946" s="35">
        <v>200</v>
      </c>
      <c r="U946" s="35"/>
      <c r="V946" s="35"/>
      <c r="W946" s="32">
        <f t="shared" si="117"/>
        <v>200</v>
      </c>
    </row>
    <row r="947" spans="1:23" ht="24">
      <c r="A947" s="8"/>
      <c r="B947" s="8"/>
      <c r="C947" s="26">
        <v>4010</v>
      </c>
      <c r="D947" s="27" t="s">
        <v>29</v>
      </c>
      <c r="E947" s="85">
        <v>165000</v>
      </c>
      <c r="F947" s="85">
        <v>173250</v>
      </c>
      <c r="G947" s="1">
        <v>193900</v>
      </c>
      <c r="H947" s="1">
        <v>193860</v>
      </c>
      <c r="I947" s="1"/>
      <c r="J947" s="1">
        <v>193860</v>
      </c>
      <c r="K947" s="1">
        <v>209232</v>
      </c>
      <c r="L947" s="1">
        <v>209232</v>
      </c>
      <c r="M947" s="1">
        <v>210850</v>
      </c>
      <c r="N947" s="1">
        <v>210900</v>
      </c>
      <c r="O947" s="1">
        <v>210900</v>
      </c>
      <c r="P947" s="1">
        <v>101912</v>
      </c>
      <c r="Q947" s="186">
        <f t="shared" si="116"/>
        <v>0.48322427690848746</v>
      </c>
      <c r="R947" s="156">
        <v>220748</v>
      </c>
      <c r="S947" s="156">
        <v>228448</v>
      </c>
      <c r="T947" s="1">
        <v>228400</v>
      </c>
      <c r="U947" s="1"/>
      <c r="V947" s="1"/>
      <c r="W947" s="32">
        <f t="shared" si="117"/>
        <v>228400</v>
      </c>
    </row>
    <row r="948" spans="1:23" ht="12">
      <c r="A948" s="8"/>
      <c r="B948" s="8"/>
      <c r="C948" s="26">
        <v>4040</v>
      </c>
      <c r="D948" s="27" t="s">
        <v>30</v>
      </c>
      <c r="E948" s="11">
        <v>13200</v>
      </c>
      <c r="F948" s="11">
        <v>13503</v>
      </c>
      <c r="G948" s="1">
        <v>14800</v>
      </c>
      <c r="H948" s="1">
        <v>15185</v>
      </c>
      <c r="I948" s="1"/>
      <c r="J948" s="1">
        <v>15200</v>
      </c>
      <c r="K948" s="1">
        <v>11846</v>
      </c>
      <c r="L948" s="1">
        <v>11846</v>
      </c>
      <c r="M948" s="1">
        <v>17800</v>
      </c>
      <c r="N948" s="1">
        <v>16500</v>
      </c>
      <c r="O948" s="1">
        <v>17002</v>
      </c>
      <c r="P948" s="1">
        <v>17002</v>
      </c>
      <c r="Q948" s="186">
        <f t="shared" si="116"/>
        <v>1</v>
      </c>
      <c r="R948" s="156">
        <v>17002</v>
      </c>
      <c r="S948" s="156">
        <v>18800</v>
      </c>
      <c r="T948" s="1">
        <v>18800</v>
      </c>
      <c r="U948" s="1"/>
      <c r="V948" s="1"/>
      <c r="W948" s="32">
        <f t="shared" si="117"/>
        <v>18800</v>
      </c>
    </row>
    <row r="949" spans="1:23" ht="24">
      <c r="A949" s="8"/>
      <c r="B949" s="8"/>
      <c r="C949" s="26">
        <v>4110</v>
      </c>
      <c r="D949" s="27" t="s">
        <v>31</v>
      </c>
      <c r="E949" s="11">
        <v>31600</v>
      </c>
      <c r="F949" s="11">
        <v>33060</v>
      </c>
      <c r="G949" s="1">
        <v>32830</v>
      </c>
      <c r="H949" s="1">
        <v>32880</v>
      </c>
      <c r="I949" s="1"/>
      <c r="J949" s="1">
        <v>32880</v>
      </c>
      <c r="K949" s="1">
        <v>35291</v>
      </c>
      <c r="L949" s="1">
        <v>35291</v>
      </c>
      <c r="M949" s="1">
        <v>35650</v>
      </c>
      <c r="N949" s="1">
        <v>35770</v>
      </c>
      <c r="O949" s="1">
        <v>35770</v>
      </c>
      <c r="P949" s="1">
        <v>16360</v>
      </c>
      <c r="Q949" s="186">
        <f t="shared" si="116"/>
        <v>0.4573665082471345</v>
      </c>
      <c r="R949" s="156">
        <v>36343</v>
      </c>
      <c r="S949" s="156">
        <v>37571</v>
      </c>
      <c r="T949" s="1">
        <v>37500</v>
      </c>
      <c r="U949" s="1"/>
      <c r="V949" s="1"/>
      <c r="W949" s="32">
        <f t="shared" si="117"/>
        <v>37500</v>
      </c>
    </row>
    <row r="950" spans="1:23" ht="12">
      <c r="A950" s="8"/>
      <c r="B950" s="8"/>
      <c r="C950" s="26">
        <v>4120</v>
      </c>
      <c r="D950" s="27" t="s">
        <v>32</v>
      </c>
      <c r="E950" s="11">
        <v>4400</v>
      </c>
      <c r="F950" s="11">
        <v>4600</v>
      </c>
      <c r="G950" s="1">
        <v>4751</v>
      </c>
      <c r="H950" s="1">
        <v>5120</v>
      </c>
      <c r="I950" s="1"/>
      <c r="J950" s="1">
        <v>5120</v>
      </c>
      <c r="K950" s="1">
        <v>5460</v>
      </c>
      <c r="L950" s="1">
        <v>5460</v>
      </c>
      <c r="M950" s="1">
        <v>5600</v>
      </c>
      <c r="N950" s="1">
        <v>5570</v>
      </c>
      <c r="O950" s="1">
        <v>5570</v>
      </c>
      <c r="P950" s="1">
        <v>2572</v>
      </c>
      <c r="Q950" s="186">
        <f t="shared" si="116"/>
        <v>0.46175942549371635</v>
      </c>
      <c r="R950" s="156">
        <v>5661</v>
      </c>
      <c r="S950" s="156">
        <v>5959</v>
      </c>
      <c r="T950" s="1">
        <v>5900</v>
      </c>
      <c r="U950" s="1"/>
      <c r="V950" s="1"/>
      <c r="W950" s="32">
        <f t="shared" si="117"/>
        <v>5900</v>
      </c>
    </row>
    <row r="951" spans="1:23" ht="12">
      <c r="A951" s="8"/>
      <c r="B951" s="8"/>
      <c r="C951" s="26">
        <v>4170</v>
      </c>
      <c r="D951" s="27" t="s">
        <v>137</v>
      </c>
      <c r="E951" s="11">
        <v>16800</v>
      </c>
      <c r="F951" s="11">
        <v>16800</v>
      </c>
      <c r="G951" s="1">
        <v>8400</v>
      </c>
      <c r="H951" s="1">
        <v>8400</v>
      </c>
      <c r="I951" s="1"/>
      <c r="J951" s="1">
        <v>8400</v>
      </c>
      <c r="K951" s="1">
        <v>4200</v>
      </c>
      <c r="L951" s="1">
        <v>4200</v>
      </c>
      <c r="M951" s="1">
        <v>8400</v>
      </c>
      <c r="N951" s="1">
        <v>8700</v>
      </c>
      <c r="O951" s="1">
        <v>8700</v>
      </c>
      <c r="P951" s="1">
        <v>2006</v>
      </c>
      <c r="Q951" s="186">
        <f t="shared" si="116"/>
        <v>0.23057471264367815</v>
      </c>
      <c r="R951" s="156">
        <v>5360</v>
      </c>
      <c r="S951" s="156">
        <v>8700</v>
      </c>
      <c r="T951" s="1">
        <v>8700</v>
      </c>
      <c r="U951" s="1"/>
      <c r="V951" s="1">
        <v>4300</v>
      </c>
      <c r="W951" s="32">
        <f t="shared" si="117"/>
        <v>4400</v>
      </c>
    </row>
    <row r="952" spans="1:23" ht="12">
      <c r="A952" s="8"/>
      <c r="B952" s="8"/>
      <c r="C952" s="26">
        <v>4210</v>
      </c>
      <c r="D952" s="27" t="s">
        <v>34</v>
      </c>
      <c r="E952" s="11">
        <v>67250</v>
      </c>
      <c r="F952" s="11">
        <v>69279</v>
      </c>
      <c r="G952" s="1">
        <v>44871</v>
      </c>
      <c r="H952" s="1">
        <v>44900</v>
      </c>
      <c r="I952" s="1"/>
      <c r="J952" s="1">
        <v>63300</v>
      </c>
      <c r="K952" s="1">
        <v>52031</v>
      </c>
      <c r="L952" s="1">
        <v>52031</v>
      </c>
      <c r="M952" s="1">
        <v>61800</v>
      </c>
      <c r="N952" s="1">
        <v>49520</v>
      </c>
      <c r="O952" s="1">
        <v>49774</v>
      </c>
      <c r="P952" s="1">
        <v>22859</v>
      </c>
      <c r="Q952" s="186">
        <f t="shared" si="116"/>
        <v>0.4592558363804396</v>
      </c>
      <c r="R952" s="156">
        <v>58974</v>
      </c>
      <c r="S952" s="156">
        <v>59500</v>
      </c>
      <c r="T952" s="1">
        <v>27900</v>
      </c>
      <c r="U952" s="1">
        <v>7669</v>
      </c>
      <c r="V952" s="1"/>
      <c r="W952" s="32">
        <f t="shared" si="117"/>
        <v>35569</v>
      </c>
    </row>
    <row r="953" spans="1:23" ht="12">
      <c r="A953" s="8"/>
      <c r="B953" s="8"/>
      <c r="C953" s="26">
        <v>4220</v>
      </c>
      <c r="D953" s="27" t="s">
        <v>180</v>
      </c>
      <c r="E953" s="11">
        <v>19400</v>
      </c>
      <c r="F953" s="11">
        <v>19400</v>
      </c>
      <c r="G953" s="1">
        <v>19200</v>
      </c>
      <c r="H953" s="1">
        <v>19200</v>
      </c>
      <c r="I953" s="1"/>
      <c r="J953" s="1">
        <v>19200</v>
      </c>
      <c r="K953" s="1">
        <v>18000</v>
      </c>
      <c r="L953" s="1">
        <v>18000</v>
      </c>
      <c r="M953" s="1">
        <v>19700</v>
      </c>
      <c r="N953" s="1">
        <v>19800</v>
      </c>
      <c r="O953" s="1">
        <v>19800</v>
      </c>
      <c r="P953" s="1">
        <v>8746</v>
      </c>
      <c r="Q953" s="186">
        <f t="shared" si="116"/>
        <v>0.44171717171717173</v>
      </c>
      <c r="R953" s="156">
        <v>19800</v>
      </c>
      <c r="S953" s="156">
        <v>19800</v>
      </c>
      <c r="T953" s="1">
        <v>13902</v>
      </c>
      <c r="U953" s="1">
        <v>1500</v>
      </c>
      <c r="V953" s="1"/>
      <c r="W953" s="32">
        <f t="shared" si="117"/>
        <v>15402</v>
      </c>
    </row>
    <row r="954" spans="1:23" ht="24">
      <c r="A954" s="8"/>
      <c r="B954" s="8"/>
      <c r="C954" s="26">
        <v>4230</v>
      </c>
      <c r="D954" s="27" t="s">
        <v>324</v>
      </c>
      <c r="E954" s="11"/>
      <c r="F954" s="11"/>
      <c r="G954" s="1"/>
      <c r="H954" s="1"/>
      <c r="I954" s="1"/>
      <c r="J954" s="1"/>
      <c r="K954" s="1"/>
      <c r="L954" s="1"/>
      <c r="M954" s="1"/>
      <c r="N954" s="1">
        <v>100</v>
      </c>
      <c r="O954" s="1"/>
      <c r="P954" s="1"/>
      <c r="Q954" s="186"/>
      <c r="R954" s="156">
        <v>0</v>
      </c>
      <c r="S954" s="156">
        <v>200</v>
      </c>
      <c r="T954" s="1">
        <v>200</v>
      </c>
      <c r="U954" s="1"/>
      <c r="V954" s="1"/>
      <c r="W954" s="32">
        <f t="shared" si="117"/>
        <v>200</v>
      </c>
    </row>
    <row r="955" spans="1:23" ht="12">
      <c r="A955" s="8"/>
      <c r="B955" s="8"/>
      <c r="C955" s="26">
        <v>4260</v>
      </c>
      <c r="D955" s="27" t="s">
        <v>35</v>
      </c>
      <c r="E955" s="11">
        <v>6000</v>
      </c>
      <c r="F955" s="11">
        <v>6000</v>
      </c>
      <c r="G955" s="1">
        <v>5000</v>
      </c>
      <c r="H955" s="1">
        <v>5000</v>
      </c>
      <c r="I955" s="1"/>
      <c r="J955" s="1">
        <v>5000</v>
      </c>
      <c r="K955" s="1">
        <v>5000</v>
      </c>
      <c r="L955" s="1">
        <v>5000</v>
      </c>
      <c r="M955" s="1">
        <v>5150</v>
      </c>
      <c r="N955" s="1">
        <v>5100</v>
      </c>
      <c r="O955" s="1">
        <v>5100</v>
      </c>
      <c r="P955" s="1">
        <v>3456</v>
      </c>
      <c r="Q955" s="186">
        <f t="shared" si="116"/>
        <v>0.6776470588235294</v>
      </c>
      <c r="R955" s="156">
        <v>7900</v>
      </c>
      <c r="S955" s="156">
        <v>8300</v>
      </c>
      <c r="T955" s="1">
        <v>8300</v>
      </c>
      <c r="U955" s="1"/>
      <c r="V955" s="1"/>
      <c r="W955" s="32">
        <f t="shared" si="117"/>
        <v>8300</v>
      </c>
    </row>
    <row r="956" spans="1:23" ht="12">
      <c r="A956" s="8"/>
      <c r="B956" s="8"/>
      <c r="C956" s="26">
        <v>4270</v>
      </c>
      <c r="D956" s="27" t="s">
        <v>36</v>
      </c>
      <c r="E956" s="11">
        <v>3700</v>
      </c>
      <c r="F956" s="11">
        <v>8700</v>
      </c>
      <c r="G956" s="1">
        <v>4220</v>
      </c>
      <c r="H956" s="1">
        <v>4220</v>
      </c>
      <c r="I956" s="1"/>
      <c r="J956" s="1">
        <v>4220</v>
      </c>
      <c r="K956" s="1">
        <v>4720</v>
      </c>
      <c r="L956" s="1">
        <v>4720</v>
      </c>
      <c r="M956" s="1">
        <v>4400</v>
      </c>
      <c r="N956" s="1">
        <v>4300</v>
      </c>
      <c r="O956" s="1">
        <v>6435</v>
      </c>
      <c r="P956" s="1">
        <v>3757</v>
      </c>
      <c r="Q956" s="186">
        <f t="shared" si="116"/>
        <v>0.5838383838383838</v>
      </c>
      <c r="R956" s="156">
        <v>6435</v>
      </c>
      <c r="S956" s="156">
        <v>7800</v>
      </c>
      <c r="T956" s="1">
        <v>7800</v>
      </c>
      <c r="U956" s="1"/>
      <c r="V956" s="1"/>
      <c r="W956" s="32">
        <f t="shared" si="117"/>
        <v>7800</v>
      </c>
    </row>
    <row r="957" spans="1:23" ht="12">
      <c r="A957" s="8"/>
      <c r="B957" s="8"/>
      <c r="C957" s="26">
        <v>4280</v>
      </c>
      <c r="D957" s="27" t="s">
        <v>37</v>
      </c>
      <c r="E957" s="11">
        <v>200</v>
      </c>
      <c r="F957" s="11">
        <v>200</v>
      </c>
      <c r="G957" s="1">
        <v>200</v>
      </c>
      <c r="H957" s="1">
        <v>200</v>
      </c>
      <c r="I957" s="1"/>
      <c r="J957" s="1">
        <v>200</v>
      </c>
      <c r="K957" s="1">
        <v>200</v>
      </c>
      <c r="L957" s="1">
        <v>200</v>
      </c>
      <c r="M957" s="1">
        <v>200</v>
      </c>
      <c r="N957" s="1">
        <v>200</v>
      </c>
      <c r="O957" s="1">
        <v>400</v>
      </c>
      <c r="P957" s="1">
        <v>240</v>
      </c>
      <c r="Q957" s="186">
        <f t="shared" si="116"/>
        <v>0.6</v>
      </c>
      <c r="R957" s="156">
        <v>400</v>
      </c>
      <c r="S957" s="156">
        <v>400</v>
      </c>
      <c r="T957" s="1">
        <v>400</v>
      </c>
      <c r="U957" s="1"/>
      <c r="V957" s="1"/>
      <c r="W957" s="32">
        <f t="shared" si="117"/>
        <v>400</v>
      </c>
    </row>
    <row r="958" spans="1:23" ht="12">
      <c r="A958" s="8"/>
      <c r="B958" s="8"/>
      <c r="C958" s="26">
        <v>4300</v>
      </c>
      <c r="D958" s="27" t="s">
        <v>17</v>
      </c>
      <c r="E958" s="11">
        <v>7400</v>
      </c>
      <c r="F958" s="11">
        <v>9400</v>
      </c>
      <c r="G958" s="1">
        <v>10470</v>
      </c>
      <c r="H958" s="1">
        <v>10194</v>
      </c>
      <c r="I958" s="1"/>
      <c r="J958" s="1">
        <v>7600</v>
      </c>
      <c r="K958" s="1">
        <v>11800</v>
      </c>
      <c r="L958" s="1">
        <v>11800</v>
      </c>
      <c r="M958" s="1">
        <v>13600</v>
      </c>
      <c r="N958" s="1">
        <v>7800</v>
      </c>
      <c r="O958" s="1">
        <v>10933</v>
      </c>
      <c r="P958" s="1">
        <v>5170</v>
      </c>
      <c r="Q958" s="186">
        <f t="shared" si="116"/>
        <v>0.4728802707399616</v>
      </c>
      <c r="R958" s="156">
        <v>10933</v>
      </c>
      <c r="S958" s="156">
        <v>15800</v>
      </c>
      <c r="T958" s="1">
        <v>15800</v>
      </c>
      <c r="U958" s="1"/>
      <c r="V958" s="1">
        <v>2100</v>
      </c>
      <c r="W958" s="32">
        <f t="shared" si="117"/>
        <v>13700</v>
      </c>
    </row>
    <row r="959" spans="1:23" ht="24">
      <c r="A959" s="8"/>
      <c r="B959" s="8"/>
      <c r="C959" s="26">
        <v>4350</v>
      </c>
      <c r="D959" s="27" t="s">
        <v>38</v>
      </c>
      <c r="E959" s="11"/>
      <c r="F959" s="11"/>
      <c r="G959" s="1"/>
      <c r="H959" s="1"/>
      <c r="I959" s="1"/>
      <c r="J959" s="1"/>
      <c r="K959" s="1"/>
      <c r="L959" s="1"/>
      <c r="M959" s="1"/>
      <c r="N959" s="1">
        <v>0</v>
      </c>
      <c r="O959" s="1">
        <v>0</v>
      </c>
      <c r="P959" s="1">
        <v>0</v>
      </c>
      <c r="Q959" s="186"/>
      <c r="R959" s="156">
        <v>0</v>
      </c>
      <c r="S959" s="156">
        <v>1200</v>
      </c>
      <c r="T959" s="1">
        <v>1200</v>
      </c>
      <c r="U959" s="1"/>
      <c r="V959" s="1">
        <v>1200</v>
      </c>
      <c r="W959" s="32">
        <f t="shared" si="117"/>
        <v>0</v>
      </c>
    </row>
    <row r="960" spans="1:23" ht="36">
      <c r="A960" s="8"/>
      <c r="B960" s="8"/>
      <c r="C960" s="26">
        <v>4360</v>
      </c>
      <c r="D960" s="27" t="s">
        <v>130</v>
      </c>
      <c r="E960" s="85">
        <v>300</v>
      </c>
      <c r="F960" s="85">
        <v>300</v>
      </c>
      <c r="G960" s="1">
        <v>480</v>
      </c>
      <c r="H960" s="1">
        <v>480</v>
      </c>
      <c r="I960" s="1"/>
      <c r="J960" s="1">
        <v>480</v>
      </c>
      <c r="K960" s="1">
        <v>480</v>
      </c>
      <c r="L960" s="1">
        <v>480</v>
      </c>
      <c r="M960" s="1">
        <v>600</v>
      </c>
      <c r="N960" s="1">
        <v>500</v>
      </c>
      <c r="O960" s="1">
        <v>500</v>
      </c>
      <c r="P960" s="1">
        <v>220</v>
      </c>
      <c r="Q960" s="186">
        <f t="shared" si="116"/>
        <v>0.44</v>
      </c>
      <c r="R960" s="156">
        <v>500</v>
      </c>
      <c r="S960" s="156">
        <v>500</v>
      </c>
      <c r="T960" s="1">
        <v>500</v>
      </c>
      <c r="U960" s="1"/>
      <c r="V960" s="1"/>
      <c r="W960" s="32">
        <f t="shared" si="117"/>
        <v>500</v>
      </c>
    </row>
    <row r="961" spans="1:23" ht="36">
      <c r="A961" s="8"/>
      <c r="B961" s="8"/>
      <c r="C961" s="26">
        <v>4370</v>
      </c>
      <c r="D961" s="27" t="s">
        <v>135</v>
      </c>
      <c r="E961" s="85">
        <v>1700</v>
      </c>
      <c r="F961" s="85">
        <v>1700</v>
      </c>
      <c r="G961" s="1">
        <v>2160</v>
      </c>
      <c r="H961" s="1">
        <v>1750</v>
      </c>
      <c r="I961" s="1"/>
      <c r="J961" s="1">
        <v>1750</v>
      </c>
      <c r="K961" s="1">
        <v>1750</v>
      </c>
      <c r="L961" s="1">
        <v>1750</v>
      </c>
      <c r="M961" s="1">
        <v>1800</v>
      </c>
      <c r="N961" s="1">
        <v>1800</v>
      </c>
      <c r="O961" s="1">
        <v>1600</v>
      </c>
      <c r="P961" s="1">
        <v>758</v>
      </c>
      <c r="Q961" s="186">
        <f t="shared" si="116"/>
        <v>0.47375</v>
      </c>
      <c r="R961" s="156">
        <v>1600</v>
      </c>
      <c r="S961" s="156">
        <v>1600</v>
      </c>
      <c r="T961" s="1">
        <v>1600</v>
      </c>
      <c r="U961" s="1"/>
      <c r="V961" s="1"/>
      <c r="W961" s="32">
        <f t="shared" si="117"/>
        <v>1600</v>
      </c>
    </row>
    <row r="962" spans="1:23" ht="12">
      <c r="A962" s="8"/>
      <c r="B962" s="8"/>
      <c r="C962" s="26">
        <v>4410</v>
      </c>
      <c r="D962" s="27" t="s">
        <v>42</v>
      </c>
      <c r="E962" s="85"/>
      <c r="F962" s="85"/>
      <c r="G962" s="1"/>
      <c r="H962" s="1"/>
      <c r="I962" s="1"/>
      <c r="J962" s="1"/>
      <c r="K962" s="1"/>
      <c r="L962" s="1"/>
      <c r="M962" s="1"/>
      <c r="N962" s="1">
        <v>300</v>
      </c>
      <c r="O962" s="1"/>
      <c r="P962" s="1"/>
      <c r="Q962" s="186"/>
      <c r="R962" s="156">
        <v>0</v>
      </c>
      <c r="S962" s="156">
        <v>300</v>
      </c>
      <c r="T962" s="1">
        <v>300</v>
      </c>
      <c r="U962" s="1"/>
      <c r="V962" s="1"/>
      <c r="W962" s="32">
        <f t="shared" si="117"/>
        <v>300</v>
      </c>
    </row>
    <row r="963" spans="1:23" ht="12">
      <c r="A963" s="8"/>
      <c r="B963" s="8"/>
      <c r="C963" s="26">
        <v>4430</v>
      </c>
      <c r="D963" s="27" t="s">
        <v>43</v>
      </c>
      <c r="E963" s="11">
        <v>5300</v>
      </c>
      <c r="F963" s="11">
        <v>5300</v>
      </c>
      <c r="G963" s="1">
        <v>5600</v>
      </c>
      <c r="H963" s="1">
        <v>5400</v>
      </c>
      <c r="I963" s="1"/>
      <c r="J963" s="1">
        <v>5400</v>
      </c>
      <c r="K963" s="1">
        <v>5400</v>
      </c>
      <c r="L963" s="1">
        <v>5400</v>
      </c>
      <c r="M963" s="1">
        <v>5700</v>
      </c>
      <c r="N963" s="1">
        <v>5600</v>
      </c>
      <c r="O963" s="1">
        <v>3886</v>
      </c>
      <c r="P963" s="1">
        <v>3386</v>
      </c>
      <c r="Q963" s="186">
        <f t="shared" si="116"/>
        <v>0.8713329902213073</v>
      </c>
      <c r="R963" s="156">
        <v>3886</v>
      </c>
      <c r="S963" s="156">
        <v>3900</v>
      </c>
      <c r="T963" s="1">
        <v>3900</v>
      </c>
      <c r="U963" s="1"/>
      <c r="V963" s="1"/>
      <c r="W963" s="32">
        <f t="shared" si="117"/>
        <v>3900</v>
      </c>
    </row>
    <row r="964" spans="1:23" ht="24">
      <c r="A964" s="8"/>
      <c r="B964" s="8"/>
      <c r="C964" s="26">
        <v>4440</v>
      </c>
      <c r="D964" s="27" t="s">
        <v>44</v>
      </c>
      <c r="E964" s="11">
        <v>7000</v>
      </c>
      <c r="F964" s="11">
        <v>7241</v>
      </c>
      <c r="G964" s="1">
        <v>7380</v>
      </c>
      <c r="H964" s="1">
        <v>7470</v>
      </c>
      <c r="I964" s="1"/>
      <c r="J964" s="1">
        <v>7470</v>
      </c>
      <c r="K964" s="1">
        <v>7470</v>
      </c>
      <c r="L964" s="1">
        <v>7470</v>
      </c>
      <c r="M964" s="1">
        <v>8400</v>
      </c>
      <c r="N964" s="1">
        <v>8460</v>
      </c>
      <c r="O964" s="1">
        <v>8460</v>
      </c>
      <c r="P964" s="1">
        <v>6750</v>
      </c>
      <c r="Q964" s="186">
        <f t="shared" si="116"/>
        <v>0.7978723404255319</v>
      </c>
      <c r="R964" s="156">
        <v>9000</v>
      </c>
      <c r="S964" s="156">
        <v>9000</v>
      </c>
      <c r="T964" s="1">
        <v>9000</v>
      </c>
      <c r="U964" s="1">
        <v>431</v>
      </c>
      <c r="V964" s="1"/>
      <c r="W964" s="32">
        <f t="shared" si="117"/>
        <v>9431</v>
      </c>
    </row>
    <row r="965" spans="1:23" ht="12">
      <c r="A965" s="8"/>
      <c r="B965" s="8"/>
      <c r="C965" s="26">
        <v>4480</v>
      </c>
      <c r="D965" s="27" t="s">
        <v>61</v>
      </c>
      <c r="E965" s="11">
        <v>1000</v>
      </c>
      <c r="F965" s="11">
        <v>3927</v>
      </c>
      <c r="G965" s="1">
        <v>4000</v>
      </c>
      <c r="H965" s="1">
        <v>4000</v>
      </c>
      <c r="I965" s="1"/>
      <c r="J965" s="1">
        <v>4000</v>
      </c>
      <c r="K965" s="1">
        <v>600</v>
      </c>
      <c r="L965" s="1">
        <v>600</v>
      </c>
      <c r="M965" s="1">
        <v>2100</v>
      </c>
      <c r="N965" s="1">
        <v>2100</v>
      </c>
      <c r="O965" s="1">
        <v>600</v>
      </c>
      <c r="P965" s="1">
        <v>600</v>
      </c>
      <c r="Q965" s="186">
        <f t="shared" si="116"/>
        <v>1</v>
      </c>
      <c r="R965" s="156">
        <v>600</v>
      </c>
      <c r="S965" s="156">
        <v>600</v>
      </c>
      <c r="T965" s="1">
        <v>600</v>
      </c>
      <c r="U965" s="1"/>
      <c r="V965" s="1"/>
      <c r="W965" s="32">
        <f aca="true" t="shared" si="127" ref="W965:W1030">T965+U965-V965</f>
        <v>600</v>
      </c>
    </row>
    <row r="966" spans="1:23" ht="24">
      <c r="A966" s="25"/>
      <c r="B966" s="25"/>
      <c r="C966" s="26">
        <v>4520</v>
      </c>
      <c r="D966" s="27" t="s">
        <v>191</v>
      </c>
      <c r="E966" s="93">
        <v>4600</v>
      </c>
      <c r="F966" s="11">
        <v>4600</v>
      </c>
      <c r="G966" s="1">
        <v>4600</v>
      </c>
      <c r="H966" s="59">
        <v>4600</v>
      </c>
      <c r="I966" s="59"/>
      <c r="J966" s="59">
        <v>4600</v>
      </c>
      <c r="K966" s="59">
        <v>4600</v>
      </c>
      <c r="L966" s="59">
        <v>4600</v>
      </c>
      <c r="M966" s="59">
        <v>4600</v>
      </c>
      <c r="N966" s="59">
        <v>4600</v>
      </c>
      <c r="O966" s="59">
        <v>4600</v>
      </c>
      <c r="P966" s="59">
        <v>4591</v>
      </c>
      <c r="Q966" s="186">
        <f>P966/O966</f>
        <v>0.9980434782608696</v>
      </c>
      <c r="R966" s="153">
        <v>4600</v>
      </c>
      <c r="S966" s="153">
        <v>4600</v>
      </c>
      <c r="T966" s="59">
        <v>5898</v>
      </c>
      <c r="U966" s="59"/>
      <c r="V966" s="59"/>
      <c r="W966" s="32">
        <f t="shared" si="127"/>
        <v>5898</v>
      </c>
    </row>
    <row r="967" spans="1:23" ht="36">
      <c r="A967" s="8"/>
      <c r="B967" s="8"/>
      <c r="C967" s="26">
        <v>4700</v>
      </c>
      <c r="D967" s="27" t="s">
        <v>46</v>
      </c>
      <c r="E967" s="11"/>
      <c r="F967" s="11"/>
      <c r="G967" s="1"/>
      <c r="H967" s="1"/>
      <c r="I967" s="1"/>
      <c r="J967" s="1"/>
      <c r="K967" s="1"/>
      <c r="L967" s="1"/>
      <c r="M967" s="1"/>
      <c r="N967" s="1">
        <v>2200</v>
      </c>
      <c r="O967" s="1"/>
      <c r="P967" s="1"/>
      <c r="Q967" s="186"/>
      <c r="R967" s="156">
        <v>0</v>
      </c>
      <c r="S967" s="156">
        <v>2200</v>
      </c>
      <c r="T967" s="1">
        <v>2200</v>
      </c>
      <c r="U967" s="1"/>
      <c r="V967" s="1">
        <v>2000</v>
      </c>
      <c r="W967" s="32">
        <f t="shared" si="127"/>
        <v>200</v>
      </c>
    </row>
    <row r="968" spans="1:23" ht="36">
      <c r="A968" s="8"/>
      <c r="B968" s="8"/>
      <c r="C968" s="26">
        <v>4740</v>
      </c>
      <c r="D968" s="27" t="s">
        <v>73</v>
      </c>
      <c r="E968" s="85">
        <v>300</v>
      </c>
      <c r="F968" s="85">
        <v>300</v>
      </c>
      <c r="G968" s="1">
        <v>300</v>
      </c>
      <c r="H968" s="1">
        <v>300</v>
      </c>
      <c r="I968" s="1"/>
      <c r="J968" s="1">
        <v>300</v>
      </c>
      <c r="K968" s="1">
        <v>300</v>
      </c>
      <c r="L968" s="1">
        <v>300</v>
      </c>
      <c r="M968" s="1">
        <v>500</v>
      </c>
      <c r="N968" s="1">
        <v>300</v>
      </c>
      <c r="O968" s="1">
        <v>300</v>
      </c>
      <c r="P968" s="1"/>
      <c r="Q968" s="186">
        <f t="shared" si="116"/>
        <v>0</v>
      </c>
      <c r="R968" s="156">
        <v>300</v>
      </c>
      <c r="S968" s="156">
        <v>300</v>
      </c>
      <c r="T968" s="1">
        <v>300</v>
      </c>
      <c r="U968" s="1"/>
      <c r="V968" s="1"/>
      <c r="W968" s="32">
        <f t="shared" si="127"/>
        <v>300</v>
      </c>
    </row>
    <row r="969" spans="1:23" ht="24">
      <c r="A969" s="8"/>
      <c r="B969" s="8"/>
      <c r="C969" s="26">
        <v>4750</v>
      </c>
      <c r="D969" s="27" t="s">
        <v>118</v>
      </c>
      <c r="E969" s="85"/>
      <c r="F969" s="85">
        <v>500</v>
      </c>
      <c r="G969" s="1">
        <v>300</v>
      </c>
      <c r="H969" s="1">
        <v>300</v>
      </c>
      <c r="I969" s="1"/>
      <c r="J969" s="1">
        <v>300</v>
      </c>
      <c r="K969" s="1">
        <v>300</v>
      </c>
      <c r="L969" s="1">
        <v>300</v>
      </c>
      <c r="M969" s="1">
        <v>500</v>
      </c>
      <c r="N969" s="1">
        <v>300</v>
      </c>
      <c r="O969" s="1">
        <v>300</v>
      </c>
      <c r="P969" s="1">
        <v>299</v>
      </c>
      <c r="Q969" s="186">
        <f aca="true" t="shared" si="128" ref="Q969:Q1035">P969/O969</f>
        <v>0.9966666666666667</v>
      </c>
      <c r="R969" s="156">
        <v>300</v>
      </c>
      <c r="S969" s="156">
        <v>700</v>
      </c>
      <c r="T969" s="1">
        <v>700</v>
      </c>
      <c r="U969" s="1"/>
      <c r="V969" s="1"/>
      <c r="W969" s="32">
        <f t="shared" si="127"/>
        <v>700</v>
      </c>
    </row>
    <row r="970" spans="1:23" ht="12">
      <c r="A970" s="8"/>
      <c r="B970" s="8"/>
      <c r="C970" s="62"/>
      <c r="D970" s="42" t="s">
        <v>201</v>
      </c>
      <c r="E970" s="35">
        <f>SUM(E971:E989)</f>
        <v>278850</v>
      </c>
      <c r="F970" s="35">
        <f>SUM(F971:F989)</f>
        <v>301064</v>
      </c>
      <c r="G970" s="35">
        <f>SUM(G971:G989)</f>
        <v>293320</v>
      </c>
      <c r="H970" s="35">
        <f>SUM(H971:H989)</f>
        <v>293320</v>
      </c>
      <c r="I970" s="35"/>
      <c r="J970" s="35">
        <f>SUM(J971:J989)</f>
        <v>305120</v>
      </c>
      <c r="K970" s="35">
        <f>SUM(K971:K989)</f>
        <v>340370</v>
      </c>
      <c r="L970" s="35">
        <f>SUM(L971:L989)</f>
        <v>340370</v>
      </c>
      <c r="M970" s="35">
        <f>SUM(M971:M989)</f>
        <v>385110</v>
      </c>
      <c r="N970" s="35">
        <v>363970</v>
      </c>
      <c r="O970" s="35">
        <v>363970</v>
      </c>
      <c r="P970" s="35">
        <f>SUM(P971:P989)</f>
        <v>169383</v>
      </c>
      <c r="Q970" s="186">
        <f t="shared" si="128"/>
        <v>0.4653762672747754</v>
      </c>
      <c r="R970" s="152">
        <f>SUM(R971:R989)</f>
        <v>377574</v>
      </c>
      <c r="S970" s="152">
        <f>SUM(S971:S989)</f>
        <v>382200</v>
      </c>
      <c r="T970" s="35">
        <v>354000</v>
      </c>
      <c r="U970" s="35">
        <f>SUM(U971:U990)</f>
        <v>1555</v>
      </c>
      <c r="V970" s="35">
        <f>SUM(V971:V990)</f>
        <v>1555</v>
      </c>
      <c r="W970" s="32">
        <f t="shared" si="127"/>
        <v>354000</v>
      </c>
    </row>
    <row r="971" spans="1:23" ht="24">
      <c r="A971" s="8"/>
      <c r="B971" s="8"/>
      <c r="C971" s="26">
        <v>3020</v>
      </c>
      <c r="D971" s="27" t="s">
        <v>188</v>
      </c>
      <c r="E971" s="83">
        <v>500</v>
      </c>
      <c r="F971" s="83">
        <v>500</v>
      </c>
      <c r="G971" s="1">
        <v>400</v>
      </c>
      <c r="H971" s="1">
        <v>400</v>
      </c>
      <c r="I971" s="1"/>
      <c r="J971" s="1">
        <v>400</v>
      </c>
      <c r="K971" s="1">
        <v>600</v>
      </c>
      <c r="L971" s="1">
        <v>600</v>
      </c>
      <c r="M971" s="1">
        <v>400</v>
      </c>
      <c r="N971" s="1">
        <v>600</v>
      </c>
      <c r="O971" s="1">
        <v>600</v>
      </c>
      <c r="P971" s="1"/>
      <c r="Q971" s="186">
        <f t="shared" si="128"/>
        <v>0</v>
      </c>
      <c r="R971" s="156">
        <v>600</v>
      </c>
      <c r="S971" s="156">
        <v>600</v>
      </c>
      <c r="T971" s="1">
        <v>2600</v>
      </c>
      <c r="U971" s="1"/>
      <c r="V971" s="1">
        <v>1500</v>
      </c>
      <c r="W971" s="32">
        <f t="shared" si="127"/>
        <v>1100</v>
      </c>
    </row>
    <row r="972" spans="1:23" ht="24">
      <c r="A972" s="8"/>
      <c r="B972" s="8"/>
      <c r="C972" s="26">
        <v>4010</v>
      </c>
      <c r="D972" s="27" t="s">
        <v>29</v>
      </c>
      <c r="E972" s="83">
        <v>145800</v>
      </c>
      <c r="F972" s="83">
        <v>153090</v>
      </c>
      <c r="G972" s="1">
        <v>172320</v>
      </c>
      <c r="H972" s="1">
        <v>172320</v>
      </c>
      <c r="I972" s="1"/>
      <c r="J972" s="1">
        <v>172320</v>
      </c>
      <c r="K972" s="1">
        <v>164320</v>
      </c>
      <c r="L972" s="1">
        <v>164320</v>
      </c>
      <c r="M972" s="1">
        <v>187460</v>
      </c>
      <c r="N972" s="1">
        <v>187500</v>
      </c>
      <c r="O972" s="1">
        <v>187500</v>
      </c>
      <c r="P972" s="1">
        <v>76427</v>
      </c>
      <c r="Q972" s="186">
        <f t="shared" si="128"/>
        <v>0.4076106666666667</v>
      </c>
      <c r="R972" s="156">
        <v>190695</v>
      </c>
      <c r="S972" s="156">
        <v>197380</v>
      </c>
      <c r="T972" s="1">
        <v>197380</v>
      </c>
      <c r="U972" s="1"/>
      <c r="V972" s="1"/>
      <c r="W972" s="32">
        <f t="shared" si="127"/>
        <v>197380</v>
      </c>
    </row>
    <row r="973" spans="1:23" ht="12">
      <c r="A973" s="8"/>
      <c r="B973" s="8"/>
      <c r="C973" s="26">
        <v>4040</v>
      </c>
      <c r="D973" s="27" t="s">
        <v>30</v>
      </c>
      <c r="E973" s="83">
        <v>3900</v>
      </c>
      <c r="F973" s="83">
        <v>3900</v>
      </c>
      <c r="G973" s="1">
        <v>13200</v>
      </c>
      <c r="H973" s="1">
        <v>13200</v>
      </c>
      <c r="I973" s="1"/>
      <c r="J973" s="1">
        <v>13200</v>
      </c>
      <c r="K973" s="1">
        <v>12667</v>
      </c>
      <c r="L973" s="1">
        <v>12667</v>
      </c>
      <c r="M973" s="1">
        <v>13750</v>
      </c>
      <c r="N973" s="1">
        <v>14600</v>
      </c>
      <c r="O973" s="1">
        <v>14600</v>
      </c>
      <c r="P973" s="1">
        <v>12843</v>
      </c>
      <c r="Q973" s="186">
        <f t="shared" si="128"/>
        <v>0.8796575342465753</v>
      </c>
      <c r="R973" s="156">
        <v>12843</v>
      </c>
      <c r="S973" s="156">
        <v>15900</v>
      </c>
      <c r="T973" s="1">
        <v>15900</v>
      </c>
      <c r="U973" s="1"/>
      <c r="V973" s="1">
        <v>55</v>
      </c>
      <c r="W973" s="32">
        <f t="shared" si="127"/>
        <v>15845</v>
      </c>
    </row>
    <row r="974" spans="1:23" ht="24">
      <c r="A974" s="8"/>
      <c r="B974" s="8"/>
      <c r="C974" s="26">
        <v>4110</v>
      </c>
      <c r="D974" s="27" t="s">
        <v>31</v>
      </c>
      <c r="E974" s="83">
        <v>25000</v>
      </c>
      <c r="F974" s="83">
        <v>26290</v>
      </c>
      <c r="G974" s="1">
        <v>30650</v>
      </c>
      <c r="H974" s="1">
        <v>30650</v>
      </c>
      <c r="I974" s="1"/>
      <c r="J974" s="1">
        <v>30650</v>
      </c>
      <c r="K974" s="1">
        <v>30650</v>
      </c>
      <c r="L974" s="1">
        <v>30650</v>
      </c>
      <c r="M974" s="1">
        <v>31950</v>
      </c>
      <c r="N974" s="1">
        <v>32100</v>
      </c>
      <c r="O974" s="1">
        <v>32100</v>
      </c>
      <c r="P974" s="1">
        <v>11795</v>
      </c>
      <c r="Q974" s="186">
        <f t="shared" si="128"/>
        <v>0.3674454828660436</v>
      </c>
      <c r="R974" s="156">
        <v>32715</v>
      </c>
      <c r="S974" s="156">
        <v>31040</v>
      </c>
      <c r="T974" s="1">
        <v>31040</v>
      </c>
      <c r="U974" s="1"/>
      <c r="V974" s="1"/>
      <c r="W974" s="32">
        <f t="shared" si="127"/>
        <v>31040</v>
      </c>
    </row>
    <row r="975" spans="1:23" ht="12">
      <c r="A975" s="8"/>
      <c r="B975" s="8"/>
      <c r="C975" s="26">
        <v>4120</v>
      </c>
      <c r="D975" s="27" t="s">
        <v>32</v>
      </c>
      <c r="E975" s="83">
        <v>3700</v>
      </c>
      <c r="F975" s="83">
        <v>3880</v>
      </c>
      <c r="G975" s="1">
        <v>4200</v>
      </c>
      <c r="H975" s="1">
        <v>4200</v>
      </c>
      <c r="I975" s="1"/>
      <c r="J975" s="1">
        <v>4200</v>
      </c>
      <c r="K975" s="1">
        <v>4200</v>
      </c>
      <c r="L975" s="1">
        <v>4200</v>
      </c>
      <c r="M975" s="1">
        <v>4930</v>
      </c>
      <c r="N975" s="1">
        <v>4950</v>
      </c>
      <c r="O975" s="1">
        <v>4950</v>
      </c>
      <c r="P975" s="1">
        <v>1825</v>
      </c>
      <c r="Q975" s="186">
        <f t="shared" si="128"/>
        <v>0.3686868686868687</v>
      </c>
      <c r="R975" s="156">
        <v>5044</v>
      </c>
      <c r="S975" s="156">
        <v>4840</v>
      </c>
      <c r="T975" s="1">
        <v>4840</v>
      </c>
      <c r="U975" s="1"/>
      <c r="V975" s="1"/>
      <c r="W975" s="32">
        <f t="shared" si="127"/>
        <v>4840</v>
      </c>
    </row>
    <row r="976" spans="1:23" ht="12">
      <c r="A976" s="8"/>
      <c r="B976" s="8"/>
      <c r="C976" s="26">
        <v>4210</v>
      </c>
      <c r="D976" s="27" t="s">
        <v>34</v>
      </c>
      <c r="E976" s="83">
        <v>65850</v>
      </c>
      <c r="F976" s="83">
        <v>68533</v>
      </c>
      <c r="G976" s="1">
        <v>33600</v>
      </c>
      <c r="H976" s="1">
        <v>33600</v>
      </c>
      <c r="I976" s="1"/>
      <c r="J976" s="1">
        <v>53200</v>
      </c>
      <c r="K976" s="1">
        <v>49173</v>
      </c>
      <c r="L976" s="1">
        <v>49173</v>
      </c>
      <c r="M976" s="1">
        <v>67900</v>
      </c>
      <c r="N976" s="1">
        <v>0</v>
      </c>
      <c r="O976" s="1">
        <v>64990</v>
      </c>
      <c r="P976" s="1">
        <v>31840</v>
      </c>
      <c r="Q976" s="186">
        <f t="shared" si="128"/>
        <v>0.4899215263886752</v>
      </c>
      <c r="R976" s="156">
        <v>73490</v>
      </c>
      <c r="S976" s="156">
        <v>64860</v>
      </c>
      <c r="T976" s="1">
        <v>41660</v>
      </c>
      <c r="U976" s="1"/>
      <c r="V976" s="1"/>
      <c r="W976" s="32">
        <f t="shared" si="127"/>
        <v>41660</v>
      </c>
    </row>
    <row r="977" spans="1:23" ht="12">
      <c r="A977" s="8"/>
      <c r="B977" s="8"/>
      <c r="C977" s="26">
        <v>4220</v>
      </c>
      <c r="D977" s="27" t="s">
        <v>325</v>
      </c>
      <c r="E977" s="83"/>
      <c r="F977" s="83"/>
      <c r="G977" s="1"/>
      <c r="H977" s="1"/>
      <c r="I977" s="1"/>
      <c r="J977" s="1"/>
      <c r="K977" s="1"/>
      <c r="L977" s="1"/>
      <c r="M977" s="1"/>
      <c r="N977" s="1">
        <v>64990</v>
      </c>
      <c r="O977" s="1"/>
      <c r="P977" s="1"/>
      <c r="Q977" s="186"/>
      <c r="R977" s="156">
        <v>0</v>
      </c>
      <c r="S977" s="156">
        <v>0</v>
      </c>
      <c r="T977" s="1">
        <v>15000</v>
      </c>
      <c r="U977" s="1"/>
      <c r="V977" s="1"/>
      <c r="W977" s="32">
        <f t="shared" si="127"/>
        <v>15000</v>
      </c>
    </row>
    <row r="978" spans="1:23" ht="12">
      <c r="A978" s="8"/>
      <c r="B978" s="8"/>
      <c r="C978" s="26">
        <v>4260</v>
      </c>
      <c r="D978" s="27" t="s">
        <v>35</v>
      </c>
      <c r="E978" s="83">
        <v>9000</v>
      </c>
      <c r="F978" s="83">
        <v>9000</v>
      </c>
      <c r="G978" s="1">
        <v>6100</v>
      </c>
      <c r="H978" s="1">
        <v>6100</v>
      </c>
      <c r="I978" s="1"/>
      <c r="J978" s="1">
        <v>6100</v>
      </c>
      <c r="K978" s="1">
        <v>6100</v>
      </c>
      <c r="L978" s="1">
        <v>6100</v>
      </c>
      <c r="M978" s="1">
        <v>6750</v>
      </c>
      <c r="N978" s="1">
        <v>6300</v>
      </c>
      <c r="O978" s="1">
        <v>6300</v>
      </c>
      <c r="P978" s="1">
        <v>2878</v>
      </c>
      <c r="Q978" s="186">
        <f t="shared" si="128"/>
        <v>0.4568253968253968</v>
      </c>
      <c r="R978" s="156">
        <v>6300</v>
      </c>
      <c r="S978" s="156">
        <v>5500</v>
      </c>
      <c r="T978" s="1">
        <v>5500</v>
      </c>
      <c r="U978" s="1"/>
      <c r="V978" s="1"/>
      <c r="W978" s="32">
        <f t="shared" si="127"/>
        <v>5500</v>
      </c>
    </row>
    <row r="979" spans="1:23" ht="12">
      <c r="A979" s="8"/>
      <c r="B979" s="8"/>
      <c r="C979" s="26">
        <v>4270</v>
      </c>
      <c r="D979" s="27" t="s">
        <v>36</v>
      </c>
      <c r="E979" s="83">
        <v>4000</v>
      </c>
      <c r="F979" s="83">
        <v>9000</v>
      </c>
      <c r="G979" s="1">
        <v>2000</v>
      </c>
      <c r="H979" s="1">
        <v>2000</v>
      </c>
      <c r="I979" s="1"/>
      <c r="J979" s="1">
        <v>2000</v>
      </c>
      <c r="K979" s="1">
        <v>25000</v>
      </c>
      <c r="L979" s="1">
        <v>25000</v>
      </c>
      <c r="M979" s="1">
        <v>3000</v>
      </c>
      <c r="N979" s="1">
        <v>3100</v>
      </c>
      <c r="O979" s="1">
        <v>3100</v>
      </c>
      <c r="P979" s="1">
        <v>1458</v>
      </c>
      <c r="Q979" s="186">
        <f t="shared" si="128"/>
        <v>0.4703225806451613</v>
      </c>
      <c r="R979" s="156">
        <v>4700</v>
      </c>
      <c r="S979" s="156">
        <v>3600</v>
      </c>
      <c r="T979" s="1">
        <v>3600</v>
      </c>
      <c r="U979" s="1"/>
      <c r="V979" s="1"/>
      <c r="W979" s="32">
        <f t="shared" si="127"/>
        <v>3600</v>
      </c>
    </row>
    <row r="980" spans="1:23" ht="12">
      <c r="A980" s="8"/>
      <c r="B980" s="8"/>
      <c r="C980" s="26">
        <v>4280</v>
      </c>
      <c r="D980" s="27" t="s">
        <v>202</v>
      </c>
      <c r="E980" s="83">
        <v>1000</v>
      </c>
      <c r="F980" s="83">
        <v>1000</v>
      </c>
      <c r="G980" s="1">
        <v>1000</v>
      </c>
      <c r="H980" s="1">
        <v>1000</v>
      </c>
      <c r="I980" s="1"/>
      <c r="J980" s="1">
        <v>1000</v>
      </c>
      <c r="K980" s="1">
        <v>1000</v>
      </c>
      <c r="L980" s="1">
        <v>1000</v>
      </c>
      <c r="M980" s="1">
        <v>1000</v>
      </c>
      <c r="N980" s="1">
        <v>1000</v>
      </c>
      <c r="O980" s="1">
        <v>1000</v>
      </c>
      <c r="P980" s="1">
        <v>417</v>
      </c>
      <c r="Q980" s="186">
        <f t="shared" si="128"/>
        <v>0.417</v>
      </c>
      <c r="R980" s="156">
        <v>1000</v>
      </c>
      <c r="S980" s="156">
        <v>1000</v>
      </c>
      <c r="T980" s="1">
        <v>1000</v>
      </c>
      <c r="U980" s="1">
        <v>55</v>
      </c>
      <c r="V980" s="1"/>
      <c r="W980" s="32">
        <f t="shared" si="127"/>
        <v>1055</v>
      </c>
    </row>
    <row r="981" spans="1:23" ht="12">
      <c r="A981" s="8"/>
      <c r="B981" s="8"/>
      <c r="C981" s="26">
        <v>4300</v>
      </c>
      <c r="D981" s="27" t="s">
        <v>17</v>
      </c>
      <c r="E981" s="83">
        <v>8700</v>
      </c>
      <c r="F981" s="83">
        <v>8700</v>
      </c>
      <c r="G981" s="1">
        <v>15000</v>
      </c>
      <c r="H981" s="1">
        <v>15000</v>
      </c>
      <c r="I981" s="1"/>
      <c r="J981" s="1">
        <v>8900</v>
      </c>
      <c r="K981" s="1">
        <v>34200</v>
      </c>
      <c r="L981" s="1">
        <v>34200</v>
      </c>
      <c r="M981" s="1">
        <v>52200</v>
      </c>
      <c r="N981" s="1">
        <v>35200</v>
      </c>
      <c r="O981" s="1">
        <v>32115</v>
      </c>
      <c r="P981" s="1">
        <v>16801</v>
      </c>
      <c r="Q981" s="186">
        <f t="shared" si="128"/>
        <v>0.5231511754631792</v>
      </c>
      <c r="R981" s="156">
        <v>32672</v>
      </c>
      <c r="S981" s="156">
        <v>38900</v>
      </c>
      <c r="T981" s="1">
        <v>16000</v>
      </c>
      <c r="U981" s="1">
        <v>1500</v>
      </c>
      <c r="V981" s="1"/>
      <c r="W981" s="32">
        <f t="shared" si="127"/>
        <v>17500</v>
      </c>
    </row>
    <row r="982" spans="1:23" ht="36">
      <c r="A982" s="8"/>
      <c r="B982" s="8"/>
      <c r="C982" s="26">
        <v>4370</v>
      </c>
      <c r="D982" s="27" t="s">
        <v>135</v>
      </c>
      <c r="E982" s="83">
        <v>2500</v>
      </c>
      <c r="F982" s="83">
        <v>2500</v>
      </c>
      <c r="G982" s="1">
        <v>2300</v>
      </c>
      <c r="H982" s="1">
        <v>2300</v>
      </c>
      <c r="I982" s="1"/>
      <c r="J982" s="1">
        <v>2300</v>
      </c>
      <c r="K982" s="1">
        <v>1000</v>
      </c>
      <c r="L982" s="1">
        <v>1000</v>
      </c>
      <c r="M982" s="1">
        <v>2300</v>
      </c>
      <c r="N982" s="1">
        <v>1000</v>
      </c>
      <c r="O982" s="1">
        <v>1000</v>
      </c>
      <c r="P982" s="1">
        <v>791</v>
      </c>
      <c r="Q982" s="186">
        <f t="shared" si="128"/>
        <v>0.791</v>
      </c>
      <c r="R982" s="156">
        <v>1400</v>
      </c>
      <c r="S982" s="156">
        <v>1500</v>
      </c>
      <c r="T982" s="1">
        <v>1500</v>
      </c>
      <c r="U982" s="1"/>
      <c r="V982" s="1"/>
      <c r="W982" s="32">
        <f t="shared" si="127"/>
        <v>1500</v>
      </c>
    </row>
    <row r="983" spans="1:23" ht="12">
      <c r="A983" s="8"/>
      <c r="B983" s="8"/>
      <c r="C983" s="26">
        <v>4410</v>
      </c>
      <c r="D983" s="27" t="s">
        <v>42</v>
      </c>
      <c r="E983" s="83"/>
      <c r="F983" s="83"/>
      <c r="G983" s="1"/>
      <c r="H983" s="1"/>
      <c r="I983" s="1"/>
      <c r="J983" s="1"/>
      <c r="K983" s="1"/>
      <c r="L983" s="1"/>
      <c r="M983" s="1"/>
      <c r="N983" s="1">
        <v>0</v>
      </c>
      <c r="O983" s="1">
        <v>0</v>
      </c>
      <c r="P983" s="1">
        <v>0</v>
      </c>
      <c r="Q983" s="186"/>
      <c r="R983" s="156">
        <v>400</v>
      </c>
      <c r="S983" s="156">
        <v>330</v>
      </c>
      <c r="T983" s="1">
        <v>330</v>
      </c>
      <c r="U983" s="1"/>
      <c r="V983" s="1"/>
      <c r="W983" s="32">
        <f t="shared" si="127"/>
        <v>330</v>
      </c>
    </row>
    <row r="984" spans="1:23" ht="12">
      <c r="A984" s="8"/>
      <c r="B984" s="8"/>
      <c r="C984" s="26">
        <v>4430</v>
      </c>
      <c r="D984" s="27" t="s">
        <v>43</v>
      </c>
      <c r="E984" s="83">
        <v>1000</v>
      </c>
      <c r="F984" s="83">
        <v>3000</v>
      </c>
      <c r="G984" s="1">
        <v>3000</v>
      </c>
      <c r="H984" s="1">
        <v>3000</v>
      </c>
      <c r="I984" s="1"/>
      <c r="J984" s="1">
        <v>3000</v>
      </c>
      <c r="K984" s="1">
        <v>2000</v>
      </c>
      <c r="L984" s="1">
        <v>2000</v>
      </c>
      <c r="M984" s="1">
        <v>3000</v>
      </c>
      <c r="N984" s="1">
        <v>2100</v>
      </c>
      <c r="O984" s="1">
        <v>5185</v>
      </c>
      <c r="P984" s="1">
        <v>5185</v>
      </c>
      <c r="Q984" s="186">
        <f t="shared" si="128"/>
        <v>1</v>
      </c>
      <c r="R984" s="156">
        <v>5185</v>
      </c>
      <c r="S984" s="156">
        <v>5300</v>
      </c>
      <c r="T984" s="1">
        <v>5300</v>
      </c>
      <c r="U984" s="1"/>
      <c r="V984" s="1"/>
      <c r="W984" s="32">
        <f t="shared" si="127"/>
        <v>5300</v>
      </c>
    </row>
    <row r="985" spans="1:23" ht="24">
      <c r="A985" s="8"/>
      <c r="B985" s="8"/>
      <c r="C985" s="26">
        <v>4440</v>
      </c>
      <c r="D985" s="27" t="s">
        <v>44</v>
      </c>
      <c r="E985" s="83">
        <v>6300</v>
      </c>
      <c r="F985" s="83">
        <v>6736</v>
      </c>
      <c r="G985" s="1">
        <v>6450</v>
      </c>
      <c r="H985" s="1">
        <v>6450</v>
      </c>
      <c r="I985" s="1"/>
      <c r="J985" s="1">
        <v>6450</v>
      </c>
      <c r="K985" s="1">
        <v>6450</v>
      </c>
      <c r="L985" s="1">
        <v>6450</v>
      </c>
      <c r="M985" s="1">
        <v>7460</v>
      </c>
      <c r="N985" s="1">
        <v>7520</v>
      </c>
      <c r="O985" s="1">
        <v>7520</v>
      </c>
      <c r="P985" s="1">
        <v>5640</v>
      </c>
      <c r="Q985" s="186">
        <f t="shared" si="128"/>
        <v>0.75</v>
      </c>
      <c r="R985" s="156">
        <v>7520</v>
      </c>
      <c r="S985" s="156">
        <v>8400</v>
      </c>
      <c r="T985" s="1">
        <v>8400</v>
      </c>
      <c r="U985" s="1"/>
      <c r="V985" s="1"/>
      <c r="W985" s="32">
        <f t="shared" si="127"/>
        <v>8400</v>
      </c>
    </row>
    <row r="986" spans="1:23" ht="12">
      <c r="A986" s="8"/>
      <c r="B986" s="8"/>
      <c r="C986" s="26">
        <v>4480</v>
      </c>
      <c r="D986" s="27" t="s">
        <v>61</v>
      </c>
      <c r="E986" s="83">
        <v>600</v>
      </c>
      <c r="F986" s="83">
        <v>600</v>
      </c>
      <c r="G986" s="1">
        <v>600</v>
      </c>
      <c r="H986" s="1">
        <v>600</v>
      </c>
      <c r="I986" s="1"/>
      <c r="J986" s="1">
        <v>600</v>
      </c>
      <c r="K986" s="1">
        <v>600</v>
      </c>
      <c r="L986" s="1">
        <v>600</v>
      </c>
      <c r="M986" s="1">
        <v>600</v>
      </c>
      <c r="N986" s="1">
        <v>600</v>
      </c>
      <c r="O986" s="1">
        <v>600</v>
      </c>
      <c r="P986" s="1">
        <v>600</v>
      </c>
      <c r="Q986" s="186">
        <f t="shared" si="128"/>
        <v>1</v>
      </c>
      <c r="R986" s="156">
        <v>600</v>
      </c>
      <c r="S986" s="156">
        <v>600</v>
      </c>
      <c r="T986" s="1">
        <v>1000</v>
      </c>
      <c r="U986" s="1"/>
      <c r="V986" s="1"/>
      <c r="W986" s="32">
        <f t="shared" si="127"/>
        <v>1000</v>
      </c>
    </row>
    <row r="987" spans="1:23" ht="12">
      <c r="A987" s="8"/>
      <c r="B987" s="8"/>
      <c r="C987" s="26">
        <v>4520</v>
      </c>
      <c r="D987" s="27" t="s">
        <v>198</v>
      </c>
      <c r="E987" s="83"/>
      <c r="F987" s="83">
        <v>771</v>
      </c>
      <c r="G987" s="1">
        <v>800</v>
      </c>
      <c r="H987" s="1">
        <v>800</v>
      </c>
      <c r="I987" s="1"/>
      <c r="J987" s="1">
        <v>100</v>
      </c>
      <c r="K987" s="1">
        <v>710</v>
      </c>
      <c r="L987" s="1">
        <v>710</v>
      </c>
      <c r="M987" s="1">
        <v>710</v>
      </c>
      <c r="N987" s="1">
        <v>710</v>
      </c>
      <c r="O987" s="1">
        <v>710</v>
      </c>
      <c r="P987" s="1">
        <v>391</v>
      </c>
      <c r="Q987" s="186">
        <f t="shared" si="128"/>
        <v>0.5507042253521127</v>
      </c>
      <c r="R987" s="156">
        <v>710</v>
      </c>
      <c r="S987" s="156">
        <v>750</v>
      </c>
      <c r="T987" s="1">
        <v>750</v>
      </c>
      <c r="U987" s="1"/>
      <c r="V987" s="1"/>
      <c r="W987" s="32">
        <f t="shared" si="127"/>
        <v>750</v>
      </c>
    </row>
    <row r="988" spans="1:23" ht="36">
      <c r="A988" s="8"/>
      <c r="B988" s="8"/>
      <c r="C988" s="26">
        <v>4700</v>
      </c>
      <c r="D988" s="27" t="s">
        <v>46</v>
      </c>
      <c r="E988" s="83">
        <v>500</v>
      </c>
      <c r="F988" s="83">
        <v>3064</v>
      </c>
      <c r="G988" s="1">
        <v>1000</v>
      </c>
      <c r="H988" s="1">
        <v>1000</v>
      </c>
      <c r="I988" s="1"/>
      <c r="J988" s="1">
        <v>0</v>
      </c>
      <c r="K988" s="1">
        <v>1000</v>
      </c>
      <c r="L988" s="1">
        <v>1000</v>
      </c>
      <c r="M988" s="1">
        <v>1000</v>
      </c>
      <c r="N988" s="1">
        <v>1000</v>
      </c>
      <c r="O988" s="1">
        <v>1000</v>
      </c>
      <c r="P988" s="1">
        <v>200</v>
      </c>
      <c r="Q988" s="186">
        <f t="shared" si="128"/>
        <v>0.2</v>
      </c>
      <c r="R988" s="156">
        <v>1000</v>
      </c>
      <c r="S988" s="156">
        <v>1000</v>
      </c>
      <c r="T988" s="1">
        <v>1000</v>
      </c>
      <c r="U988" s="1"/>
      <c r="V988" s="1"/>
      <c r="W988" s="32">
        <f t="shared" si="127"/>
        <v>1000</v>
      </c>
    </row>
    <row r="989" spans="1:23" ht="36">
      <c r="A989" s="8"/>
      <c r="B989" s="8"/>
      <c r="C989" s="26">
        <v>4740</v>
      </c>
      <c r="D989" s="27" t="s">
        <v>73</v>
      </c>
      <c r="E989" s="83">
        <v>500</v>
      </c>
      <c r="F989" s="83">
        <v>500</v>
      </c>
      <c r="G989" s="1">
        <v>700</v>
      </c>
      <c r="H989" s="1">
        <v>700</v>
      </c>
      <c r="I989" s="1"/>
      <c r="J989" s="1">
        <v>700</v>
      </c>
      <c r="K989" s="1">
        <v>700</v>
      </c>
      <c r="L989" s="1">
        <v>700</v>
      </c>
      <c r="M989" s="1">
        <v>700</v>
      </c>
      <c r="N989" s="1">
        <v>700</v>
      </c>
      <c r="O989" s="1">
        <v>700</v>
      </c>
      <c r="P989" s="1">
        <v>292</v>
      </c>
      <c r="Q989" s="186">
        <f t="shared" si="128"/>
        <v>0.41714285714285715</v>
      </c>
      <c r="R989" s="156">
        <v>700</v>
      </c>
      <c r="S989" s="156">
        <v>700</v>
      </c>
      <c r="T989" s="1">
        <v>700</v>
      </c>
      <c r="U989" s="1"/>
      <c r="V989" s="1"/>
      <c r="W989" s="32">
        <f t="shared" si="127"/>
        <v>700</v>
      </c>
    </row>
    <row r="990" spans="1:23" ht="24">
      <c r="A990" s="8"/>
      <c r="B990" s="8"/>
      <c r="C990" s="26">
        <v>4750</v>
      </c>
      <c r="D990" s="27" t="s">
        <v>118</v>
      </c>
      <c r="E990" s="85"/>
      <c r="F990" s="85">
        <v>500</v>
      </c>
      <c r="G990" s="1">
        <v>300</v>
      </c>
      <c r="H990" s="1">
        <v>300</v>
      </c>
      <c r="I990" s="1"/>
      <c r="J990" s="1">
        <v>300</v>
      </c>
      <c r="K990" s="1">
        <v>300</v>
      </c>
      <c r="L990" s="1">
        <v>300</v>
      </c>
      <c r="M990" s="1">
        <v>500</v>
      </c>
      <c r="N990" s="1">
        <v>300</v>
      </c>
      <c r="O990" s="1">
        <v>300</v>
      </c>
      <c r="P990" s="1">
        <v>299</v>
      </c>
      <c r="Q990" s="186">
        <f>P990/O990</f>
        <v>0.9966666666666667</v>
      </c>
      <c r="R990" s="156">
        <v>300</v>
      </c>
      <c r="S990" s="156">
        <v>700</v>
      </c>
      <c r="T990" s="1">
        <v>500</v>
      </c>
      <c r="U990" s="1"/>
      <c r="V990" s="1"/>
      <c r="W990" s="32">
        <f>T990+U990-V990</f>
        <v>500</v>
      </c>
    </row>
    <row r="991" spans="1:23" ht="12">
      <c r="A991" s="33"/>
      <c r="B991" s="33">
        <v>85204</v>
      </c>
      <c r="C991" s="36"/>
      <c r="D991" s="42" t="s">
        <v>203</v>
      </c>
      <c r="E991" s="91">
        <f>SUM(E992:E997)</f>
        <v>1792374</v>
      </c>
      <c r="F991" s="91">
        <f>SUM(F992:F997)</f>
        <v>1797420</v>
      </c>
      <c r="G991" s="91">
        <f>SUM(G992:G997)</f>
        <v>2184384</v>
      </c>
      <c r="H991" s="91">
        <f>SUM(H992:H997)</f>
        <v>2184384</v>
      </c>
      <c r="I991" s="91"/>
      <c r="J991" s="91">
        <f aca="true" t="shared" si="129" ref="J991:P991">SUM(J992:J997)</f>
        <v>1848293</v>
      </c>
      <c r="K991" s="91">
        <f t="shared" si="129"/>
        <v>1903436</v>
      </c>
      <c r="L991" s="91">
        <f t="shared" si="129"/>
        <v>1765996</v>
      </c>
      <c r="M991" s="91">
        <f t="shared" si="129"/>
        <v>2329593</v>
      </c>
      <c r="N991" s="91">
        <v>2329580</v>
      </c>
      <c r="O991" s="91">
        <v>2312853</v>
      </c>
      <c r="P991" s="91">
        <f t="shared" si="129"/>
        <v>958280</v>
      </c>
      <c r="Q991" s="186">
        <f t="shared" si="128"/>
        <v>0.41432810472606774</v>
      </c>
      <c r="R991" s="91">
        <f>SUM(R992:R997)</f>
        <v>2101156</v>
      </c>
      <c r="S991" s="91">
        <f>SUM(S992:S997)</f>
        <v>2263764</v>
      </c>
      <c r="T991" s="91">
        <v>2136777</v>
      </c>
      <c r="U991" s="91">
        <f>SUM(U992:U997)</f>
        <v>0</v>
      </c>
      <c r="V991" s="91">
        <f>SUM(V992:V997)</f>
        <v>0</v>
      </c>
      <c r="W991" s="32">
        <f t="shared" si="127"/>
        <v>2136777</v>
      </c>
    </row>
    <row r="992" spans="1:23" ht="72">
      <c r="A992" s="25"/>
      <c r="B992" s="25"/>
      <c r="C992" s="26">
        <v>2320</v>
      </c>
      <c r="D992" s="27" t="s">
        <v>178</v>
      </c>
      <c r="E992" s="104">
        <v>77186</v>
      </c>
      <c r="F992" s="104">
        <f>F1005</f>
        <v>80232</v>
      </c>
      <c r="G992" s="105">
        <f>G1005</f>
        <v>87440</v>
      </c>
      <c r="H992" s="105">
        <f>H1005</f>
        <v>87440</v>
      </c>
      <c r="I992" s="105"/>
      <c r="J992" s="105">
        <v>87440</v>
      </c>
      <c r="K992" s="105">
        <v>137440</v>
      </c>
      <c r="L992" s="105"/>
      <c r="M992" s="105">
        <v>127266</v>
      </c>
      <c r="N992" s="1">
        <v>127300</v>
      </c>
      <c r="O992" s="1">
        <v>127300</v>
      </c>
      <c r="P992" s="1">
        <v>28611</v>
      </c>
      <c r="Q992" s="186">
        <f t="shared" si="128"/>
        <v>0.22475255302435193</v>
      </c>
      <c r="R992" s="1">
        <v>127300</v>
      </c>
      <c r="S992" s="1">
        <v>74000</v>
      </c>
      <c r="T992" s="1">
        <v>104000</v>
      </c>
      <c r="U992" s="1">
        <f>U1005</f>
        <v>0</v>
      </c>
      <c r="V992" s="1">
        <f>V1005</f>
        <v>0</v>
      </c>
      <c r="W992" s="32">
        <f t="shared" si="127"/>
        <v>104000</v>
      </c>
    </row>
    <row r="993" spans="1:23" ht="12">
      <c r="A993" s="25"/>
      <c r="B993" s="25"/>
      <c r="C993" s="26">
        <v>3110</v>
      </c>
      <c r="D993" s="27" t="s">
        <v>179</v>
      </c>
      <c r="E993" s="106">
        <f>E999</f>
        <v>1543660</v>
      </c>
      <c r="F993" s="106">
        <f>F999</f>
        <v>1543660</v>
      </c>
      <c r="G993" s="106">
        <f>G999</f>
        <v>1863811</v>
      </c>
      <c r="H993" s="106">
        <f>H999</f>
        <v>1863811</v>
      </c>
      <c r="I993" s="106"/>
      <c r="J993" s="106">
        <f>J999</f>
        <v>1579000</v>
      </c>
      <c r="K993" s="106">
        <f>K999</f>
        <v>1579000</v>
      </c>
      <c r="L993" s="106">
        <f aca="true" t="shared" si="130" ref="L993:M997">L999</f>
        <v>1579000</v>
      </c>
      <c r="M993" s="106">
        <f t="shared" si="130"/>
        <v>1945543</v>
      </c>
      <c r="N993" s="12">
        <v>1945500</v>
      </c>
      <c r="O993" s="12">
        <v>1928773</v>
      </c>
      <c r="P993" s="12">
        <v>859051</v>
      </c>
      <c r="Q993" s="186">
        <f t="shared" si="128"/>
        <v>0.44538730063102294</v>
      </c>
      <c r="R993" s="155">
        <f aca="true" t="shared" si="131" ref="R993:S997">R999</f>
        <v>1765000</v>
      </c>
      <c r="S993" s="155">
        <f t="shared" si="131"/>
        <v>1946437</v>
      </c>
      <c r="T993" s="12">
        <v>1788857</v>
      </c>
      <c r="U993" s="12">
        <f aca="true" t="shared" si="132" ref="U993:V997">U999</f>
        <v>0</v>
      </c>
      <c r="V993" s="12">
        <f t="shared" si="132"/>
        <v>0</v>
      </c>
      <c r="W993" s="32">
        <f t="shared" si="127"/>
        <v>1788857</v>
      </c>
    </row>
    <row r="994" spans="1:23" ht="12">
      <c r="A994" s="25"/>
      <c r="B994" s="25"/>
      <c r="C994" s="26">
        <v>4170</v>
      </c>
      <c r="D994" s="27" t="s">
        <v>33</v>
      </c>
      <c r="E994" s="104">
        <v>144464</v>
      </c>
      <c r="F994" s="104">
        <v>146464</v>
      </c>
      <c r="G994" s="106">
        <f>G1000</f>
        <v>198338</v>
      </c>
      <c r="H994" s="106">
        <f>H1000</f>
        <v>198338</v>
      </c>
      <c r="I994" s="106"/>
      <c r="J994" s="106">
        <v>156853</v>
      </c>
      <c r="K994" s="106">
        <f>K1000</f>
        <v>160806</v>
      </c>
      <c r="L994" s="106">
        <f t="shared" si="130"/>
        <v>160806</v>
      </c>
      <c r="M994" s="106">
        <f t="shared" si="130"/>
        <v>220580</v>
      </c>
      <c r="N994" s="106">
        <v>220580</v>
      </c>
      <c r="O994" s="106">
        <v>220580</v>
      </c>
      <c r="P994" s="12">
        <v>62031</v>
      </c>
      <c r="Q994" s="186">
        <f t="shared" si="128"/>
        <v>0.2812176987940883</v>
      </c>
      <c r="R994" s="155">
        <f t="shared" si="131"/>
        <v>182056</v>
      </c>
      <c r="S994" s="155">
        <f t="shared" si="131"/>
        <v>208753</v>
      </c>
      <c r="T994" s="12">
        <v>208000</v>
      </c>
      <c r="U994" s="12">
        <f t="shared" si="132"/>
        <v>0</v>
      </c>
      <c r="V994" s="12">
        <f t="shared" si="132"/>
        <v>0</v>
      </c>
      <c r="W994" s="32">
        <f t="shared" si="127"/>
        <v>208000</v>
      </c>
    </row>
    <row r="995" spans="1:23" ht="24">
      <c r="A995" s="25"/>
      <c r="B995" s="25"/>
      <c r="C995" s="26">
        <v>4110</v>
      </c>
      <c r="D995" s="27" t="s">
        <v>113</v>
      </c>
      <c r="E995" s="104">
        <f>E1001</f>
        <v>23523</v>
      </c>
      <c r="F995" s="104">
        <f aca="true" t="shared" si="133" ref="F995:H996">F1001</f>
        <v>23523</v>
      </c>
      <c r="G995" s="106">
        <f t="shared" si="133"/>
        <v>27991</v>
      </c>
      <c r="H995" s="106">
        <f t="shared" si="133"/>
        <v>27991</v>
      </c>
      <c r="I995" s="106"/>
      <c r="J995" s="106">
        <v>21300</v>
      </c>
      <c r="K995" s="106">
        <f>K1001</f>
        <v>22354</v>
      </c>
      <c r="L995" s="106">
        <f>L1001</f>
        <v>22354</v>
      </c>
      <c r="M995" s="106">
        <f t="shared" si="130"/>
        <v>30901</v>
      </c>
      <c r="N995" s="106">
        <v>30900</v>
      </c>
      <c r="O995" s="106">
        <v>30900</v>
      </c>
      <c r="P995" s="12">
        <v>7328</v>
      </c>
      <c r="Q995" s="186">
        <f t="shared" si="128"/>
        <v>0.23715210355987054</v>
      </c>
      <c r="R995" s="155">
        <f t="shared" si="131"/>
        <v>23000</v>
      </c>
      <c r="S995" s="155">
        <f t="shared" si="131"/>
        <v>29512</v>
      </c>
      <c r="T995" s="12">
        <v>30920</v>
      </c>
      <c r="U995" s="12">
        <f t="shared" si="132"/>
        <v>0</v>
      </c>
      <c r="V995" s="12">
        <f t="shared" si="132"/>
        <v>0</v>
      </c>
      <c r="W995" s="32">
        <f t="shared" si="127"/>
        <v>30920</v>
      </c>
    </row>
    <row r="996" spans="1:23" ht="12">
      <c r="A996" s="25"/>
      <c r="B996" s="25"/>
      <c r="C996" s="26">
        <v>4120</v>
      </c>
      <c r="D996" s="27" t="s">
        <v>32</v>
      </c>
      <c r="E996" s="104">
        <f>E1002</f>
        <v>3541</v>
      </c>
      <c r="F996" s="104">
        <f t="shared" si="133"/>
        <v>3541</v>
      </c>
      <c r="G996" s="106">
        <f t="shared" si="133"/>
        <v>4804</v>
      </c>
      <c r="H996" s="106">
        <f t="shared" si="133"/>
        <v>4804</v>
      </c>
      <c r="I996" s="106"/>
      <c r="J996" s="106">
        <v>3700</v>
      </c>
      <c r="K996" s="106">
        <f>K1002</f>
        <v>3836</v>
      </c>
      <c r="L996" s="106">
        <f>L1002</f>
        <v>3836</v>
      </c>
      <c r="M996" s="106">
        <f t="shared" si="130"/>
        <v>5303</v>
      </c>
      <c r="N996" s="106">
        <v>5300</v>
      </c>
      <c r="O996" s="106">
        <v>5300</v>
      </c>
      <c r="P996" s="12">
        <v>1259</v>
      </c>
      <c r="Q996" s="186">
        <f t="shared" si="128"/>
        <v>0.23754716981132076</v>
      </c>
      <c r="R996" s="155">
        <f t="shared" si="131"/>
        <v>3800</v>
      </c>
      <c r="S996" s="155">
        <f t="shared" si="131"/>
        <v>5062</v>
      </c>
      <c r="T996" s="12">
        <v>5000</v>
      </c>
      <c r="U996" s="12">
        <f t="shared" si="132"/>
        <v>0</v>
      </c>
      <c r="V996" s="12">
        <f t="shared" si="132"/>
        <v>0</v>
      </c>
      <c r="W996" s="32">
        <f t="shared" si="127"/>
        <v>5000</v>
      </c>
    </row>
    <row r="997" spans="1:23" ht="12" hidden="1">
      <c r="A997" s="25"/>
      <c r="B997" s="25"/>
      <c r="C997" s="26">
        <v>4300</v>
      </c>
      <c r="D997" s="27" t="s">
        <v>17</v>
      </c>
      <c r="E997" s="104">
        <f>E1003</f>
        <v>0</v>
      </c>
      <c r="F997" s="104">
        <f>F1003</f>
        <v>0</v>
      </c>
      <c r="G997" s="104">
        <f>G1003</f>
        <v>2000</v>
      </c>
      <c r="H997" s="104">
        <f>H1003</f>
        <v>2000</v>
      </c>
      <c r="I997" s="104"/>
      <c r="J997" s="104">
        <f>J1003</f>
        <v>0</v>
      </c>
      <c r="K997" s="104">
        <f>K1003</f>
        <v>0</v>
      </c>
      <c r="L997" s="104">
        <f>L1003</f>
        <v>0</v>
      </c>
      <c r="M997" s="104">
        <f t="shared" si="130"/>
        <v>0</v>
      </c>
      <c r="N997" s="104">
        <v>0</v>
      </c>
      <c r="O997" s="104">
        <v>0</v>
      </c>
      <c r="P997" s="104">
        <f>P1003</f>
        <v>0</v>
      </c>
      <c r="Q997" s="186"/>
      <c r="R997" s="172">
        <f t="shared" si="131"/>
        <v>0</v>
      </c>
      <c r="S997" s="172">
        <f t="shared" si="131"/>
        <v>0</v>
      </c>
      <c r="T997" s="104">
        <v>0</v>
      </c>
      <c r="U997" s="104">
        <f t="shared" si="132"/>
        <v>0</v>
      </c>
      <c r="V997" s="104">
        <f t="shared" si="132"/>
        <v>0</v>
      </c>
      <c r="W997" s="32">
        <f t="shared" si="127"/>
        <v>0</v>
      </c>
    </row>
    <row r="998" spans="1:23" ht="12">
      <c r="A998" s="33"/>
      <c r="B998" s="33"/>
      <c r="C998" s="36" t="s">
        <v>204</v>
      </c>
      <c r="D998" s="42" t="s">
        <v>205</v>
      </c>
      <c r="E998" s="107">
        <f>SUM(E999:E1003)</f>
        <v>1715188</v>
      </c>
      <c r="F998" s="107">
        <f>SUM(F999:F1003)</f>
        <v>1717188</v>
      </c>
      <c r="G998" s="107">
        <f>SUM(G999:G1003)</f>
        <v>2096944</v>
      </c>
      <c r="H998" s="107">
        <f>SUM(H999:H1003)</f>
        <v>2096944</v>
      </c>
      <c r="I998" s="107"/>
      <c r="J998" s="107">
        <f aca="true" t="shared" si="134" ref="J998:P998">SUM(J999:J1003)</f>
        <v>1760853</v>
      </c>
      <c r="K998" s="107">
        <f t="shared" si="134"/>
        <v>1765996</v>
      </c>
      <c r="L998" s="107">
        <f t="shared" si="134"/>
        <v>1765996</v>
      </c>
      <c r="M998" s="107">
        <f t="shared" si="134"/>
        <v>2202327</v>
      </c>
      <c r="N998" s="107">
        <v>2202280</v>
      </c>
      <c r="O998" s="107">
        <v>2185553</v>
      </c>
      <c r="P998" s="107">
        <f t="shared" si="134"/>
        <v>929669</v>
      </c>
      <c r="Q998" s="186">
        <f t="shared" si="128"/>
        <v>0.42537014659447747</v>
      </c>
      <c r="R998" s="166">
        <f>SUM(R999:R1003)</f>
        <v>1973856</v>
      </c>
      <c r="S998" s="166">
        <f>SUM(S999:S1003)</f>
        <v>2189764</v>
      </c>
      <c r="T998" s="107">
        <v>2032777</v>
      </c>
      <c r="U998" s="107">
        <f>SUM(U999:U1003)</f>
        <v>0</v>
      </c>
      <c r="V998" s="107">
        <f>SUM(V999:V1003)</f>
        <v>0</v>
      </c>
      <c r="W998" s="32">
        <f t="shared" si="127"/>
        <v>2032777</v>
      </c>
    </row>
    <row r="999" spans="1:23" ht="12">
      <c r="A999" s="25"/>
      <c r="B999" s="25"/>
      <c r="C999" s="26">
        <v>3110</v>
      </c>
      <c r="D999" s="27" t="s">
        <v>179</v>
      </c>
      <c r="E999" s="11">
        <f>1546300-2640</f>
        <v>1543660</v>
      </c>
      <c r="F999" s="11">
        <f>1546300-2640</f>
        <v>1543660</v>
      </c>
      <c r="G999" s="12">
        <v>1863811</v>
      </c>
      <c r="H999" s="12">
        <v>1863811</v>
      </c>
      <c r="I999" s="12"/>
      <c r="J999" s="12">
        <v>1579000</v>
      </c>
      <c r="K999" s="12">
        <v>1579000</v>
      </c>
      <c r="L999" s="12">
        <v>1579000</v>
      </c>
      <c r="M999" s="12">
        <v>1945543</v>
      </c>
      <c r="N999" s="12">
        <v>1945500</v>
      </c>
      <c r="O999" s="12">
        <v>1928773</v>
      </c>
      <c r="P999" s="12">
        <v>859051</v>
      </c>
      <c r="Q999" s="186">
        <f t="shared" si="128"/>
        <v>0.44538730063102294</v>
      </c>
      <c r="R999" s="155">
        <v>1765000</v>
      </c>
      <c r="S999" s="155">
        <v>1946437</v>
      </c>
      <c r="T999" s="12">
        <v>1788857</v>
      </c>
      <c r="U999" s="12"/>
      <c r="V999" s="12"/>
      <c r="W999" s="32">
        <f t="shared" si="127"/>
        <v>1788857</v>
      </c>
    </row>
    <row r="1000" spans="1:23" ht="12">
      <c r="A1000" s="33"/>
      <c r="B1000" s="33"/>
      <c r="C1000" s="26">
        <v>4170</v>
      </c>
      <c r="D1000" s="27" t="s">
        <v>33</v>
      </c>
      <c r="E1000" s="11">
        <v>144464</v>
      </c>
      <c r="F1000" s="11">
        <v>146464</v>
      </c>
      <c r="G1000" s="12">
        <v>198338</v>
      </c>
      <c r="H1000" s="12">
        <v>198338</v>
      </c>
      <c r="I1000" s="12"/>
      <c r="J1000" s="12">
        <v>156853</v>
      </c>
      <c r="K1000" s="12">
        <v>160806</v>
      </c>
      <c r="L1000" s="12">
        <v>160806</v>
      </c>
      <c r="M1000" s="12">
        <v>220580</v>
      </c>
      <c r="N1000" s="12">
        <v>220580</v>
      </c>
      <c r="O1000" s="12">
        <v>220580</v>
      </c>
      <c r="P1000" s="12">
        <v>62031</v>
      </c>
      <c r="Q1000" s="186">
        <f t="shared" si="128"/>
        <v>0.2812176987940883</v>
      </c>
      <c r="R1000" s="155">
        <v>182056</v>
      </c>
      <c r="S1000" s="155">
        <v>208753</v>
      </c>
      <c r="T1000" s="12">
        <v>208000</v>
      </c>
      <c r="U1000" s="12"/>
      <c r="V1000" s="12"/>
      <c r="W1000" s="32">
        <f t="shared" si="127"/>
        <v>208000</v>
      </c>
    </row>
    <row r="1001" spans="1:23" ht="24">
      <c r="A1001" s="25"/>
      <c r="B1001" s="25"/>
      <c r="C1001" s="26">
        <v>4110</v>
      </c>
      <c r="D1001" s="27" t="s">
        <v>113</v>
      </c>
      <c r="E1001" s="11">
        <f>27600-4077</f>
        <v>23523</v>
      </c>
      <c r="F1001" s="11">
        <f>27600-4077</f>
        <v>23523</v>
      </c>
      <c r="G1001" s="12">
        <v>27991</v>
      </c>
      <c r="H1001" s="12">
        <v>27991</v>
      </c>
      <c r="I1001" s="12"/>
      <c r="J1001" s="12">
        <v>21300</v>
      </c>
      <c r="K1001" s="12">
        <v>22354</v>
      </c>
      <c r="L1001" s="12">
        <v>22354</v>
      </c>
      <c r="M1001" s="12">
        <v>30901</v>
      </c>
      <c r="N1001" s="12">
        <v>30900</v>
      </c>
      <c r="O1001" s="12">
        <v>30900</v>
      </c>
      <c r="P1001" s="12">
        <v>7328</v>
      </c>
      <c r="Q1001" s="186">
        <f t="shared" si="128"/>
        <v>0.23715210355987054</v>
      </c>
      <c r="R1001" s="155">
        <v>23000</v>
      </c>
      <c r="S1001" s="155">
        <v>29512</v>
      </c>
      <c r="T1001" s="12">
        <v>30920</v>
      </c>
      <c r="U1001" s="12"/>
      <c r="V1001" s="12"/>
      <c r="W1001" s="32">
        <f t="shared" si="127"/>
        <v>30920</v>
      </c>
    </row>
    <row r="1002" spans="1:23" ht="12">
      <c r="A1002" s="25"/>
      <c r="B1002" s="25"/>
      <c r="C1002" s="26">
        <v>4120</v>
      </c>
      <c r="D1002" s="27" t="s">
        <v>32</v>
      </c>
      <c r="E1002" s="11">
        <f>4150-609</f>
        <v>3541</v>
      </c>
      <c r="F1002" s="11">
        <f>4150-609</f>
        <v>3541</v>
      </c>
      <c r="G1002" s="12">
        <v>4804</v>
      </c>
      <c r="H1002" s="12">
        <v>4804</v>
      </c>
      <c r="I1002" s="12"/>
      <c r="J1002" s="12">
        <v>3700</v>
      </c>
      <c r="K1002" s="12">
        <v>3836</v>
      </c>
      <c r="L1002" s="12">
        <v>3836</v>
      </c>
      <c r="M1002" s="12">
        <v>5303</v>
      </c>
      <c r="N1002" s="12">
        <v>5300</v>
      </c>
      <c r="O1002" s="12">
        <v>5300</v>
      </c>
      <c r="P1002" s="12">
        <v>1259</v>
      </c>
      <c r="Q1002" s="186">
        <f t="shared" si="128"/>
        <v>0.23754716981132076</v>
      </c>
      <c r="R1002" s="155">
        <v>3800</v>
      </c>
      <c r="S1002" s="155">
        <v>5062</v>
      </c>
      <c r="T1002" s="12">
        <v>5000</v>
      </c>
      <c r="U1002" s="12"/>
      <c r="V1002" s="12"/>
      <c r="W1002" s="32">
        <f t="shared" si="127"/>
        <v>5000</v>
      </c>
    </row>
    <row r="1003" spans="1:23" ht="12" hidden="1">
      <c r="A1003" s="25"/>
      <c r="B1003" s="25"/>
      <c r="C1003" s="26">
        <v>4300</v>
      </c>
      <c r="D1003" s="27" t="s">
        <v>17</v>
      </c>
      <c r="E1003" s="11"/>
      <c r="F1003" s="11"/>
      <c r="G1003" s="12">
        <v>2000</v>
      </c>
      <c r="H1003" s="12">
        <v>2000</v>
      </c>
      <c r="I1003" s="12"/>
      <c r="J1003" s="12">
        <v>0</v>
      </c>
      <c r="K1003" s="12">
        <v>0</v>
      </c>
      <c r="L1003" s="12">
        <v>0</v>
      </c>
      <c r="M1003" s="12">
        <v>0</v>
      </c>
      <c r="N1003" s="12">
        <v>0</v>
      </c>
      <c r="O1003" s="12">
        <v>0</v>
      </c>
      <c r="P1003" s="12">
        <f>O1003</f>
        <v>0</v>
      </c>
      <c r="Q1003" s="186"/>
      <c r="R1003" s="155">
        <v>0</v>
      </c>
      <c r="S1003" s="155">
        <v>0</v>
      </c>
      <c r="T1003" s="12">
        <v>0</v>
      </c>
      <c r="U1003" s="12">
        <v>0</v>
      </c>
      <c r="V1003" s="12">
        <v>0</v>
      </c>
      <c r="W1003" s="32">
        <f t="shared" si="127"/>
        <v>0</v>
      </c>
    </row>
    <row r="1004" spans="1:23" ht="12">
      <c r="A1004" s="25"/>
      <c r="B1004" s="25"/>
      <c r="C1004" s="36"/>
      <c r="D1004" s="42" t="s">
        <v>206</v>
      </c>
      <c r="E1004" s="87">
        <f>E1005</f>
        <v>77186</v>
      </c>
      <c r="F1004" s="87">
        <f>F1005</f>
        <v>80232</v>
      </c>
      <c r="G1004" s="92">
        <f>G1005</f>
        <v>87440</v>
      </c>
      <c r="H1004" s="92">
        <f>H1005</f>
        <v>87440</v>
      </c>
      <c r="I1004" s="92"/>
      <c r="J1004" s="92">
        <f aca="true" t="shared" si="135" ref="J1004:S1004">J1005</f>
        <v>87440</v>
      </c>
      <c r="K1004" s="92">
        <f t="shared" si="135"/>
        <v>137440</v>
      </c>
      <c r="L1004" s="92">
        <f t="shared" si="135"/>
        <v>0</v>
      </c>
      <c r="M1004" s="92">
        <f t="shared" si="135"/>
        <v>127266</v>
      </c>
      <c r="N1004" s="92">
        <v>127300</v>
      </c>
      <c r="O1004" s="92">
        <v>127300</v>
      </c>
      <c r="P1004" s="92">
        <f t="shared" si="135"/>
        <v>28611</v>
      </c>
      <c r="Q1004" s="186">
        <f t="shared" si="128"/>
        <v>0.22475255302435193</v>
      </c>
      <c r="R1004" s="92">
        <f t="shared" si="135"/>
        <v>127300</v>
      </c>
      <c r="S1004" s="92">
        <f t="shared" si="135"/>
        <v>74000</v>
      </c>
      <c r="T1004" s="92">
        <v>104000</v>
      </c>
      <c r="U1004" s="92">
        <f>U1005</f>
        <v>0</v>
      </c>
      <c r="V1004" s="92">
        <f>V1005</f>
        <v>0</v>
      </c>
      <c r="W1004" s="32">
        <f t="shared" si="127"/>
        <v>104000</v>
      </c>
    </row>
    <row r="1005" spans="1:23" ht="72">
      <c r="A1005" s="25"/>
      <c r="B1005" s="25"/>
      <c r="C1005" s="45">
        <v>2320</v>
      </c>
      <c r="D1005" s="46" t="s">
        <v>178</v>
      </c>
      <c r="E1005" s="47">
        <v>77186</v>
      </c>
      <c r="F1005" s="47">
        <v>80232</v>
      </c>
      <c r="G1005" s="65">
        <v>87440</v>
      </c>
      <c r="H1005" s="65">
        <v>87440</v>
      </c>
      <c r="I1005" s="65"/>
      <c r="J1005" s="65">
        <v>87440</v>
      </c>
      <c r="K1005" s="65">
        <v>137440</v>
      </c>
      <c r="L1005" s="12"/>
      <c r="M1005" s="12">
        <v>127266</v>
      </c>
      <c r="N1005" s="12">
        <v>127300</v>
      </c>
      <c r="O1005" s="12">
        <v>127300</v>
      </c>
      <c r="P1005" s="12">
        <v>28611</v>
      </c>
      <c r="Q1005" s="186">
        <f t="shared" si="128"/>
        <v>0.22475255302435193</v>
      </c>
      <c r="R1005" s="12">
        <v>127300</v>
      </c>
      <c r="S1005" s="12">
        <v>74000</v>
      </c>
      <c r="T1005" s="12">
        <v>104000</v>
      </c>
      <c r="U1005" s="12"/>
      <c r="V1005" s="12"/>
      <c r="W1005" s="32">
        <f t="shared" si="127"/>
        <v>104000</v>
      </c>
    </row>
    <row r="1006" spans="1:23" ht="24">
      <c r="A1006" s="33"/>
      <c r="B1006" s="33">
        <v>85218</v>
      </c>
      <c r="C1006" s="36"/>
      <c r="D1006" s="42" t="s">
        <v>207</v>
      </c>
      <c r="E1006" s="35">
        <f>SUM(E1007:E1030)</f>
        <v>496020</v>
      </c>
      <c r="F1006" s="35">
        <f>SUM(F1007:F1030)</f>
        <v>513570</v>
      </c>
      <c r="G1006" s="37">
        <f>SUM(G1007:G1030)</f>
        <v>553180</v>
      </c>
      <c r="H1006" s="37">
        <f>SUM(H1007:H1030)</f>
        <v>553180</v>
      </c>
      <c r="I1006" s="37"/>
      <c r="J1006" s="37">
        <f>SUM(J1007:J1030)</f>
        <v>553071</v>
      </c>
      <c r="K1006" s="37">
        <f>SUM(K1007:K1030)</f>
        <v>544097</v>
      </c>
      <c r="L1006" s="37">
        <f>SUM(L1007:L1031)</f>
        <v>544097</v>
      </c>
      <c r="M1006" s="37">
        <f>SUM(M1007:M1031)</f>
        <v>599820</v>
      </c>
      <c r="N1006" s="37">
        <v>620890</v>
      </c>
      <c r="O1006" s="37">
        <v>620890</v>
      </c>
      <c r="P1006" s="37">
        <f>SUM(P1007:P1031)</f>
        <v>273332</v>
      </c>
      <c r="Q1006" s="186">
        <f t="shared" si="128"/>
        <v>0.4402261270112258</v>
      </c>
      <c r="R1006" s="157">
        <f>SUM(R1007:R1031)</f>
        <v>601008</v>
      </c>
      <c r="S1006" s="157">
        <f>SUM(S1007:S1031)</f>
        <v>750063</v>
      </c>
      <c r="T1006" s="37">
        <v>737750</v>
      </c>
      <c r="U1006" s="37">
        <f>SUM(U1007:U1031)</f>
        <v>10529</v>
      </c>
      <c r="V1006" s="37">
        <f>SUM(V1007:V1031)</f>
        <v>6309</v>
      </c>
      <c r="W1006" s="32">
        <f t="shared" si="127"/>
        <v>741970</v>
      </c>
    </row>
    <row r="1007" spans="1:23" ht="12">
      <c r="A1007" s="25"/>
      <c r="B1007" s="25"/>
      <c r="C1007" s="26"/>
      <c r="D1007" s="27" t="s">
        <v>208</v>
      </c>
      <c r="E1007" s="85"/>
      <c r="F1007" s="85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186"/>
      <c r="R1007" s="167"/>
      <c r="S1007" s="167"/>
      <c r="T1007" s="90">
        <v>0</v>
      </c>
      <c r="U1007" s="90"/>
      <c r="V1007" s="90"/>
      <c r="W1007" s="32">
        <f t="shared" si="127"/>
        <v>0</v>
      </c>
    </row>
    <row r="1008" spans="1:23" ht="24">
      <c r="A1008" s="25"/>
      <c r="B1008" s="25"/>
      <c r="C1008" s="26">
        <v>3020</v>
      </c>
      <c r="D1008" s="27" t="s">
        <v>68</v>
      </c>
      <c r="E1008" s="11">
        <v>1000</v>
      </c>
      <c r="F1008" s="11">
        <v>1000</v>
      </c>
      <c r="G1008" s="11">
        <v>1000</v>
      </c>
      <c r="H1008" s="11">
        <v>1000</v>
      </c>
      <c r="I1008" s="11"/>
      <c r="J1008" s="11">
        <v>1000</v>
      </c>
      <c r="K1008" s="11">
        <v>1000</v>
      </c>
      <c r="L1008" s="11">
        <v>1000</v>
      </c>
      <c r="M1008" s="11">
        <v>1000</v>
      </c>
      <c r="N1008" s="11">
        <v>1000</v>
      </c>
      <c r="O1008" s="11">
        <v>1000</v>
      </c>
      <c r="P1008" s="11"/>
      <c r="Q1008" s="186">
        <f t="shared" si="128"/>
        <v>0</v>
      </c>
      <c r="R1008" s="158">
        <v>1000</v>
      </c>
      <c r="S1008" s="158">
        <v>1000</v>
      </c>
      <c r="T1008" s="11">
        <v>1000</v>
      </c>
      <c r="U1008" s="11"/>
      <c r="V1008" s="11"/>
      <c r="W1008" s="32">
        <f t="shared" si="127"/>
        <v>1000</v>
      </c>
    </row>
    <row r="1009" spans="1:23" ht="24">
      <c r="A1009" s="25"/>
      <c r="B1009" s="25"/>
      <c r="C1009" s="26">
        <v>4010</v>
      </c>
      <c r="D1009" s="27" t="s">
        <v>29</v>
      </c>
      <c r="E1009" s="11">
        <v>288600</v>
      </c>
      <c r="F1009" s="11">
        <v>303030</v>
      </c>
      <c r="G1009" s="11">
        <v>339010</v>
      </c>
      <c r="H1009" s="11">
        <v>339010</v>
      </c>
      <c r="I1009" s="11">
        <v>339010</v>
      </c>
      <c r="J1009" s="11">
        <v>339010</v>
      </c>
      <c r="K1009" s="11">
        <v>331420</v>
      </c>
      <c r="L1009" s="11">
        <v>331420</v>
      </c>
      <c r="M1009" s="11">
        <v>358774</v>
      </c>
      <c r="N1009" s="11">
        <v>378900</v>
      </c>
      <c r="O1009" s="11">
        <v>378900</v>
      </c>
      <c r="P1009" s="11">
        <v>167281</v>
      </c>
      <c r="Q1009" s="186">
        <f t="shared" si="128"/>
        <v>0.44149115861704935</v>
      </c>
      <c r="R1009" s="158">
        <v>383252</v>
      </c>
      <c r="S1009" s="158">
        <v>432801</v>
      </c>
      <c r="T1009" s="11">
        <v>420630</v>
      </c>
      <c r="U1009" s="11">
        <f>3000+1220</f>
        <v>4220</v>
      </c>
      <c r="V1009" s="11">
        <v>3000</v>
      </c>
      <c r="W1009" s="32">
        <f t="shared" si="127"/>
        <v>421850</v>
      </c>
    </row>
    <row r="1010" spans="1:23" ht="12">
      <c r="A1010" s="25"/>
      <c r="B1010" s="25"/>
      <c r="C1010" s="26">
        <v>4040</v>
      </c>
      <c r="D1010" s="27" t="s">
        <v>30</v>
      </c>
      <c r="E1010" s="11">
        <v>23500</v>
      </c>
      <c r="F1010" s="11">
        <v>22037</v>
      </c>
      <c r="G1010" s="11">
        <v>26400</v>
      </c>
      <c r="H1010" s="11">
        <v>26400</v>
      </c>
      <c r="I1010" s="11"/>
      <c r="J1010" s="11">
        <v>26291</v>
      </c>
      <c r="K1010" s="11">
        <v>26249</v>
      </c>
      <c r="L1010" s="11">
        <v>26249</v>
      </c>
      <c r="M1010" s="11">
        <v>21550</v>
      </c>
      <c r="N1010" s="11">
        <v>21500</v>
      </c>
      <c r="O1010" s="11">
        <v>21500</v>
      </c>
      <c r="P1010" s="11">
        <v>21251</v>
      </c>
      <c r="Q1010" s="186">
        <f t="shared" si="128"/>
        <v>0.9884186046511628</v>
      </c>
      <c r="R1010" s="158">
        <v>21251</v>
      </c>
      <c r="S1010" s="158">
        <v>31100</v>
      </c>
      <c r="T1010" s="11">
        <v>32098</v>
      </c>
      <c r="U1010" s="11"/>
      <c r="V1010" s="11">
        <v>1309</v>
      </c>
      <c r="W1010" s="32">
        <f t="shared" si="127"/>
        <v>30789</v>
      </c>
    </row>
    <row r="1011" spans="1:23" ht="24">
      <c r="A1011" s="25"/>
      <c r="B1011" s="25"/>
      <c r="C1011" s="26">
        <v>4110</v>
      </c>
      <c r="D1011" s="27" t="s">
        <v>31</v>
      </c>
      <c r="E1011" s="11">
        <v>54400</v>
      </c>
      <c r="F1011" s="11">
        <v>56920</v>
      </c>
      <c r="G1011" s="11">
        <v>55000</v>
      </c>
      <c r="H1011" s="11">
        <v>55000</v>
      </c>
      <c r="I1011" s="11"/>
      <c r="J1011" s="11">
        <v>55000</v>
      </c>
      <c r="K1011" s="11">
        <v>55509</v>
      </c>
      <c r="L1011" s="11">
        <v>55509</v>
      </c>
      <c r="M1011" s="11">
        <v>58722</v>
      </c>
      <c r="N1011" s="11">
        <v>60800</v>
      </c>
      <c r="O1011" s="11">
        <v>60800</v>
      </c>
      <c r="P1011" s="11">
        <v>24463</v>
      </c>
      <c r="Q1011" s="186">
        <f t="shared" si="128"/>
        <v>0.40235197368421055</v>
      </c>
      <c r="R1011" s="158">
        <v>61465</v>
      </c>
      <c r="S1011" s="158">
        <v>69069</v>
      </c>
      <c r="T1011" s="11">
        <v>69000</v>
      </c>
      <c r="U1011" s="11"/>
      <c r="V1011" s="11"/>
      <c r="W1011" s="32">
        <f t="shared" si="127"/>
        <v>69000</v>
      </c>
    </row>
    <row r="1012" spans="1:23" ht="12">
      <c r="A1012" s="25"/>
      <c r="B1012" s="25"/>
      <c r="C1012" s="26">
        <v>4120</v>
      </c>
      <c r="D1012" s="27" t="s">
        <v>32</v>
      </c>
      <c r="E1012" s="11">
        <v>7600</v>
      </c>
      <c r="F1012" s="11">
        <v>7950</v>
      </c>
      <c r="G1012" s="11">
        <v>8730</v>
      </c>
      <c r="H1012" s="11">
        <v>8730</v>
      </c>
      <c r="I1012" s="11"/>
      <c r="J1012" s="11">
        <v>8730</v>
      </c>
      <c r="K1012" s="11">
        <v>8810</v>
      </c>
      <c r="L1012" s="11">
        <v>8810</v>
      </c>
      <c r="M1012" s="11">
        <v>9318</v>
      </c>
      <c r="N1012" s="11">
        <v>9600</v>
      </c>
      <c r="O1012" s="11">
        <v>9600</v>
      </c>
      <c r="P1012" s="11">
        <v>3882</v>
      </c>
      <c r="Q1012" s="186">
        <f t="shared" si="128"/>
        <v>0.404375</v>
      </c>
      <c r="R1012" s="158">
        <v>9707</v>
      </c>
      <c r="S1012" s="158">
        <v>11067</v>
      </c>
      <c r="T1012" s="11">
        <v>11000</v>
      </c>
      <c r="U1012" s="11"/>
      <c r="V1012" s="11"/>
      <c r="W1012" s="32">
        <f t="shared" si="127"/>
        <v>11000</v>
      </c>
    </row>
    <row r="1013" spans="1:23" ht="12">
      <c r="A1013" s="25"/>
      <c r="B1013" s="25"/>
      <c r="C1013" s="26">
        <v>4170</v>
      </c>
      <c r="D1013" s="27" t="s">
        <v>137</v>
      </c>
      <c r="E1013" s="11">
        <v>6600</v>
      </c>
      <c r="F1013" s="11">
        <v>6600</v>
      </c>
      <c r="G1013" s="11">
        <v>6600</v>
      </c>
      <c r="H1013" s="11">
        <v>6600</v>
      </c>
      <c r="I1013" s="11"/>
      <c r="J1013" s="11">
        <v>6600</v>
      </c>
      <c r="K1013" s="11">
        <v>6600</v>
      </c>
      <c r="L1013" s="11">
        <v>6600</v>
      </c>
      <c r="M1013" s="11">
        <v>7000</v>
      </c>
      <c r="N1013" s="11">
        <v>7000</v>
      </c>
      <c r="O1013" s="11">
        <v>7000</v>
      </c>
      <c r="P1013" s="11">
        <v>3245</v>
      </c>
      <c r="Q1013" s="186">
        <f t="shared" si="128"/>
        <v>0.4635714285714286</v>
      </c>
      <c r="R1013" s="158">
        <v>7800</v>
      </c>
      <c r="S1013" s="158">
        <v>7800</v>
      </c>
      <c r="T1013" s="11">
        <v>7800</v>
      </c>
      <c r="U1013" s="11"/>
      <c r="V1013" s="11"/>
      <c r="W1013" s="32">
        <f t="shared" si="127"/>
        <v>7800</v>
      </c>
    </row>
    <row r="1014" spans="1:23" ht="12">
      <c r="A1014" s="25"/>
      <c r="B1014" s="25"/>
      <c r="C1014" s="26">
        <v>4210</v>
      </c>
      <c r="D1014" s="27" t="s">
        <v>34</v>
      </c>
      <c r="E1014" s="11">
        <v>9500</v>
      </c>
      <c r="F1014" s="11">
        <v>8500</v>
      </c>
      <c r="G1014" s="11">
        <v>7500</v>
      </c>
      <c r="H1014" s="11">
        <v>7500</v>
      </c>
      <c r="I1014" s="11"/>
      <c r="J1014" s="11">
        <v>7500</v>
      </c>
      <c r="K1014" s="11">
        <v>7417</v>
      </c>
      <c r="L1014" s="11">
        <v>7417</v>
      </c>
      <c r="M1014" s="11">
        <v>9670</v>
      </c>
      <c r="N1014" s="11">
        <v>7700</v>
      </c>
      <c r="O1014" s="11">
        <v>7700</v>
      </c>
      <c r="P1014" s="11">
        <v>792</v>
      </c>
      <c r="Q1014" s="186">
        <f t="shared" si="128"/>
        <v>0.10285714285714286</v>
      </c>
      <c r="R1014" s="158">
        <v>7700</v>
      </c>
      <c r="S1014" s="158">
        <v>6900</v>
      </c>
      <c r="T1014" s="11">
        <v>5902</v>
      </c>
      <c r="U1014" s="11"/>
      <c r="V1014" s="11"/>
      <c r="W1014" s="32">
        <f t="shared" si="127"/>
        <v>5902</v>
      </c>
    </row>
    <row r="1015" spans="1:23" ht="36">
      <c r="A1015" s="25"/>
      <c r="B1015" s="25"/>
      <c r="C1015" s="26">
        <v>4230</v>
      </c>
      <c r="D1015" s="27" t="s">
        <v>200</v>
      </c>
      <c r="E1015" s="11"/>
      <c r="F1015" s="11">
        <v>125</v>
      </c>
      <c r="G1015" s="11">
        <v>100</v>
      </c>
      <c r="H1015" s="11">
        <v>100</v>
      </c>
      <c r="I1015" s="11"/>
      <c r="J1015" s="11">
        <v>100</v>
      </c>
      <c r="K1015" s="11">
        <v>100</v>
      </c>
      <c r="L1015" s="11">
        <v>100</v>
      </c>
      <c r="M1015" s="11">
        <v>100</v>
      </c>
      <c r="N1015" s="11">
        <v>100</v>
      </c>
      <c r="O1015" s="11">
        <v>100</v>
      </c>
      <c r="P1015" s="11"/>
      <c r="Q1015" s="186">
        <f t="shared" si="128"/>
        <v>0</v>
      </c>
      <c r="R1015" s="158">
        <v>100</v>
      </c>
      <c r="S1015" s="158">
        <v>100</v>
      </c>
      <c r="T1015" s="11">
        <v>100</v>
      </c>
      <c r="U1015" s="11"/>
      <c r="V1015" s="11"/>
      <c r="W1015" s="32">
        <f t="shared" si="127"/>
        <v>100</v>
      </c>
    </row>
    <row r="1016" spans="1:23" ht="12">
      <c r="A1016" s="25"/>
      <c r="B1016" s="25"/>
      <c r="C1016" s="26">
        <v>4260</v>
      </c>
      <c r="D1016" s="27" t="s">
        <v>35</v>
      </c>
      <c r="E1016" s="11">
        <v>6200</v>
      </c>
      <c r="F1016" s="11">
        <v>6200</v>
      </c>
      <c r="G1016" s="11">
        <v>6350</v>
      </c>
      <c r="H1016" s="11">
        <v>6350</v>
      </c>
      <c r="I1016" s="11"/>
      <c r="J1016" s="11">
        <v>6350</v>
      </c>
      <c r="K1016" s="11">
        <v>6350</v>
      </c>
      <c r="L1016" s="11">
        <v>6350</v>
      </c>
      <c r="M1016" s="11">
        <v>6350</v>
      </c>
      <c r="N1016" s="11">
        <v>6500</v>
      </c>
      <c r="O1016" s="11">
        <v>6500</v>
      </c>
      <c r="P1016" s="11">
        <v>3939</v>
      </c>
      <c r="Q1016" s="186">
        <f t="shared" si="128"/>
        <v>0.606</v>
      </c>
      <c r="R1016" s="158">
        <v>6500</v>
      </c>
      <c r="S1016" s="158">
        <v>13034</v>
      </c>
      <c r="T1016" s="11">
        <v>13030</v>
      </c>
      <c r="U1016" s="11"/>
      <c r="V1016" s="11"/>
      <c r="W1016" s="32">
        <f t="shared" si="127"/>
        <v>13030</v>
      </c>
    </row>
    <row r="1017" spans="1:23" ht="12">
      <c r="A1017" s="25"/>
      <c r="B1017" s="25"/>
      <c r="C1017" s="26">
        <v>4270</v>
      </c>
      <c r="D1017" s="27" t="s">
        <v>36</v>
      </c>
      <c r="E1017" s="11">
        <v>3100</v>
      </c>
      <c r="F1017" s="11">
        <v>3100</v>
      </c>
      <c r="G1017" s="11">
        <v>1400</v>
      </c>
      <c r="H1017" s="11">
        <v>1400</v>
      </c>
      <c r="I1017" s="11"/>
      <c r="J1017" s="11">
        <v>1400</v>
      </c>
      <c r="K1017" s="11">
        <v>1400</v>
      </c>
      <c r="L1017" s="11">
        <v>1400</v>
      </c>
      <c r="M1017" s="11">
        <v>1400</v>
      </c>
      <c r="N1017" s="11">
        <v>1400</v>
      </c>
      <c r="O1017" s="11">
        <v>1400</v>
      </c>
      <c r="P1017" s="11">
        <v>183</v>
      </c>
      <c r="Q1017" s="186">
        <f t="shared" si="128"/>
        <v>0.13071428571428573</v>
      </c>
      <c r="R1017" s="158">
        <v>1400</v>
      </c>
      <c r="S1017" s="158">
        <v>4400</v>
      </c>
      <c r="T1017" s="11">
        <v>1400</v>
      </c>
      <c r="U1017" s="11"/>
      <c r="V1017" s="11"/>
      <c r="W1017" s="32">
        <f t="shared" si="127"/>
        <v>1400</v>
      </c>
    </row>
    <row r="1018" spans="1:23" ht="12">
      <c r="A1018" s="25"/>
      <c r="B1018" s="25"/>
      <c r="C1018" s="26">
        <v>4280</v>
      </c>
      <c r="D1018" s="27" t="s">
        <v>37</v>
      </c>
      <c r="E1018" s="11">
        <v>200</v>
      </c>
      <c r="F1018" s="11">
        <v>200</v>
      </c>
      <c r="G1018" s="11">
        <v>200</v>
      </c>
      <c r="H1018" s="11">
        <v>200</v>
      </c>
      <c r="I1018" s="11"/>
      <c r="J1018" s="11">
        <v>200</v>
      </c>
      <c r="K1018" s="11">
        <v>200</v>
      </c>
      <c r="L1018" s="11">
        <v>200</v>
      </c>
      <c r="M1018" s="11">
        <v>1000</v>
      </c>
      <c r="N1018" s="11">
        <v>1000</v>
      </c>
      <c r="O1018" s="11">
        <v>1000</v>
      </c>
      <c r="P1018" s="11">
        <v>530</v>
      </c>
      <c r="Q1018" s="186">
        <f t="shared" si="128"/>
        <v>0.53</v>
      </c>
      <c r="R1018" s="158">
        <v>1000</v>
      </c>
      <c r="S1018" s="158">
        <v>1000</v>
      </c>
      <c r="T1018" s="11">
        <v>466</v>
      </c>
      <c r="U1018" s="11"/>
      <c r="V1018" s="11"/>
      <c r="W1018" s="32">
        <f t="shared" si="127"/>
        <v>466</v>
      </c>
    </row>
    <row r="1019" spans="1:23" ht="12">
      <c r="A1019" s="25"/>
      <c r="B1019" s="25"/>
      <c r="C1019" s="26">
        <v>4300</v>
      </c>
      <c r="D1019" s="27" t="s">
        <v>17</v>
      </c>
      <c r="E1019" s="11">
        <v>23000</v>
      </c>
      <c r="F1019" s="11">
        <v>22585</v>
      </c>
      <c r="G1019" s="11">
        <v>22000</v>
      </c>
      <c r="H1019" s="11">
        <v>22000</v>
      </c>
      <c r="I1019" s="11"/>
      <c r="J1019" s="11">
        <v>22000</v>
      </c>
      <c r="K1019" s="11">
        <v>20547</v>
      </c>
      <c r="L1019" s="11">
        <v>20547</v>
      </c>
      <c r="M1019" s="11">
        <v>21000</v>
      </c>
      <c r="N1019" s="11">
        <v>21100</v>
      </c>
      <c r="O1019" s="11">
        <v>21100</v>
      </c>
      <c r="P1019" s="11">
        <v>8968</v>
      </c>
      <c r="Q1019" s="186">
        <f t="shared" si="128"/>
        <v>0.4250236966824645</v>
      </c>
      <c r="R1019" s="158">
        <v>20000</v>
      </c>
      <c r="S1019" s="158">
        <v>24300</v>
      </c>
      <c r="T1019" s="11">
        <v>27300</v>
      </c>
      <c r="U1019" s="11">
        <v>3309</v>
      </c>
      <c r="V1019" s="11"/>
      <c r="W1019" s="32">
        <f t="shared" si="127"/>
        <v>30609</v>
      </c>
    </row>
    <row r="1020" spans="1:23" ht="24">
      <c r="A1020" s="25"/>
      <c r="B1020" s="25"/>
      <c r="C1020" s="26">
        <v>4350</v>
      </c>
      <c r="D1020" s="27" t="s">
        <v>38</v>
      </c>
      <c r="E1020" s="11">
        <v>1500</v>
      </c>
      <c r="F1020" s="11">
        <v>1500</v>
      </c>
      <c r="G1020" s="11">
        <v>2040</v>
      </c>
      <c r="H1020" s="11">
        <v>2040</v>
      </c>
      <c r="I1020" s="11"/>
      <c r="J1020" s="11">
        <v>2040</v>
      </c>
      <c r="K1020" s="11">
        <v>1604</v>
      </c>
      <c r="L1020" s="11">
        <v>1604</v>
      </c>
      <c r="M1020" s="11">
        <v>1604</v>
      </c>
      <c r="N1020" s="11">
        <v>1700</v>
      </c>
      <c r="O1020" s="11">
        <v>1700</v>
      </c>
      <c r="P1020" s="11">
        <v>1058</v>
      </c>
      <c r="Q1020" s="186">
        <f t="shared" si="128"/>
        <v>0.6223529411764706</v>
      </c>
      <c r="R1020" s="158">
        <v>2377</v>
      </c>
      <c r="S1020" s="158">
        <v>2400</v>
      </c>
      <c r="T1020" s="11">
        <v>2400</v>
      </c>
      <c r="U1020" s="11"/>
      <c r="V1020" s="11"/>
      <c r="W1020" s="32">
        <f t="shared" si="127"/>
        <v>2400</v>
      </c>
    </row>
    <row r="1021" spans="1:23" ht="36">
      <c r="A1021" s="25"/>
      <c r="B1021" s="25"/>
      <c r="C1021" s="26">
        <v>4360</v>
      </c>
      <c r="D1021" s="27" t="s">
        <v>130</v>
      </c>
      <c r="E1021" s="83">
        <v>1700</v>
      </c>
      <c r="F1021" s="83">
        <v>1700</v>
      </c>
      <c r="G1021" s="83">
        <v>2400</v>
      </c>
      <c r="H1021" s="83">
        <v>2400</v>
      </c>
      <c r="I1021" s="83"/>
      <c r="J1021" s="83">
        <v>2400</v>
      </c>
      <c r="K1021" s="83">
        <v>2400</v>
      </c>
      <c r="L1021" s="83">
        <v>2400</v>
      </c>
      <c r="M1021" s="83">
        <v>2400</v>
      </c>
      <c r="N1021" s="83">
        <v>2500</v>
      </c>
      <c r="O1021" s="83">
        <v>2500</v>
      </c>
      <c r="P1021" s="83">
        <v>616</v>
      </c>
      <c r="Q1021" s="186">
        <f t="shared" si="128"/>
        <v>0.2464</v>
      </c>
      <c r="R1021" s="168">
        <v>1479</v>
      </c>
      <c r="S1021" s="168">
        <v>1500</v>
      </c>
      <c r="T1021" s="83">
        <v>1100</v>
      </c>
      <c r="U1021" s="83"/>
      <c r="V1021" s="83"/>
      <c r="W1021" s="32">
        <f t="shared" si="127"/>
        <v>1100</v>
      </c>
    </row>
    <row r="1022" spans="1:23" ht="36">
      <c r="A1022" s="25"/>
      <c r="B1022" s="25"/>
      <c r="C1022" s="26">
        <v>4370</v>
      </c>
      <c r="D1022" s="27" t="s">
        <v>135</v>
      </c>
      <c r="E1022" s="83">
        <v>7500</v>
      </c>
      <c r="F1022" s="83">
        <v>7500</v>
      </c>
      <c r="G1022" s="83">
        <v>7500</v>
      </c>
      <c r="H1022" s="83">
        <v>7500</v>
      </c>
      <c r="I1022" s="83"/>
      <c r="J1022" s="83">
        <v>7500</v>
      </c>
      <c r="K1022" s="83">
        <v>7500</v>
      </c>
      <c r="L1022" s="83">
        <v>7500</v>
      </c>
      <c r="M1022" s="83">
        <v>7500</v>
      </c>
      <c r="N1022" s="83">
        <v>7700</v>
      </c>
      <c r="O1022" s="83">
        <v>7700</v>
      </c>
      <c r="P1022" s="83">
        <v>3172</v>
      </c>
      <c r="Q1022" s="186">
        <f t="shared" si="128"/>
        <v>0.41194805194805195</v>
      </c>
      <c r="R1022" s="168">
        <v>7000</v>
      </c>
      <c r="S1022" s="168">
        <v>7700</v>
      </c>
      <c r="T1022" s="83">
        <v>7700</v>
      </c>
      <c r="U1022" s="83"/>
      <c r="V1022" s="83">
        <v>1000</v>
      </c>
      <c r="W1022" s="32">
        <f t="shared" si="127"/>
        <v>6700</v>
      </c>
    </row>
    <row r="1023" spans="1:23" ht="36">
      <c r="A1023" s="25"/>
      <c r="B1023" s="25"/>
      <c r="C1023" s="26">
        <v>4400</v>
      </c>
      <c r="D1023" s="27" t="s">
        <v>72</v>
      </c>
      <c r="E1023" s="83">
        <v>43920</v>
      </c>
      <c r="F1023" s="83">
        <v>43920</v>
      </c>
      <c r="G1023" s="83">
        <v>43920</v>
      </c>
      <c r="H1023" s="83">
        <v>43920</v>
      </c>
      <c r="I1023" s="83"/>
      <c r="J1023" s="83">
        <v>43920</v>
      </c>
      <c r="K1023" s="83">
        <v>43920</v>
      </c>
      <c r="L1023" s="83">
        <v>43920</v>
      </c>
      <c r="M1023" s="83">
        <v>48631</v>
      </c>
      <c r="N1023" s="83">
        <v>48600</v>
      </c>
      <c r="O1023" s="83">
        <v>48600</v>
      </c>
      <c r="P1023" s="83">
        <v>17952</v>
      </c>
      <c r="Q1023" s="186">
        <f t="shared" si="128"/>
        <v>0.3693827160493827</v>
      </c>
      <c r="R1023" s="168">
        <v>43086</v>
      </c>
      <c r="S1023" s="168">
        <v>84762</v>
      </c>
      <c r="T1023" s="83">
        <v>84760</v>
      </c>
      <c r="U1023" s="83">
        <v>3000</v>
      </c>
      <c r="V1023" s="83"/>
      <c r="W1023" s="32">
        <f t="shared" si="127"/>
        <v>87760</v>
      </c>
    </row>
    <row r="1024" spans="1:23" ht="12">
      <c r="A1024" s="25"/>
      <c r="B1024" s="25"/>
      <c r="C1024" s="26">
        <v>4410</v>
      </c>
      <c r="D1024" s="27" t="s">
        <v>42</v>
      </c>
      <c r="E1024" s="11">
        <v>2900</v>
      </c>
      <c r="F1024" s="11">
        <v>2900</v>
      </c>
      <c r="G1024" s="11">
        <v>3000</v>
      </c>
      <c r="H1024" s="11">
        <v>3000</v>
      </c>
      <c r="I1024" s="11"/>
      <c r="J1024" s="11">
        <v>3000</v>
      </c>
      <c r="K1024" s="11">
        <v>2000</v>
      </c>
      <c r="L1024" s="11">
        <v>2000</v>
      </c>
      <c r="M1024" s="11">
        <v>2000</v>
      </c>
      <c r="N1024" s="11">
        <v>3100</v>
      </c>
      <c r="O1024" s="11">
        <v>3100</v>
      </c>
      <c r="P1024" s="11">
        <v>1908</v>
      </c>
      <c r="Q1024" s="186">
        <f t="shared" si="128"/>
        <v>0.6154838709677419</v>
      </c>
      <c r="R1024" s="158">
        <v>3100</v>
      </c>
      <c r="S1024" s="158">
        <v>4100</v>
      </c>
      <c r="T1024" s="11">
        <v>4100</v>
      </c>
      <c r="U1024" s="11"/>
      <c r="V1024" s="11"/>
      <c r="W1024" s="32">
        <f t="shared" si="127"/>
        <v>4100</v>
      </c>
    </row>
    <row r="1025" spans="1:23" ht="12">
      <c r="A1025" s="25"/>
      <c r="B1025" s="25"/>
      <c r="C1025" s="26">
        <v>4430</v>
      </c>
      <c r="D1025" s="27" t="s">
        <v>43</v>
      </c>
      <c r="E1025" s="11">
        <v>900</v>
      </c>
      <c r="F1025" s="11">
        <v>253</v>
      </c>
      <c r="G1025" s="11">
        <v>300</v>
      </c>
      <c r="H1025" s="11">
        <v>300</v>
      </c>
      <c r="I1025" s="11"/>
      <c r="J1025" s="11">
        <v>300</v>
      </c>
      <c r="K1025" s="11">
        <v>258</v>
      </c>
      <c r="L1025" s="11">
        <v>341</v>
      </c>
      <c r="M1025" s="11">
        <v>341</v>
      </c>
      <c r="N1025" s="11">
        <v>300</v>
      </c>
      <c r="O1025" s="11">
        <v>300</v>
      </c>
      <c r="P1025" s="11">
        <v>221</v>
      </c>
      <c r="Q1025" s="186">
        <f t="shared" si="128"/>
        <v>0.7366666666666667</v>
      </c>
      <c r="R1025" s="158">
        <v>221</v>
      </c>
      <c r="S1025" s="158">
        <v>300</v>
      </c>
      <c r="T1025" s="11">
        <v>514</v>
      </c>
      <c r="U1025" s="11"/>
      <c r="V1025" s="11"/>
      <c r="W1025" s="32">
        <f t="shared" si="127"/>
        <v>514</v>
      </c>
    </row>
    <row r="1026" spans="1:23" ht="24">
      <c r="A1026" s="25"/>
      <c r="B1026" s="25"/>
      <c r="C1026" s="26">
        <v>4440</v>
      </c>
      <c r="D1026" s="27" t="s">
        <v>44</v>
      </c>
      <c r="E1026" s="11">
        <v>8600</v>
      </c>
      <c r="F1026" s="11">
        <v>8850</v>
      </c>
      <c r="G1026" s="11">
        <v>9130</v>
      </c>
      <c r="H1026" s="11">
        <v>9130</v>
      </c>
      <c r="I1026" s="11"/>
      <c r="J1026" s="11">
        <v>9130</v>
      </c>
      <c r="K1026" s="11">
        <v>9213</v>
      </c>
      <c r="L1026" s="11">
        <v>9130</v>
      </c>
      <c r="M1026" s="11">
        <v>10340</v>
      </c>
      <c r="N1026" s="11">
        <v>9870</v>
      </c>
      <c r="O1026" s="11">
        <v>9870</v>
      </c>
      <c r="P1026" s="11">
        <v>7876</v>
      </c>
      <c r="Q1026" s="186">
        <f t="shared" si="128"/>
        <v>0.7979736575481257</v>
      </c>
      <c r="R1026" s="158">
        <v>9870</v>
      </c>
      <c r="S1026" s="158">
        <v>11730</v>
      </c>
      <c r="T1026" s="11">
        <v>12836</v>
      </c>
      <c r="U1026" s="11"/>
      <c r="V1026" s="11"/>
      <c r="W1026" s="32">
        <f t="shared" si="127"/>
        <v>12836</v>
      </c>
    </row>
    <row r="1027" spans="1:23" ht="12">
      <c r="A1027" s="25"/>
      <c r="B1027" s="25"/>
      <c r="C1027" s="26">
        <v>4510</v>
      </c>
      <c r="D1027" s="27" t="s">
        <v>91</v>
      </c>
      <c r="E1027" s="11"/>
      <c r="F1027" s="11"/>
      <c r="G1027" s="11">
        <v>100</v>
      </c>
      <c r="H1027" s="11">
        <v>100</v>
      </c>
      <c r="I1027" s="11"/>
      <c r="J1027" s="11">
        <v>100</v>
      </c>
      <c r="K1027" s="11">
        <v>100</v>
      </c>
      <c r="L1027" s="11">
        <v>100</v>
      </c>
      <c r="M1027" s="11">
        <v>100</v>
      </c>
      <c r="N1027" s="11">
        <v>100</v>
      </c>
      <c r="O1027" s="11">
        <v>100</v>
      </c>
      <c r="P1027" s="11"/>
      <c r="Q1027" s="186">
        <f t="shared" si="128"/>
        <v>0</v>
      </c>
      <c r="R1027" s="158">
        <v>0</v>
      </c>
      <c r="S1027" s="158">
        <v>100</v>
      </c>
      <c r="T1027" s="11">
        <v>100</v>
      </c>
      <c r="U1027" s="11"/>
      <c r="V1027" s="11"/>
      <c r="W1027" s="32">
        <f t="shared" si="127"/>
        <v>100</v>
      </c>
    </row>
    <row r="1028" spans="1:23" ht="36">
      <c r="A1028" s="25"/>
      <c r="B1028" s="25"/>
      <c r="C1028" s="26">
        <v>4700</v>
      </c>
      <c r="D1028" s="27" t="s">
        <v>46</v>
      </c>
      <c r="E1028" s="83">
        <v>2500</v>
      </c>
      <c r="F1028" s="83">
        <v>2500</v>
      </c>
      <c r="G1028" s="83">
        <v>2500</v>
      </c>
      <c r="H1028" s="83">
        <v>2500</v>
      </c>
      <c r="I1028" s="83"/>
      <c r="J1028" s="83">
        <v>2500</v>
      </c>
      <c r="K1028" s="83">
        <v>3500</v>
      </c>
      <c r="L1028" s="83">
        <v>3500</v>
      </c>
      <c r="M1028" s="83">
        <v>3500</v>
      </c>
      <c r="N1028" s="83">
        <v>2600</v>
      </c>
      <c r="O1028" s="83">
        <v>2600</v>
      </c>
      <c r="P1028" s="83">
        <v>800</v>
      </c>
      <c r="Q1028" s="186">
        <f t="shared" si="128"/>
        <v>0.3076923076923077</v>
      </c>
      <c r="R1028" s="168">
        <v>2600</v>
      </c>
      <c r="S1028" s="168">
        <v>2600</v>
      </c>
      <c r="T1028" s="83">
        <v>2600</v>
      </c>
      <c r="U1028" s="83"/>
      <c r="V1028" s="83">
        <v>1000</v>
      </c>
      <c r="W1028" s="32">
        <f t="shared" si="127"/>
        <v>1600</v>
      </c>
    </row>
    <row r="1029" spans="1:23" ht="36">
      <c r="A1029" s="25"/>
      <c r="B1029" s="25"/>
      <c r="C1029" s="26">
        <v>4740</v>
      </c>
      <c r="D1029" s="27" t="s">
        <v>73</v>
      </c>
      <c r="E1029" s="83">
        <v>2000</v>
      </c>
      <c r="F1029" s="83">
        <v>2000</v>
      </c>
      <c r="G1029" s="83">
        <v>2000</v>
      </c>
      <c r="H1029" s="83">
        <v>2000</v>
      </c>
      <c r="I1029" s="83"/>
      <c r="J1029" s="83">
        <v>2000</v>
      </c>
      <c r="K1029" s="83">
        <v>2000</v>
      </c>
      <c r="L1029" s="83">
        <v>2000</v>
      </c>
      <c r="M1029" s="83">
        <v>2000</v>
      </c>
      <c r="N1029" s="83">
        <v>2100</v>
      </c>
      <c r="O1029" s="83">
        <v>2100</v>
      </c>
      <c r="P1029" s="83"/>
      <c r="Q1029" s="186">
        <f t="shared" si="128"/>
        <v>0</v>
      </c>
      <c r="R1029" s="168">
        <v>2100</v>
      </c>
      <c r="S1029" s="168">
        <v>1000</v>
      </c>
      <c r="T1029" s="83">
        <v>614</v>
      </c>
      <c r="U1029" s="83"/>
      <c r="V1029" s="83"/>
      <c r="W1029" s="32">
        <f t="shared" si="127"/>
        <v>614</v>
      </c>
    </row>
    <row r="1030" spans="1:23" ht="24">
      <c r="A1030" s="25"/>
      <c r="B1030" s="25"/>
      <c r="C1030" s="26">
        <v>4750</v>
      </c>
      <c r="D1030" s="27" t="s">
        <v>118</v>
      </c>
      <c r="E1030" s="83">
        <v>800</v>
      </c>
      <c r="F1030" s="83">
        <v>4200</v>
      </c>
      <c r="G1030" s="83">
        <v>6000</v>
      </c>
      <c r="H1030" s="83">
        <v>6000</v>
      </c>
      <c r="I1030" s="83"/>
      <c r="J1030" s="83">
        <v>6000</v>
      </c>
      <c r="K1030" s="83">
        <v>6000</v>
      </c>
      <c r="L1030" s="83">
        <v>6000</v>
      </c>
      <c r="M1030" s="83">
        <v>6000</v>
      </c>
      <c r="N1030" s="83">
        <v>6200</v>
      </c>
      <c r="O1030" s="83">
        <v>6200</v>
      </c>
      <c r="P1030" s="83">
        <v>5195</v>
      </c>
      <c r="Q1030" s="186">
        <f t="shared" si="128"/>
        <v>0.8379032258064516</v>
      </c>
      <c r="R1030" s="168">
        <v>8000</v>
      </c>
      <c r="S1030" s="168">
        <v>7300</v>
      </c>
      <c r="T1030" s="83">
        <v>7300</v>
      </c>
      <c r="U1030" s="83"/>
      <c r="V1030" s="83"/>
      <c r="W1030" s="32">
        <f t="shared" si="127"/>
        <v>7300</v>
      </c>
    </row>
    <row r="1031" spans="1:23" ht="30" customHeight="1">
      <c r="A1031" s="25"/>
      <c r="B1031" s="25"/>
      <c r="C1031" s="26">
        <v>6050</v>
      </c>
      <c r="D1031" s="27" t="s">
        <v>193</v>
      </c>
      <c r="E1031" s="83"/>
      <c r="F1031" s="83"/>
      <c r="G1031" s="83"/>
      <c r="H1031" s="83"/>
      <c r="I1031" s="83"/>
      <c r="J1031" s="83">
        <v>0</v>
      </c>
      <c r="K1031" s="83">
        <v>0</v>
      </c>
      <c r="L1031" s="83">
        <v>0</v>
      </c>
      <c r="M1031" s="83">
        <v>19520</v>
      </c>
      <c r="N1031" s="83">
        <v>19520</v>
      </c>
      <c r="O1031" s="83">
        <v>19520</v>
      </c>
      <c r="P1031" s="83"/>
      <c r="Q1031" s="186">
        <f t="shared" si="128"/>
        <v>0</v>
      </c>
      <c r="R1031" s="168">
        <v>0</v>
      </c>
      <c r="S1031" s="168">
        <v>24000</v>
      </c>
      <c r="T1031" s="83">
        <v>24000</v>
      </c>
      <c r="U1031" s="83"/>
      <c r="V1031" s="83"/>
      <c r="W1031" s="32">
        <f aca="true" t="shared" si="136" ref="W1031:W1098">T1031+U1031-V1031</f>
        <v>24000</v>
      </c>
    </row>
    <row r="1032" spans="1:23" ht="48">
      <c r="A1032" s="33"/>
      <c r="B1032" s="33">
        <v>85220</v>
      </c>
      <c r="C1032" s="36"/>
      <c r="D1032" s="42" t="s">
        <v>209</v>
      </c>
      <c r="E1032" s="35">
        <f>SUM(E1033:E1043)</f>
        <v>45340</v>
      </c>
      <c r="F1032" s="35">
        <f>SUM(F1033:F1043)</f>
        <v>47264</v>
      </c>
      <c r="G1032" s="37">
        <f>SUM(G1033:G1044)</f>
        <v>52640</v>
      </c>
      <c r="H1032" s="37">
        <f>SUM(H1033:H1044)</f>
        <v>51300</v>
      </c>
      <c r="I1032" s="37"/>
      <c r="J1032" s="37">
        <f aca="true" t="shared" si="137" ref="J1032:P1032">SUM(J1033:J1044)</f>
        <v>53159</v>
      </c>
      <c r="K1032" s="37">
        <f t="shared" si="137"/>
        <v>66846</v>
      </c>
      <c r="L1032" s="37">
        <f t="shared" si="137"/>
        <v>66846</v>
      </c>
      <c r="M1032" s="37">
        <f t="shared" si="137"/>
        <v>57976</v>
      </c>
      <c r="N1032" s="37">
        <v>57940</v>
      </c>
      <c r="O1032" s="37">
        <v>57940</v>
      </c>
      <c r="P1032" s="37">
        <f t="shared" si="137"/>
        <v>32172</v>
      </c>
      <c r="Q1032" s="186">
        <f t="shared" si="128"/>
        <v>0.5552640662754573</v>
      </c>
      <c r="R1032" s="157">
        <f>SUM(R1033:R1044)</f>
        <v>56423</v>
      </c>
      <c r="S1032" s="157">
        <f>SUM(S1033:S1044)</f>
        <v>3192</v>
      </c>
      <c r="T1032" s="37">
        <v>3160</v>
      </c>
      <c r="U1032" s="37">
        <f>SUM(U1033:U1044)</f>
        <v>0</v>
      </c>
      <c r="V1032" s="37">
        <f>SUM(V1033:V1044)</f>
        <v>0</v>
      </c>
      <c r="W1032" s="32">
        <f t="shared" si="136"/>
        <v>3160</v>
      </c>
    </row>
    <row r="1033" spans="1:23" ht="12" hidden="1">
      <c r="A1033" s="25"/>
      <c r="B1033" s="25"/>
      <c r="C1033" s="26"/>
      <c r="D1033" s="27" t="s">
        <v>208</v>
      </c>
      <c r="E1033" s="85"/>
      <c r="F1033" s="85"/>
      <c r="G1033" s="90"/>
      <c r="H1033" s="90"/>
      <c r="I1033" s="90"/>
      <c r="J1033" s="90"/>
      <c r="K1033" s="90"/>
      <c r="L1033" s="90"/>
      <c r="M1033" s="90"/>
      <c r="N1033" s="90"/>
      <c r="O1033" s="90"/>
      <c r="P1033" s="90"/>
      <c r="Q1033" s="186"/>
      <c r="R1033" s="167"/>
      <c r="S1033" s="167"/>
      <c r="T1033" s="90">
        <v>0</v>
      </c>
      <c r="U1033" s="90"/>
      <c r="V1033" s="90"/>
      <c r="W1033" s="32">
        <f t="shared" si="136"/>
        <v>0</v>
      </c>
    </row>
    <row r="1034" spans="1:23" ht="24" hidden="1">
      <c r="A1034" s="25"/>
      <c r="B1034" s="25"/>
      <c r="C1034" s="26">
        <v>4010</v>
      </c>
      <c r="D1034" s="27" t="s">
        <v>29</v>
      </c>
      <c r="E1034" s="11">
        <v>31800</v>
      </c>
      <c r="F1034" s="11">
        <v>33390</v>
      </c>
      <c r="G1034" s="1">
        <v>36360</v>
      </c>
      <c r="H1034" s="1">
        <v>36360</v>
      </c>
      <c r="I1034" s="1">
        <v>36360</v>
      </c>
      <c r="J1034" s="1">
        <v>36360</v>
      </c>
      <c r="K1034" s="1">
        <v>47969</v>
      </c>
      <c r="L1034" s="1">
        <v>47969</v>
      </c>
      <c r="M1034" s="1">
        <v>39586</v>
      </c>
      <c r="N1034" s="1">
        <v>39600</v>
      </c>
      <c r="O1034" s="1">
        <v>39600</v>
      </c>
      <c r="P1034" s="1">
        <v>22705</v>
      </c>
      <c r="Q1034" s="186">
        <f t="shared" si="128"/>
        <v>0.5733585858585859</v>
      </c>
      <c r="R1034" s="156">
        <v>40015</v>
      </c>
      <c r="S1034" s="156">
        <v>0</v>
      </c>
      <c r="T1034" s="1">
        <v>0</v>
      </c>
      <c r="U1034" s="1">
        <v>0</v>
      </c>
      <c r="V1034" s="1">
        <v>0</v>
      </c>
      <c r="W1034" s="32">
        <f t="shared" si="136"/>
        <v>0</v>
      </c>
    </row>
    <row r="1035" spans="1:23" ht="12" hidden="1">
      <c r="A1035" s="25"/>
      <c r="B1035" s="25"/>
      <c r="C1035" s="26">
        <v>4040</v>
      </c>
      <c r="D1035" s="27" t="s">
        <v>30</v>
      </c>
      <c r="E1035" s="11">
        <v>2700</v>
      </c>
      <c r="F1035" s="11">
        <v>2700</v>
      </c>
      <c r="G1035" s="1">
        <v>2880</v>
      </c>
      <c r="H1035" s="1">
        <v>2890</v>
      </c>
      <c r="I1035" s="1"/>
      <c r="J1035" s="1">
        <v>2999</v>
      </c>
      <c r="K1035" s="1">
        <v>2999</v>
      </c>
      <c r="L1035" s="1">
        <v>2999</v>
      </c>
      <c r="M1035" s="1">
        <v>3239</v>
      </c>
      <c r="N1035" s="1">
        <v>3200</v>
      </c>
      <c r="O1035" s="1">
        <v>3200</v>
      </c>
      <c r="P1035" s="1">
        <v>3200</v>
      </c>
      <c r="Q1035" s="186">
        <f t="shared" si="128"/>
        <v>1</v>
      </c>
      <c r="R1035" s="156">
        <v>3200</v>
      </c>
      <c r="S1035" s="156">
        <v>0</v>
      </c>
      <c r="T1035" s="1">
        <v>0</v>
      </c>
      <c r="U1035" s="1">
        <v>0</v>
      </c>
      <c r="V1035" s="1">
        <v>0</v>
      </c>
      <c r="W1035" s="32">
        <f t="shared" si="136"/>
        <v>0</v>
      </c>
    </row>
    <row r="1036" spans="1:23" ht="24" hidden="1">
      <c r="A1036" s="25"/>
      <c r="B1036" s="25"/>
      <c r="C1036" s="26">
        <v>4110</v>
      </c>
      <c r="D1036" s="27" t="s">
        <v>31</v>
      </c>
      <c r="E1036" s="11">
        <v>6000</v>
      </c>
      <c r="F1036" s="11">
        <v>6280</v>
      </c>
      <c r="G1036" s="1">
        <v>6059</v>
      </c>
      <c r="H1036" s="1">
        <v>6060</v>
      </c>
      <c r="I1036" s="1"/>
      <c r="J1036" s="1">
        <v>6060</v>
      </c>
      <c r="K1036" s="1">
        <v>7853</v>
      </c>
      <c r="L1036" s="1">
        <v>7853</v>
      </c>
      <c r="M1036" s="1">
        <v>6612</v>
      </c>
      <c r="N1036" s="1">
        <v>6600</v>
      </c>
      <c r="O1036" s="1">
        <v>6600</v>
      </c>
      <c r="P1036" s="1">
        <v>3673</v>
      </c>
      <c r="Q1036" s="186">
        <f aca="true" t="shared" si="138" ref="Q1036:Q1102">P1036/O1036</f>
        <v>0.5565151515151515</v>
      </c>
      <c r="R1036" s="156">
        <v>7846</v>
      </c>
      <c r="S1036" s="156">
        <v>0</v>
      </c>
      <c r="T1036" s="1">
        <v>0</v>
      </c>
      <c r="U1036" s="1">
        <v>0</v>
      </c>
      <c r="V1036" s="1">
        <v>0</v>
      </c>
      <c r="W1036" s="32">
        <f t="shared" si="136"/>
        <v>0</v>
      </c>
    </row>
    <row r="1037" spans="1:23" ht="12" hidden="1">
      <c r="A1037" s="25"/>
      <c r="B1037" s="25"/>
      <c r="C1037" s="26">
        <v>4120</v>
      </c>
      <c r="D1037" s="27" t="s">
        <v>32</v>
      </c>
      <c r="E1037" s="85">
        <v>850</v>
      </c>
      <c r="F1037" s="85">
        <v>890</v>
      </c>
      <c r="G1037" s="1">
        <v>961</v>
      </c>
      <c r="H1037" s="1">
        <v>960</v>
      </c>
      <c r="I1037" s="1"/>
      <c r="J1037" s="1">
        <v>960</v>
      </c>
      <c r="K1037" s="1">
        <v>1245</v>
      </c>
      <c r="L1037" s="1">
        <v>1245</v>
      </c>
      <c r="M1037" s="1">
        <v>1049</v>
      </c>
      <c r="N1037" s="1">
        <v>1100</v>
      </c>
      <c r="O1037" s="1">
        <v>1100</v>
      </c>
      <c r="P1037" s="1">
        <v>584</v>
      </c>
      <c r="Q1037" s="186">
        <f t="shared" si="138"/>
        <v>0.5309090909090909</v>
      </c>
      <c r="R1037" s="156">
        <v>1250</v>
      </c>
      <c r="S1037" s="156">
        <v>0</v>
      </c>
      <c r="T1037" s="1">
        <v>0</v>
      </c>
      <c r="U1037" s="1">
        <v>0</v>
      </c>
      <c r="V1037" s="1">
        <v>0</v>
      </c>
      <c r="W1037" s="32">
        <f t="shared" si="136"/>
        <v>0</v>
      </c>
    </row>
    <row r="1038" spans="1:23" ht="12">
      <c r="A1038" s="25"/>
      <c r="B1038" s="25"/>
      <c r="C1038" s="26">
        <v>4170</v>
      </c>
      <c r="D1038" s="27" t="s">
        <v>210</v>
      </c>
      <c r="E1038" s="11">
        <v>2400</v>
      </c>
      <c r="F1038" s="11">
        <v>2400</v>
      </c>
      <c r="G1038" s="1">
        <v>2250</v>
      </c>
      <c r="H1038" s="1">
        <v>2250</v>
      </c>
      <c r="I1038" s="1"/>
      <c r="J1038" s="1">
        <v>4000</v>
      </c>
      <c r="K1038" s="1">
        <v>4000</v>
      </c>
      <c r="L1038" s="1">
        <v>4000</v>
      </c>
      <c r="M1038" s="1">
        <v>4500</v>
      </c>
      <c r="N1038" s="1">
        <v>4500</v>
      </c>
      <c r="O1038" s="1">
        <v>4500</v>
      </c>
      <c r="P1038" s="1">
        <v>894</v>
      </c>
      <c r="Q1038" s="186">
        <f t="shared" si="138"/>
        <v>0.19866666666666666</v>
      </c>
      <c r="R1038" s="156">
        <v>1680</v>
      </c>
      <c r="S1038" s="156">
        <v>2160</v>
      </c>
      <c r="T1038" s="1">
        <v>2160</v>
      </c>
      <c r="U1038" s="1"/>
      <c r="V1038" s="1"/>
      <c r="W1038" s="32">
        <f t="shared" si="136"/>
        <v>2160</v>
      </c>
    </row>
    <row r="1039" spans="1:23" ht="12">
      <c r="A1039" s="25"/>
      <c r="B1039" s="25"/>
      <c r="C1039" s="26">
        <v>4210</v>
      </c>
      <c r="D1039" s="27" t="s">
        <v>34</v>
      </c>
      <c r="E1039" s="11"/>
      <c r="F1039" s="11"/>
      <c r="G1039" s="1">
        <v>300</v>
      </c>
      <c r="H1039" s="1">
        <v>300</v>
      </c>
      <c r="I1039" s="1"/>
      <c r="J1039" s="1">
        <v>300</v>
      </c>
      <c r="K1039" s="1">
        <v>300</v>
      </c>
      <c r="L1039" s="1">
        <v>300</v>
      </c>
      <c r="M1039" s="1">
        <v>350</v>
      </c>
      <c r="N1039" s="1">
        <v>300</v>
      </c>
      <c r="O1039" s="1">
        <v>300</v>
      </c>
      <c r="P1039" s="1"/>
      <c r="Q1039" s="186">
        <f t="shared" si="138"/>
        <v>0</v>
      </c>
      <c r="R1039" s="156">
        <v>300</v>
      </c>
      <c r="S1039" s="156">
        <v>300</v>
      </c>
      <c r="T1039" s="1">
        <v>268</v>
      </c>
      <c r="U1039" s="1"/>
      <c r="V1039" s="1"/>
      <c r="W1039" s="32">
        <f t="shared" si="136"/>
        <v>268</v>
      </c>
    </row>
    <row r="1040" spans="1:23" ht="12" hidden="1">
      <c r="A1040" s="25"/>
      <c r="B1040" s="25"/>
      <c r="C1040" s="26">
        <v>4300</v>
      </c>
      <c r="D1040" s="27" t="s">
        <v>71</v>
      </c>
      <c r="E1040" s="11">
        <v>600</v>
      </c>
      <c r="F1040" s="11">
        <v>600</v>
      </c>
      <c r="G1040" s="1">
        <v>2000</v>
      </c>
      <c r="H1040" s="1">
        <v>650</v>
      </c>
      <c r="I1040" s="1"/>
      <c r="J1040" s="1">
        <v>650</v>
      </c>
      <c r="K1040" s="1">
        <v>650</v>
      </c>
      <c r="L1040" s="1">
        <v>650</v>
      </c>
      <c r="M1040" s="1">
        <v>700</v>
      </c>
      <c r="N1040" s="1">
        <v>700</v>
      </c>
      <c r="O1040" s="1">
        <v>700</v>
      </c>
      <c r="P1040" s="1"/>
      <c r="Q1040" s="186">
        <f t="shared" si="138"/>
        <v>0</v>
      </c>
      <c r="R1040" s="156">
        <v>0</v>
      </c>
      <c r="S1040" s="156">
        <v>0</v>
      </c>
      <c r="T1040" s="1">
        <v>0</v>
      </c>
      <c r="U1040" s="1">
        <v>0</v>
      </c>
      <c r="V1040" s="1">
        <v>0</v>
      </c>
      <c r="W1040" s="32">
        <f t="shared" si="136"/>
        <v>0</v>
      </c>
    </row>
    <row r="1041" spans="1:23" ht="36">
      <c r="A1041" s="25"/>
      <c r="B1041" s="25"/>
      <c r="C1041" s="26">
        <v>4360</v>
      </c>
      <c r="D1041" s="27" t="s">
        <v>130</v>
      </c>
      <c r="E1041" s="11"/>
      <c r="F1041" s="11"/>
      <c r="G1041" s="1">
        <v>600</v>
      </c>
      <c r="H1041" s="1">
        <v>600</v>
      </c>
      <c r="I1041" s="1"/>
      <c r="J1041" s="1">
        <v>600</v>
      </c>
      <c r="K1041" s="1">
        <v>600</v>
      </c>
      <c r="L1041" s="1">
        <v>600</v>
      </c>
      <c r="M1041" s="1">
        <v>600</v>
      </c>
      <c r="N1041" s="1">
        <v>600</v>
      </c>
      <c r="O1041" s="1">
        <v>600</v>
      </c>
      <c r="P1041" s="1">
        <v>366</v>
      </c>
      <c r="Q1041" s="186">
        <f t="shared" si="138"/>
        <v>0.61</v>
      </c>
      <c r="R1041" s="156">
        <v>732</v>
      </c>
      <c r="S1041" s="156">
        <v>732</v>
      </c>
      <c r="T1041" s="1">
        <v>732</v>
      </c>
      <c r="U1041" s="1"/>
      <c r="V1041" s="1"/>
      <c r="W1041" s="32">
        <f t="shared" si="136"/>
        <v>732</v>
      </c>
    </row>
    <row r="1042" spans="1:23" ht="12" hidden="1">
      <c r="A1042" s="25"/>
      <c r="B1042" s="25"/>
      <c r="C1042" s="26">
        <v>4410</v>
      </c>
      <c r="D1042" s="27" t="s">
        <v>42</v>
      </c>
      <c r="E1042" s="11">
        <v>200</v>
      </c>
      <c r="F1042" s="11">
        <v>200</v>
      </c>
      <c r="G1042" s="1">
        <v>100</v>
      </c>
      <c r="H1042" s="1">
        <v>100</v>
      </c>
      <c r="I1042" s="1"/>
      <c r="J1042" s="1">
        <v>100</v>
      </c>
      <c r="K1042" s="1">
        <v>100</v>
      </c>
      <c r="L1042" s="1">
        <v>100</v>
      </c>
      <c r="M1042" s="1">
        <v>100</v>
      </c>
      <c r="N1042" s="1">
        <v>100</v>
      </c>
      <c r="O1042" s="1">
        <v>100</v>
      </c>
      <c r="P1042" s="1"/>
      <c r="Q1042" s="186">
        <f t="shared" si="138"/>
        <v>0</v>
      </c>
      <c r="R1042" s="156">
        <v>100</v>
      </c>
      <c r="S1042" s="156">
        <v>0</v>
      </c>
      <c r="T1042" s="1">
        <v>0</v>
      </c>
      <c r="U1042" s="1">
        <v>0</v>
      </c>
      <c r="V1042" s="1">
        <v>0</v>
      </c>
      <c r="W1042" s="32">
        <f t="shared" si="136"/>
        <v>0</v>
      </c>
    </row>
    <row r="1043" spans="1:23" ht="24" hidden="1">
      <c r="A1043" s="25"/>
      <c r="B1043" s="25"/>
      <c r="C1043" s="26">
        <v>4440</v>
      </c>
      <c r="D1043" s="27" t="s">
        <v>44</v>
      </c>
      <c r="E1043" s="11">
        <v>790</v>
      </c>
      <c r="F1043" s="11">
        <v>804</v>
      </c>
      <c r="G1043" s="1">
        <v>830</v>
      </c>
      <c r="H1043" s="1">
        <v>830</v>
      </c>
      <c r="I1043" s="1"/>
      <c r="J1043" s="1">
        <v>830</v>
      </c>
      <c r="K1043" s="1">
        <v>830</v>
      </c>
      <c r="L1043" s="1">
        <v>830</v>
      </c>
      <c r="M1043" s="1">
        <v>940</v>
      </c>
      <c r="N1043" s="1">
        <v>940</v>
      </c>
      <c r="O1043" s="1">
        <v>940</v>
      </c>
      <c r="P1043" s="1">
        <v>750</v>
      </c>
      <c r="Q1043" s="186">
        <f t="shared" si="138"/>
        <v>0.7978723404255319</v>
      </c>
      <c r="R1043" s="156">
        <v>1000</v>
      </c>
      <c r="S1043" s="156">
        <v>0</v>
      </c>
      <c r="T1043" s="1">
        <v>0</v>
      </c>
      <c r="U1043" s="1">
        <v>0</v>
      </c>
      <c r="V1043" s="1">
        <v>0</v>
      </c>
      <c r="W1043" s="32">
        <f t="shared" si="136"/>
        <v>0</v>
      </c>
    </row>
    <row r="1044" spans="1:23" ht="36" hidden="1">
      <c r="A1044" s="25"/>
      <c r="B1044" s="25"/>
      <c r="C1044" s="26">
        <v>4700</v>
      </c>
      <c r="D1044" s="27" t="s">
        <v>46</v>
      </c>
      <c r="E1044" s="11"/>
      <c r="F1044" s="11"/>
      <c r="G1044" s="1">
        <v>300</v>
      </c>
      <c r="H1044" s="1">
        <v>300</v>
      </c>
      <c r="I1044" s="1"/>
      <c r="J1044" s="1">
        <v>300</v>
      </c>
      <c r="K1044" s="1">
        <v>300</v>
      </c>
      <c r="L1044" s="1">
        <v>300</v>
      </c>
      <c r="M1044" s="1">
        <v>300</v>
      </c>
      <c r="N1044" s="1">
        <v>300</v>
      </c>
      <c r="O1044" s="1">
        <v>300</v>
      </c>
      <c r="P1044" s="1"/>
      <c r="Q1044" s="186">
        <f t="shared" si="138"/>
        <v>0</v>
      </c>
      <c r="R1044" s="156">
        <v>300</v>
      </c>
      <c r="S1044" s="156">
        <v>0</v>
      </c>
      <c r="T1044" s="1">
        <v>0</v>
      </c>
      <c r="U1044" s="1">
        <v>0</v>
      </c>
      <c r="V1044" s="1">
        <v>0</v>
      </c>
      <c r="W1044" s="32">
        <f t="shared" si="136"/>
        <v>0</v>
      </c>
    </row>
    <row r="1045" spans="1:23" ht="24">
      <c r="A1045" s="33"/>
      <c r="B1045" s="33">
        <v>85233</v>
      </c>
      <c r="C1045" s="36"/>
      <c r="D1045" s="42" t="s">
        <v>211</v>
      </c>
      <c r="E1045" s="35">
        <f>SUM(E1047:E1048)</f>
        <v>3630</v>
      </c>
      <c r="F1045" s="35">
        <f>SUM(F1047:F1048)</f>
        <v>3535</v>
      </c>
      <c r="G1045" s="37">
        <f>SUM(G1047:G1048)</f>
        <v>3714</v>
      </c>
      <c r="H1045" s="37">
        <f>SUM(H1047:H1048)</f>
        <v>3620</v>
      </c>
      <c r="I1045" s="37"/>
      <c r="J1045" s="37">
        <f aca="true" t="shared" si="139" ref="J1045:P1045">SUM(J1047:J1048)</f>
        <v>3610</v>
      </c>
      <c r="K1045" s="37">
        <f t="shared" si="139"/>
        <v>3610</v>
      </c>
      <c r="L1045" s="37">
        <f t="shared" si="139"/>
        <v>3610</v>
      </c>
      <c r="M1045" s="37">
        <f t="shared" si="139"/>
        <v>4030</v>
      </c>
      <c r="N1045" s="37">
        <v>4030</v>
      </c>
      <c r="O1045" s="37">
        <v>4030</v>
      </c>
      <c r="P1045" s="37">
        <f t="shared" si="139"/>
        <v>540</v>
      </c>
      <c r="Q1045" s="186">
        <f t="shared" si="138"/>
        <v>0.13399503722084366</v>
      </c>
      <c r="R1045" s="157">
        <f>SUM(R1047:R1048)</f>
        <v>4030</v>
      </c>
      <c r="S1045" s="157">
        <f>SUM(S1047:S1048)</f>
        <v>4520</v>
      </c>
      <c r="T1045" s="37">
        <v>4520</v>
      </c>
      <c r="U1045" s="37">
        <f>SUM(U1047:U1048)</f>
        <v>0</v>
      </c>
      <c r="V1045" s="37">
        <f>SUM(V1047:V1048)</f>
        <v>0</v>
      </c>
      <c r="W1045" s="32">
        <f t="shared" si="136"/>
        <v>4520</v>
      </c>
    </row>
    <row r="1046" spans="1:23" ht="12">
      <c r="A1046" s="25"/>
      <c r="B1046" s="25"/>
      <c r="C1046" s="26"/>
      <c r="D1046" s="27" t="s">
        <v>212</v>
      </c>
      <c r="E1046" s="85"/>
      <c r="F1046" s="85"/>
      <c r="G1046" s="90"/>
      <c r="H1046" s="90"/>
      <c r="I1046" s="90"/>
      <c r="J1046" s="90"/>
      <c r="K1046" s="90"/>
      <c r="L1046" s="90"/>
      <c r="M1046" s="90"/>
      <c r="N1046" s="90"/>
      <c r="O1046" s="90"/>
      <c r="P1046" s="90"/>
      <c r="Q1046" s="186"/>
      <c r="R1046" s="167"/>
      <c r="S1046" s="167"/>
      <c r="T1046" s="90">
        <v>0</v>
      </c>
      <c r="U1046" s="90"/>
      <c r="V1046" s="90"/>
      <c r="W1046" s="32">
        <f t="shared" si="136"/>
        <v>0</v>
      </c>
    </row>
    <row r="1047" spans="1:23" ht="12">
      <c r="A1047" s="25"/>
      <c r="B1047" s="25"/>
      <c r="C1047" s="26">
        <v>4300</v>
      </c>
      <c r="D1047" s="27" t="s">
        <v>71</v>
      </c>
      <c r="E1047" s="11">
        <v>3200</v>
      </c>
      <c r="F1047" s="11">
        <v>3105</v>
      </c>
      <c r="G1047" s="12">
        <v>3274</v>
      </c>
      <c r="H1047" s="12">
        <v>3180</v>
      </c>
      <c r="I1047" s="12"/>
      <c r="J1047" s="12">
        <v>3170</v>
      </c>
      <c r="K1047" s="12">
        <v>3170</v>
      </c>
      <c r="L1047" s="12">
        <v>3170</v>
      </c>
      <c r="M1047" s="12">
        <v>3540</v>
      </c>
      <c r="N1047" s="12">
        <v>3540</v>
      </c>
      <c r="O1047" s="12">
        <v>3540</v>
      </c>
      <c r="P1047" s="12">
        <v>540</v>
      </c>
      <c r="Q1047" s="186">
        <f t="shared" si="138"/>
        <v>0.15254237288135594</v>
      </c>
      <c r="R1047" s="155">
        <v>3540</v>
      </c>
      <c r="S1047" s="155">
        <v>3970</v>
      </c>
      <c r="T1047" s="12">
        <v>3970</v>
      </c>
      <c r="U1047" s="12"/>
      <c r="V1047" s="12"/>
      <c r="W1047" s="32">
        <f t="shared" si="136"/>
        <v>3970</v>
      </c>
    </row>
    <row r="1048" spans="1:23" ht="12">
      <c r="A1048" s="25"/>
      <c r="B1048" s="25"/>
      <c r="C1048" s="26">
        <v>4410</v>
      </c>
      <c r="D1048" s="27" t="s">
        <v>42</v>
      </c>
      <c r="E1048" s="11">
        <v>430</v>
      </c>
      <c r="F1048" s="11">
        <v>430</v>
      </c>
      <c r="G1048" s="12">
        <v>440</v>
      </c>
      <c r="H1048" s="12">
        <v>440</v>
      </c>
      <c r="I1048" s="12"/>
      <c r="J1048" s="12">
        <v>440</v>
      </c>
      <c r="K1048" s="12">
        <v>440</v>
      </c>
      <c r="L1048" s="12">
        <v>440</v>
      </c>
      <c r="M1048" s="12">
        <v>490</v>
      </c>
      <c r="N1048" s="12">
        <v>490</v>
      </c>
      <c r="O1048" s="12">
        <v>490</v>
      </c>
      <c r="P1048" s="12"/>
      <c r="Q1048" s="186">
        <f t="shared" si="138"/>
        <v>0</v>
      </c>
      <c r="R1048" s="155">
        <v>490</v>
      </c>
      <c r="S1048" s="155">
        <v>550</v>
      </c>
      <c r="T1048" s="12">
        <v>550</v>
      </c>
      <c r="U1048" s="12"/>
      <c r="V1048" s="12"/>
      <c r="W1048" s="32">
        <f t="shared" si="136"/>
        <v>550</v>
      </c>
    </row>
    <row r="1049" spans="1:23" ht="12">
      <c r="A1049" s="33"/>
      <c r="B1049" s="33">
        <v>85295</v>
      </c>
      <c r="C1049" s="36"/>
      <c r="D1049" s="42" t="s">
        <v>213</v>
      </c>
      <c r="E1049" s="35">
        <f>SUM(E1051:E1054)</f>
        <v>800</v>
      </c>
      <c r="F1049" s="35">
        <f>SUM(F1051:F1054)</f>
        <v>845</v>
      </c>
      <c r="G1049" s="35">
        <f>SUM(G1051:G1054)</f>
        <v>3104</v>
      </c>
      <c r="H1049" s="35">
        <f>SUM(H1051:H1054)</f>
        <v>3104</v>
      </c>
      <c r="I1049" s="35"/>
      <c r="J1049" s="35">
        <f aca="true" t="shared" si="140" ref="J1049:P1049">SUM(J1051:J1054)</f>
        <v>3120</v>
      </c>
      <c r="K1049" s="35">
        <f t="shared" si="140"/>
        <v>3120</v>
      </c>
      <c r="L1049" s="35">
        <f t="shared" si="140"/>
        <v>3120</v>
      </c>
      <c r="M1049" s="35">
        <f t="shared" si="140"/>
        <v>2989</v>
      </c>
      <c r="N1049" s="35">
        <v>3000</v>
      </c>
      <c r="O1049" s="35">
        <v>3002</v>
      </c>
      <c r="P1049" s="35">
        <f t="shared" si="140"/>
        <v>1800</v>
      </c>
      <c r="Q1049" s="186">
        <f t="shared" si="138"/>
        <v>0.5996002664890073</v>
      </c>
      <c r="R1049" s="152">
        <f>SUM(R1051:R1054)</f>
        <v>3002</v>
      </c>
      <c r="S1049" s="152">
        <f>SUM(S1051:S1054)</f>
        <v>2340</v>
      </c>
      <c r="T1049" s="35">
        <v>2340</v>
      </c>
      <c r="U1049" s="35">
        <f>SUM(U1051:U1054)</f>
        <v>0</v>
      </c>
      <c r="V1049" s="35">
        <f>SUM(V1051:V1054)</f>
        <v>0</v>
      </c>
      <c r="W1049" s="32">
        <f t="shared" si="136"/>
        <v>2340</v>
      </c>
    </row>
    <row r="1050" spans="1:23" ht="12">
      <c r="A1050" s="25"/>
      <c r="B1050" s="25"/>
      <c r="C1050" s="26"/>
      <c r="D1050" s="27" t="s">
        <v>212</v>
      </c>
      <c r="E1050" s="85"/>
      <c r="F1050" s="85"/>
      <c r="G1050" s="90"/>
      <c r="H1050" s="90"/>
      <c r="I1050" s="90"/>
      <c r="J1050" s="90"/>
      <c r="K1050" s="90"/>
      <c r="L1050" s="90"/>
      <c r="M1050" s="90"/>
      <c r="N1050" s="90"/>
      <c r="O1050" s="90"/>
      <c r="P1050" s="90"/>
      <c r="Q1050" s="186"/>
      <c r="R1050" s="167"/>
      <c r="S1050" s="167"/>
      <c r="T1050" s="90">
        <v>0</v>
      </c>
      <c r="U1050" s="90"/>
      <c r="V1050" s="90"/>
      <c r="W1050" s="32">
        <f t="shared" si="136"/>
        <v>0</v>
      </c>
    </row>
    <row r="1051" spans="1:23" ht="24">
      <c r="A1051" s="25"/>
      <c r="B1051" s="25"/>
      <c r="C1051" s="26">
        <v>4010</v>
      </c>
      <c r="D1051" s="27" t="s">
        <v>29</v>
      </c>
      <c r="E1051" s="85"/>
      <c r="F1051" s="85"/>
      <c r="G1051" s="90">
        <v>903</v>
      </c>
      <c r="H1051" s="90">
        <v>903</v>
      </c>
      <c r="I1051" s="90">
        <v>910</v>
      </c>
      <c r="J1051" s="90">
        <v>910</v>
      </c>
      <c r="K1051" s="90">
        <v>910</v>
      </c>
      <c r="L1051" s="90">
        <v>910</v>
      </c>
      <c r="M1051" s="90">
        <v>1008</v>
      </c>
      <c r="N1051" s="90">
        <v>1010</v>
      </c>
      <c r="O1051" s="90">
        <v>1010</v>
      </c>
      <c r="P1051" s="90"/>
      <c r="Q1051" s="186">
        <f t="shared" si="138"/>
        <v>0</v>
      </c>
      <c r="R1051" s="167">
        <v>1010</v>
      </c>
      <c r="S1051" s="167">
        <v>1130</v>
      </c>
      <c r="T1051" s="90">
        <v>1130</v>
      </c>
      <c r="U1051" s="90"/>
      <c r="V1051" s="90"/>
      <c r="W1051" s="32">
        <f t="shared" si="136"/>
        <v>1130</v>
      </c>
    </row>
    <row r="1052" spans="1:23" ht="24">
      <c r="A1052" s="25"/>
      <c r="B1052" s="25"/>
      <c r="C1052" s="26">
        <v>4110</v>
      </c>
      <c r="D1052" s="27" t="s">
        <v>31</v>
      </c>
      <c r="E1052" s="85"/>
      <c r="F1052" s="85"/>
      <c r="G1052" s="90">
        <v>1329</v>
      </c>
      <c r="H1052" s="90">
        <v>1329</v>
      </c>
      <c r="I1052" s="90"/>
      <c r="J1052" s="90">
        <v>1330</v>
      </c>
      <c r="K1052" s="90">
        <v>1330</v>
      </c>
      <c r="L1052" s="90">
        <v>1330</v>
      </c>
      <c r="M1052" s="90">
        <v>156</v>
      </c>
      <c r="N1052" s="90">
        <v>160</v>
      </c>
      <c r="O1052" s="90">
        <v>160</v>
      </c>
      <c r="P1052" s="90"/>
      <c r="Q1052" s="186">
        <f t="shared" si="138"/>
        <v>0</v>
      </c>
      <c r="R1052" s="167">
        <v>160</v>
      </c>
      <c r="S1052" s="167">
        <v>180</v>
      </c>
      <c r="T1052" s="90">
        <v>180</v>
      </c>
      <c r="U1052" s="90"/>
      <c r="V1052" s="90"/>
      <c r="W1052" s="32">
        <f t="shared" si="136"/>
        <v>180</v>
      </c>
    </row>
    <row r="1053" spans="1:23" ht="12">
      <c r="A1053" s="25"/>
      <c r="B1053" s="25"/>
      <c r="C1053" s="26">
        <v>4120</v>
      </c>
      <c r="D1053" s="27" t="s">
        <v>32</v>
      </c>
      <c r="E1053" s="85"/>
      <c r="F1053" s="85"/>
      <c r="G1053" s="90">
        <v>22</v>
      </c>
      <c r="H1053" s="90">
        <v>22</v>
      </c>
      <c r="I1053" s="90"/>
      <c r="J1053" s="90">
        <v>30</v>
      </c>
      <c r="K1053" s="90">
        <v>30</v>
      </c>
      <c r="L1053" s="90">
        <v>30</v>
      </c>
      <c r="M1053" s="90">
        <v>25</v>
      </c>
      <c r="N1053" s="90">
        <v>30</v>
      </c>
      <c r="O1053" s="90">
        <v>30</v>
      </c>
      <c r="P1053" s="90"/>
      <c r="Q1053" s="186">
        <f t="shared" si="138"/>
        <v>0</v>
      </c>
      <c r="R1053" s="167">
        <v>30</v>
      </c>
      <c r="S1053" s="167">
        <v>30</v>
      </c>
      <c r="T1053" s="90">
        <v>30</v>
      </c>
      <c r="U1053" s="90"/>
      <c r="V1053" s="90"/>
      <c r="W1053" s="32">
        <f t="shared" si="136"/>
        <v>30</v>
      </c>
    </row>
    <row r="1054" spans="1:23" ht="24">
      <c r="A1054" s="25"/>
      <c r="B1054" s="25"/>
      <c r="C1054" s="26">
        <v>4440</v>
      </c>
      <c r="D1054" s="27" t="s">
        <v>44</v>
      </c>
      <c r="E1054" s="11">
        <v>800</v>
      </c>
      <c r="F1054" s="11">
        <v>845</v>
      </c>
      <c r="G1054" s="12">
        <v>850</v>
      </c>
      <c r="H1054" s="12">
        <v>850</v>
      </c>
      <c r="I1054" s="12"/>
      <c r="J1054" s="12">
        <v>850</v>
      </c>
      <c r="K1054" s="12">
        <v>850</v>
      </c>
      <c r="L1054" s="12">
        <v>850</v>
      </c>
      <c r="M1054" s="12">
        <v>1800</v>
      </c>
      <c r="N1054" s="12">
        <v>1800</v>
      </c>
      <c r="O1054" s="12">
        <v>1802</v>
      </c>
      <c r="P1054" s="12">
        <v>1800</v>
      </c>
      <c r="Q1054" s="186">
        <f t="shared" si="138"/>
        <v>0.9988901220865705</v>
      </c>
      <c r="R1054" s="155">
        <v>1802</v>
      </c>
      <c r="S1054" s="155">
        <v>1000</v>
      </c>
      <c r="T1054" s="12">
        <v>1000</v>
      </c>
      <c r="U1054" s="12"/>
      <c r="V1054" s="12"/>
      <c r="W1054" s="32">
        <f t="shared" si="136"/>
        <v>1000</v>
      </c>
    </row>
    <row r="1055" spans="1:23" ht="24">
      <c r="A1055" s="8">
        <v>853</v>
      </c>
      <c r="B1055" s="8"/>
      <c r="C1055" s="29"/>
      <c r="D1055" s="43" t="s">
        <v>214</v>
      </c>
      <c r="E1055" s="31" t="e">
        <f>#REF!+E1058+E1076+E1056</f>
        <v>#REF!</v>
      </c>
      <c r="F1055" s="31" t="e">
        <f>#REF!+F1058+F1076+F1056</f>
        <v>#REF!</v>
      </c>
      <c r="G1055" s="31" t="e">
        <f>#REF!+G1058+G1076+G1056</f>
        <v>#REF!</v>
      </c>
      <c r="H1055" s="31" t="e">
        <f>#REF!+H1058+H1076+H1056</f>
        <v>#REF!</v>
      </c>
      <c r="I1055" s="31">
        <f>SUM(I136)</f>
        <v>0</v>
      </c>
      <c r="J1055" s="31">
        <f>J1056+J1058+J1076+J1112+J1114</f>
        <v>3749645</v>
      </c>
      <c r="K1055" s="31">
        <f>K1056+K1058+K1076+K1112+K1114</f>
        <v>4637541</v>
      </c>
      <c r="L1055" s="31">
        <f>L1056+L1058+L1076+L1112+L1114</f>
        <v>4572683</v>
      </c>
      <c r="M1055" s="31">
        <f>M1056+M1058+M1076+M1112+M1114</f>
        <v>4703609</v>
      </c>
      <c r="N1055" s="31">
        <v>4162916</v>
      </c>
      <c r="O1055" s="31">
        <v>5794140</v>
      </c>
      <c r="P1055" s="31">
        <f>P1056+P1058+P1076+P1112+P1114</f>
        <v>2928497</v>
      </c>
      <c r="Q1055" s="186">
        <f t="shared" si="138"/>
        <v>0.5054239283137791</v>
      </c>
      <c r="R1055" s="31">
        <f>R1056+R1058+R1076+R1112+R1114</f>
        <v>4491027</v>
      </c>
      <c r="S1055" s="31">
        <f>S1056+S1058+S1076+S1112+S1114</f>
        <v>5388966</v>
      </c>
      <c r="T1055" s="31">
        <v>5645375</v>
      </c>
      <c r="U1055" s="31">
        <f>U1056+U1058+U1076+U1112+U1114</f>
        <v>29995</v>
      </c>
      <c r="V1055" s="31">
        <f>V1056+V1058+V1076+V1112+V1114</f>
        <v>5653</v>
      </c>
      <c r="W1055" s="32">
        <f t="shared" si="136"/>
        <v>5669717</v>
      </c>
    </row>
    <row r="1056" spans="1:23" ht="36">
      <c r="A1056" s="52"/>
      <c r="B1056" s="52">
        <v>85311</v>
      </c>
      <c r="C1056" s="53"/>
      <c r="D1056" s="54" t="s">
        <v>215</v>
      </c>
      <c r="E1056" s="108">
        <f>SUM(E1057)</f>
        <v>0</v>
      </c>
      <c r="F1056" s="108">
        <f>SUM(F1057)</f>
        <v>7301</v>
      </c>
      <c r="G1056" s="108">
        <f>SUM(G1057)</f>
        <v>15530</v>
      </c>
      <c r="H1056" s="108">
        <f>SUM(H1057)</f>
        <v>15530</v>
      </c>
      <c r="I1056" s="108"/>
      <c r="J1056" s="57">
        <f aca="true" t="shared" si="141" ref="J1056:S1056">SUM(J1057)</f>
        <v>15530</v>
      </c>
      <c r="K1056" s="57">
        <f t="shared" si="141"/>
        <v>15530</v>
      </c>
      <c r="L1056" s="57">
        <f t="shared" si="141"/>
        <v>15530</v>
      </c>
      <c r="M1056" s="57">
        <f t="shared" si="141"/>
        <v>16500</v>
      </c>
      <c r="N1056" s="57">
        <v>16500</v>
      </c>
      <c r="O1056" s="57">
        <v>16500</v>
      </c>
      <c r="P1056" s="57">
        <f t="shared" si="141"/>
        <v>9042</v>
      </c>
      <c r="Q1056" s="186">
        <f t="shared" si="138"/>
        <v>0.548</v>
      </c>
      <c r="R1056" s="57">
        <f t="shared" si="141"/>
        <v>16500</v>
      </c>
      <c r="S1056" s="57">
        <f t="shared" si="141"/>
        <v>19300</v>
      </c>
      <c r="T1056" s="57">
        <v>20122</v>
      </c>
      <c r="U1056" s="57">
        <f>SUM(U1057)</f>
        <v>0</v>
      </c>
      <c r="V1056" s="57">
        <f>SUM(V1057)</f>
        <v>0</v>
      </c>
      <c r="W1056" s="32">
        <f t="shared" si="136"/>
        <v>20122</v>
      </c>
    </row>
    <row r="1057" spans="1:23" ht="72">
      <c r="A1057" s="48"/>
      <c r="B1057" s="48"/>
      <c r="C1057" s="45">
        <v>2320</v>
      </c>
      <c r="D1057" s="46" t="s">
        <v>178</v>
      </c>
      <c r="E1057" s="109">
        <v>0</v>
      </c>
      <c r="F1057" s="109">
        <v>7301</v>
      </c>
      <c r="G1057" s="110">
        <v>15530</v>
      </c>
      <c r="H1057" s="47">
        <f>G1057</f>
        <v>15530</v>
      </c>
      <c r="I1057" s="47"/>
      <c r="J1057" s="47">
        <v>15530</v>
      </c>
      <c r="K1057" s="47">
        <v>15530</v>
      </c>
      <c r="L1057" s="47">
        <f>15530</f>
        <v>15530</v>
      </c>
      <c r="M1057" s="47">
        <f>15000+1500</f>
        <v>16500</v>
      </c>
      <c r="N1057" s="47">
        <v>16500</v>
      </c>
      <c r="O1057" s="47">
        <v>16500</v>
      </c>
      <c r="P1057" s="47">
        <v>9042</v>
      </c>
      <c r="Q1057" s="186">
        <f t="shared" si="138"/>
        <v>0.548</v>
      </c>
      <c r="R1057" s="47">
        <v>16500</v>
      </c>
      <c r="S1057" s="47">
        <v>19300</v>
      </c>
      <c r="T1057" s="47">
        <v>20122</v>
      </c>
      <c r="U1057" s="47"/>
      <c r="V1057" s="47"/>
      <c r="W1057" s="32">
        <f t="shared" si="136"/>
        <v>20122</v>
      </c>
    </row>
    <row r="1058" spans="1:23" ht="24">
      <c r="A1058" s="33"/>
      <c r="B1058" s="33">
        <v>85321</v>
      </c>
      <c r="C1058" s="36"/>
      <c r="D1058" s="42" t="s">
        <v>216</v>
      </c>
      <c r="E1058" s="35">
        <f>SUM(E1060:E1075)</f>
        <v>107500</v>
      </c>
      <c r="F1058" s="35">
        <f>SUM(F1060:F1075)</f>
        <v>108662</v>
      </c>
      <c r="G1058" s="35">
        <f>SUM(G1060:G1075)</f>
        <v>110635</v>
      </c>
      <c r="H1058" s="35">
        <f>SUM(H1060:H1075)</f>
        <v>109550</v>
      </c>
      <c r="I1058" s="35"/>
      <c r="J1058" s="35">
        <f aca="true" t="shared" si="142" ref="J1058:P1058">SUM(J1060:J1075)</f>
        <v>121245</v>
      </c>
      <c r="K1058" s="35">
        <f t="shared" si="142"/>
        <v>139687</v>
      </c>
      <c r="L1058" s="35">
        <f t="shared" si="142"/>
        <v>138787</v>
      </c>
      <c r="M1058" s="35">
        <f t="shared" si="142"/>
        <v>154810</v>
      </c>
      <c r="N1058" s="35">
        <v>151560</v>
      </c>
      <c r="O1058" s="35">
        <v>151560</v>
      </c>
      <c r="P1058" s="35">
        <f t="shared" si="142"/>
        <v>72069</v>
      </c>
      <c r="Q1058" s="186">
        <f t="shared" si="138"/>
        <v>0.47551464766429136</v>
      </c>
      <c r="R1058" s="152">
        <f>SUM(R1060:R1075)</f>
        <v>147596</v>
      </c>
      <c r="S1058" s="152">
        <f>SUM(S1060:S1075)</f>
        <v>162333</v>
      </c>
      <c r="T1058" s="35">
        <v>152030</v>
      </c>
      <c r="U1058" s="35">
        <f>SUM(U1060:U1075)</f>
        <v>140</v>
      </c>
      <c r="V1058" s="35">
        <f>SUM(V1060:V1075)</f>
        <v>140</v>
      </c>
      <c r="W1058" s="32">
        <f t="shared" si="136"/>
        <v>152030</v>
      </c>
    </row>
    <row r="1059" spans="1:23" ht="12">
      <c r="A1059" s="33"/>
      <c r="B1059" s="33"/>
      <c r="C1059" s="36"/>
      <c r="D1059" s="27" t="s">
        <v>208</v>
      </c>
      <c r="E1059" s="111"/>
      <c r="F1059" s="111"/>
      <c r="G1059" s="112"/>
      <c r="H1059" s="112"/>
      <c r="I1059" s="112"/>
      <c r="J1059" s="112"/>
      <c r="K1059" s="112"/>
      <c r="L1059" s="112"/>
      <c r="M1059" s="112"/>
      <c r="N1059" s="112"/>
      <c r="O1059" s="112"/>
      <c r="P1059" s="112"/>
      <c r="Q1059" s="186"/>
      <c r="R1059" s="169"/>
      <c r="S1059" s="169"/>
      <c r="T1059" s="112">
        <v>0</v>
      </c>
      <c r="U1059" s="112"/>
      <c r="V1059" s="112"/>
      <c r="W1059" s="32">
        <f t="shared" si="136"/>
        <v>0</v>
      </c>
    </row>
    <row r="1060" spans="1:23" ht="24">
      <c r="A1060" s="25"/>
      <c r="B1060" s="25"/>
      <c r="C1060" s="26">
        <v>4010</v>
      </c>
      <c r="D1060" s="27" t="s">
        <v>29</v>
      </c>
      <c r="E1060" s="11">
        <v>19470</v>
      </c>
      <c r="F1060" s="11">
        <v>20440</v>
      </c>
      <c r="G1060" s="11">
        <v>21186</v>
      </c>
      <c r="H1060" s="11">
        <v>21186</v>
      </c>
      <c r="I1060" s="12">
        <v>21200</v>
      </c>
      <c r="J1060" s="12">
        <v>30200</v>
      </c>
      <c r="K1060" s="12">
        <v>37251</v>
      </c>
      <c r="L1060" s="12">
        <v>37251</v>
      </c>
      <c r="M1060" s="12">
        <v>50885</v>
      </c>
      <c r="N1060" s="12">
        <v>50900</v>
      </c>
      <c r="O1060" s="12">
        <v>50900</v>
      </c>
      <c r="P1060" s="12">
        <v>26404</v>
      </c>
      <c r="Q1060" s="186">
        <f t="shared" si="138"/>
        <v>0.5187426326129666</v>
      </c>
      <c r="R1060" s="155">
        <v>51315</v>
      </c>
      <c r="S1060" s="155">
        <v>48195</v>
      </c>
      <c r="T1060" s="12">
        <v>48200</v>
      </c>
      <c r="U1060" s="12"/>
      <c r="V1060" s="12"/>
      <c r="W1060" s="32">
        <f t="shared" si="136"/>
        <v>48200</v>
      </c>
    </row>
    <row r="1061" spans="1:23" ht="12">
      <c r="A1061" s="25"/>
      <c r="B1061" s="25"/>
      <c r="C1061" s="26">
        <v>4040</v>
      </c>
      <c r="D1061" s="27" t="s">
        <v>30</v>
      </c>
      <c r="E1061" s="11">
        <v>1530</v>
      </c>
      <c r="F1061" s="11">
        <v>1530</v>
      </c>
      <c r="G1061" s="11">
        <v>1670</v>
      </c>
      <c r="H1061" s="11">
        <v>1670</v>
      </c>
      <c r="I1061" s="11"/>
      <c r="J1061" s="11">
        <v>1670</v>
      </c>
      <c r="K1061" s="11">
        <v>1670</v>
      </c>
      <c r="L1061" s="11">
        <v>1670</v>
      </c>
      <c r="M1061" s="11">
        <v>3657</v>
      </c>
      <c r="N1061" s="12">
        <v>3700</v>
      </c>
      <c r="O1061" s="12">
        <v>3700</v>
      </c>
      <c r="P1061" s="12">
        <v>3188</v>
      </c>
      <c r="Q1061" s="186">
        <f t="shared" si="138"/>
        <v>0.8616216216216216</v>
      </c>
      <c r="R1061" s="155">
        <v>3188</v>
      </c>
      <c r="S1061" s="155">
        <v>3900</v>
      </c>
      <c r="T1061" s="12">
        <v>3900</v>
      </c>
      <c r="U1061" s="12"/>
      <c r="V1061" s="12"/>
      <c r="W1061" s="32">
        <f t="shared" si="136"/>
        <v>3900</v>
      </c>
    </row>
    <row r="1062" spans="1:23" ht="24">
      <c r="A1062" s="25"/>
      <c r="B1062" s="25"/>
      <c r="C1062" s="26">
        <v>4110</v>
      </c>
      <c r="D1062" s="27" t="s">
        <v>31</v>
      </c>
      <c r="E1062" s="11">
        <v>8300</v>
      </c>
      <c r="F1062" s="11">
        <v>8470</v>
      </c>
      <c r="G1062" s="11">
        <v>5946</v>
      </c>
      <c r="H1062" s="11">
        <v>5946</v>
      </c>
      <c r="I1062" s="11"/>
      <c r="J1062" s="11">
        <v>7500</v>
      </c>
      <c r="K1062" s="11">
        <v>9240</v>
      </c>
      <c r="L1062" s="11">
        <v>9240</v>
      </c>
      <c r="M1062" s="11">
        <v>10122</v>
      </c>
      <c r="N1062" s="12">
        <v>10200</v>
      </c>
      <c r="O1062" s="12">
        <v>10200</v>
      </c>
      <c r="P1062" s="12">
        <v>3929</v>
      </c>
      <c r="Q1062" s="186">
        <f t="shared" si="138"/>
        <v>0.38519607843137255</v>
      </c>
      <c r="R1062" s="155">
        <v>10263</v>
      </c>
      <c r="S1062" s="155">
        <v>12763</v>
      </c>
      <c r="T1062" s="12">
        <v>12700</v>
      </c>
      <c r="U1062" s="12"/>
      <c r="V1062" s="12"/>
      <c r="W1062" s="32">
        <f t="shared" si="136"/>
        <v>12700</v>
      </c>
    </row>
    <row r="1063" spans="1:23" ht="12">
      <c r="A1063" s="25"/>
      <c r="B1063" s="25"/>
      <c r="C1063" s="26">
        <v>4120</v>
      </c>
      <c r="D1063" s="27" t="s">
        <v>32</v>
      </c>
      <c r="E1063" s="11">
        <v>1050</v>
      </c>
      <c r="F1063" s="11">
        <v>1070</v>
      </c>
      <c r="G1063" s="11">
        <v>944</v>
      </c>
      <c r="H1063" s="11">
        <v>944</v>
      </c>
      <c r="I1063" s="11"/>
      <c r="J1063" s="11">
        <v>1250</v>
      </c>
      <c r="K1063" s="11">
        <v>1526</v>
      </c>
      <c r="L1063" s="11">
        <v>1526</v>
      </c>
      <c r="M1063" s="11">
        <v>1606</v>
      </c>
      <c r="N1063" s="12">
        <v>1600</v>
      </c>
      <c r="O1063" s="12">
        <v>1600</v>
      </c>
      <c r="P1063" s="12">
        <v>623</v>
      </c>
      <c r="Q1063" s="186">
        <f t="shared" si="138"/>
        <v>0.389375</v>
      </c>
      <c r="R1063" s="155">
        <v>1610</v>
      </c>
      <c r="S1063" s="155">
        <v>2045</v>
      </c>
      <c r="T1063" s="12">
        <v>2000</v>
      </c>
      <c r="U1063" s="12"/>
      <c r="V1063" s="12"/>
      <c r="W1063" s="32">
        <f t="shared" si="136"/>
        <v>2000</v>
      </c>
    </row>
    <row r="1064" spans="1:23" ht="12">
      <c r="A1064" s="25"/>
      <c r="B1064" s="25"/>
      <c r="C1064" s="26">
        <v>4170</v>
      </c>
      <c r="D1064" s="27" t="s">
        <v>33</v>
      </c>
      <c r="E1064" s="11">
        <v>67000</v>
      </c>
      <c r="F1064" s="11">
        <v>67000</v>
      </c>
      <c r="G1064" s="11">
        <v>30808</v>
      </c>
      <c r="H1064" s="11">
        <v>30808</v>
      </c>
      <c r="I1064" s="11"/>
      <c r="J1064" s="11">
        <v>30900</v>
      </c>
      <c r="K1064" s="11">
        <v>35756</v>
      </c>
      <c r="L1064" s="11">
        <v>35756</v>
      </c>
      <c r="M1064" s="11">
        <v>29000</v>
      </c>
      <c r="N1064" s="12">
        <v>29000</v>
      </c>
      <c r="O1064" s="12">
        <v>29000</v>
      </c>
      <c r="P1064" s="12">
        <v>11759</v>
      </c>
      <c r="Q1064" s="186">
        <f t="shared" si="138"/>
        <v>0.40548275862068967</v>
      </c>
      <c r="R1064" s="155">
        <v>27200</v>
      </c>
      <c r="S1064" s="155">
        <v>38880</v>
      </c>
      <c r="T1064" s="12">
        <v>38880</v>
      </c>
      <c r="U1064" s="12"/>
      <c r="V1064" s="12"/>
      <c r="W1064" s="32">
        <f t="shared" si="136"/>
        <v>38880</v>
      </c>
    </row>
    <row r="1065" spans="1:23" ht="12">
      <c r="A1065" s="25"/>
      <c r="B1065" s="25"/>
      <c r="C1065" s="26">
        <v>4210</v>
      </c>
      <c r="D1065" s="27" t="s">
        <v>34</v>
      </c>
      <c r="E1065" s="11">
        <v>1500</v>
      </c>
      <c r="F1065" s="11">
        <v>1500</v>
      </c>
      <c r="G1065" s="11">
        <v>1700</v>
      </c>
      <c r="H1065" s="11">
        <v>1540</v>
      </c>
      <c r="I1065" s="11"/>
      <c r="J1065" s="11">
        <v>1240</v>
      </c>
      <c r="K1065" s="11">
        <v>1240</v>
      </c>
      <c r="L1065" s="11">
        <v>1240</v>
      </c>
      <c r="M1065" s="11">
        <v>1300</v>
      </c>
      <c r="N1065" s="12">
        <v>1300</v>
      </c>
      <c r="O1065" s="12">
        <v>1300</v>
      </c>
      <c r="P1065" s="12"/>
      <c r="Q1065" s="186">
        <f t="shared" si="138"/>
        <v>0</v>
      </c>
      <c r="R1065" s="155">
        <v>1300</v>
      </c>
      <c r="S1065" s="155">
        <v>1200</v>
      </c>
      <c r="T1065" s="12">
        <v>1972</v>
      </c>
      <c r="U1065" s="12"/>
      <c r="V1065" s="12"/>
      <c r="W1065" s="32">
        <f t="shared" si="136"/>
        <v>1972</v>
      </c>
    </row>
    <row r="1066" spans="1:23" ht="12">
      <c r="A1066" s="25"/>
      <c r="B1066" s="25"/>
      <c r="C1066" s="26">
        <v>4270</v>
      </c>
      <c r="D1066" s="27" t="s">
        <v>36</v>
      </c>
      <c r="E1066" s="11">
        <v>500</v>
      </c>
      <c r="F1066" s="11">
        <v>500</v>
      </c>
      <c r="G1066" s="11">
        <v>600</v>
      </c>
      <c r="H1066" s="11">
        <v>520</v>
      </c>
      <c r="I1066" s="11"/>
      <c r="J1066" s="11">
        <v>520</v>
      </c>
      <c r="K1066" s="11">
        <v>520</v>
      </c>
      <c r="L1066" s="11">
        <v>520</v>
      </c>
      <c r="M1066" s="11">
        <v>600</v>
      </c>
      <c r="N1066" s="11">
        <v>550</v>
      </c>
      <c r="O1066" s="11">
        <v>550</v>
      </c>
      <c r="P1066" s="11"/>
      <c r="Q1066" s="186">
        <f t="shared" si="138"/>
        <v>0</v>
      </c>
      <c r="R1066" s="158">
        <v>550</v>
      </c>
      <c r="S1066" s="158">
        <v>550</v>
      </c>
      <c r="T1066" s="11">
        <v>550</v>
      </c>
      <c r="U1066" s="11"/>
      <c r="V1066" s="11"/>
      <c r="W1066" s="32">
        <f t="shared" si="136"/>
        <v>550</v>
      </c>
    </row>
    <row r="1067" spans="1:23" ht="12">
      <c r="A1067" s="25"/>
      <c r="B1067" s="25"/>
      <c r="C1067" s="26">
        <v>4280</v>
      </c>
      <c r="D1067" s="27" t="s">
        <v>37</v>
      </c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86"/>
      <c r="R1067" s="158"/>
      <c r="S1067" s="158"/>
      <c r="T1067" s="11"/>
      <c r="U1067" s="11">
        <v>140</v>
      </c>
      <c r="V1067" s="11"/>
      <c r="W1067" s="32">
        <f t="shared" si="136"/>
        <v>140</v>
      </c>
    </row>
    <row r="1068" spans="1:23" ht="12">
      <c r="A1068" s="25"/>
      <c r="B1068" s="25"/>
      <c r="C1068" s="26">
        <v>4300</v>
      </c>
      <c r="D1068" s="27" t="s">
        <v>17</v>
      </c>
      <c r="E1068" s="11">
        <v>5050</v>
      </c>
      <c r="F1068" s="11">
        <v>5050</v>
      </c>
      <c r="G1068" s="11">
        <v>43766</v>
      </c>
      <c r="H1068" s="11">
        <v>43766</v>
      </c>
      <c r="I1068" s="11"/>
      <c r="J1068" s="11">
        <v>43800</v>
      </c>
      <c r="K1068" s="11">
        <v>47883</v>
      </c>
      <c r="L1068" s="11">
        <v>47883</v>
      </c>
      <c r="M1068" s="11">
        <v>52000</v>
      </c>
      <c r="N1068" s="11">
        <v>49300</v>
      </c>
      <c r="O1068" s="11">
        <v>49300</v>
      </c>
      <c r="P1068" s="11">
        <v>23969</v>
      </c>
      <c r="Q1068" s="186">
        <f t="shared" si="138"/>
        <v>0.48618661257606494</v>
      </c>
      <c r="R1068" s="158">
        <v>47300</v>
      </c>
      <c r="S1068" s="158">
        <v>49660</v>
      </c>
      <c r="T1068" s="11">
        <v>38660</v>
      </c>
      <c r="U1068" s="11"/>
      <c r="V1068" s="11"/>
      <c r="W1068" s="32">
        <f t="shared" si="136"/>
        <v>38660</v>
      </c>
    </row>
    <row r="1069" spans="1:23" ht="24">
      <c r="A1069" s="25"/>
      <c r="B1069" s="25"/>
      <c r="C1069" s="26">
        <v>4350</v>
      </c>
      <c r="D1069" s="27" t="s">
        <v>38</v>
      </c>
      <c r="E1069" s="11"/>
      <c r="F1069" s="11"/>
      <c r="G1069" s="11"/>
      <c r="H1069" s="11"/>
      <c r="I1069" s="11"/>
      <c r="J1069" s="11"/>
      <c r="K1069" s="11">
        <v>436</v>
      </c>
      <c r="L1069" s="11">
        <v>436</v>
      </c>
      <c r="M1069" s="11">
        <v>500</v>
      </c>
      <c r="N1069" s="11">
        <v>450</v>
      </c>
      <c r="O1069" s="11">
        <v>450</v>
      </c>
      <c r="P1069" s="11">
        <v>289</v>
      </c>
      <c r="Q1069" s="186">
        <f t="shared" si="138"/>
        <v>0.6422222222222222</v>
      </c>
      <c r="R1069" s="158">
        <v>450</v>
      </c>
      <c r="S1069" s="158">
        <v>500</v>
      </c>
      <c r="T1069" s="11">
        <v>500</v>
      </c>
      <c r="U1069" s="11"/>
      <c r="V1069" s="11"/>
      <c r="W1069" s="32">
        <f t="shared" si="136"/>
        <v>500</v>
      </c>
    </row>
    <row r="1070" spans="1:23" ht="36">
      <c r="A1070" s="25"/>
      <c r="B1070" s="25"/>
      <c r="C1070" s="26">
        <v>4370</v>
      </c>
      <c r="D1070" s="27" t="s">
        <v>135</v>
      </c>
      <c r="E1070" s="85">
        <v>1500</v>
      </c>
      <c r="F1070" s="85">
        <v>1500</v>
      </c>
      <c r="G1070" s="85">
        <v>1600</v>
      </c>
      <c r="H1070" s="85">
        <v>1540</v>
      </c>
      <c r="I1070" s="85"/>
      <c r="J1070" s="85">
        <v>1540</v>
      </c>
      <c r="K1070" s="85">
        <v>1540</v>
      </c>
      <c r="L1070" s="85">
        <v>1540</v>
      </c>
      <c r="M1070" s="85">
        <v>1600</v>
      </c>
      <c r="N1070" s="85">
        <v>1600</v>
      </c>
      <c r="O1070" s="85">
        <v>1600</v>
      </c>
      <c r="P1070" s="85">
        <v>652</v>
      </c>
      <c r="Q1070" s="186">
        <f t="shared" si="138"/>
        <v>0.4075</v>
      </c>
      <c r="R1070" s="170">
        <v>1600</v>
      </c>
      <c r="S1070" s="170">
        <v>1600</v>
      </c>
      <c r="T1070" s="85">
        <v>1600</v>
      </c>
      <c r="U1070" s="85"/>
      <c r="V1070" s="85"/>
      <c r="W1070" s="32">
        <f t="shared" si="136"/>
        <v>1600</v>
      </c>
    </row>
    <row r="1071" spans="1:23" ht="12">
      <c r="A1071" s="25"/>
      <c r="B1071" s="25"/>
      <c r="C1071" s="26">
        <v>4410</v>
      </c>
      <c r="D1071" s="27" t="s">
        <v>217</v>
      </c>
      <c r="E1071" s="11">
        <v>300</v>
      </c>
      <c r="F1071" s="11">
        <v>200</v>
      </c>
      <c r="G1071" s="11">
        <v>200</v>
      </c>
      <c r="H1071" s="11">
        <v>200</v>
      </c>
      <c r="I1071" s="11"/>
      <c r="J1071" s="11">
        <v>200</v>
      </c>
      <c r="K1071" s="11">
        <v>200</v>
      </c>
      <c r="L1071" s="11">
        <v>200</v>
      </c>
      <c r="M1071" s="11">
        <v>200</v>
      </c>
      <c r="N1071" s="11">
        <v>200</v>
      </c>
      <c r="O1071" s="11">
        <v>200</v>
      </c>
      <c r="P1071" s="11">
        <v>159</v>
      </c>
      <c r="Q1071" s="186">
        <f t="shared" si="138"/>
        <v>0.795</v>
      </c>
      <c r="R1071" s="158">
        <v>200</v>
      </c>
      <c r="S1071" s="158">
        <v>200</v>
      </c>
      <c r="T1071" s="11">
        <v>200</v>
      </c>
      <c r="U1071" s="11"/>
      <c r="V1071" s="11"/>
      <c r="W1071" s="32">
        <f t="shared" si="136"/>
        <v>200</v>
      </c>
    </row>
    <row r="1072" spans="1:23" ht="24">
      <c r="A1072" s="25"/>
      <c r="B1072" s="25"/>
      <c r="C1072" s="26">
        <v>4440</v>
      </c>
      <c r="D1072" s="27" t="s">
        <v>44</v>
      </c>
      <c r="E1072" s="11">
        <v>400</v>
      </c>
      <c r="F1072" s="11">
        <v>402</v>
      </c>
      <c r="G1072" s="11">
        <v>415</v>
      </c>
      <c r="H1072" s="11">
        <v>420</v>
      </c>
      <c r="I1072" s="11"/>
      <c r="J1072" s="11">
        <v>625</v>
      </c>
      <c r="K1072" s="11">
        <v>625</v>
      </c>
      <c r="L1072" s="11">
        <v>625</v>
      </c>
      <c r="M1072" s="11">
        <v>940</v>
      </c>
      <c r="N1072" s="11">
        <v>940</v>
      </c>
      <c r="O1072" s="11">
        <v>940</v>
      </c>
      <c r="P1072" s="11">
        <v>750</v>
      </c>
      <c r="Q1072" s="186">
        <f t="shared" si="138"/>
        <v>0.7978723404255319</v>
      </c>
      <c r="R1072" s="158">
        <v>1000</v>
      </c>
      <c r="S1072" s="158">
        <v>1020</v>
      </c>
      <c r="T1072" s="11">
        <v>1048</v>
      </c>
      <c r="U1072" s="11"/>
      <c r="V1072" s="11"/>
      <c r="W1072" s="32">
        <f t="shared" si="136"/>
        <v>1048</v>
      </c>
    </row>
    <row r="1073" spans="1:23" ht="36">
      <c r="A1073" s="25"/>
      <c r="B1073" s="25"/>
      <c r="C1073" s="26">
        <v>4700</v>
      </c>
      <c r="D1073" s="27" t="s">
        <v>46</v>
      </c>
      <c r="E1073" s="11">
        <v>300</v>
      </c>
      <c r="F1073" s="11">
        <v>300</v>
      </c>
      <c r="G1073" s="11">
        <v>500</v>
      </c>
      <c r="H1073" s="11">
        <v>310</v>
      </c>
      <c r="I1073" s="11"/>
      <c r="J1073" s="11">
        <v>500</v>
      </c>
      <c r="K1073" s="11">
        <v>500</v>
      </c>
      <c r="L1073" s="11">
        <v>500</v>
      </c>
      <c r="M1073" s="11">
        <v>700</v>
      </c>
      <c r="N1073" s="11">
        <v>520</v>
      </c>
      <c r="O1073" s="11">
        <v>520</v>
      </c>
      <c r="P1073" s="11"/>
      <c r="Q1073" s="186">
        <f t="shared" si="138"/>
        <v>0</v>
      </c>
      <c r="R1073" s="158">
        <v>320</v>
      </c>
      <c r="S1073" s="158">
        <v>520</v>
      </c>
      <c r="T1073" s="11">
        <v>520</v>
      </c>
      <c r="U1073" s="11"/>
      <c r="V1073" s="11">
        <v>140</v>
      </c>
      <c r="W1073" s="32">
        <f t="shared" si="136"/>
        <v>380</v>
      </c>
    </row>
    <row r="1074" spans="1:23" ht="36">
      <c r="A1074" s="25"/>
      <c r="B1074" s="25"/>
      <c r="C1074" s="26">
        <v>4740</v>
      </c>
      <c r="D1074" s="27" t="s">
        <v>73</v>
      </c>
      <c r="E1074" s="11">
        <v>600</v>
      </c>
      <c r="F1074" s="11">
        <v>600</v>
      </c>
      <c r="G1074" s="11">
        <v>600</v>
      </c>
      <c r="H1074" s="11">
        <v>600</v>
      </c>
      <c r="I1074" s="11"/>
      <c r="J1074" s="11">
        <v>300</v>
      </c>
      <c r="K1074" s="11">
        <v>300</v>
      </c>
      <c r="L1074" s="11">
        <v>300</v>
      </c>
      <c r="M1074" s="11">
        <v>500</v>
      </c>
      <c r="N1074" s="11">
        <v>300</v>
      </c>
      <c r="O1074" s="11">
        <v>300</v>
      </c>
      <c r="P1074" s="11"/>
      <c r="Q1074" s="186">
        <f t="shared" si="138"/>
        <v>0</v>
      </c>
      <c r="R1074" s="158">
        <v>300</v>
      </c>
      <c r="S1074" s="158">
        <v>300</v>
      </c>
      <c r="T1074" s="11">
        <v>300</v>
      </c>
      <c r="U1074" s="11"/>
      <c r="V1074" s="11"/>
      <c r="W1074" s="32">
        <f t="shared" si="136"/>
        <v>300</v>
      </c>
    </row>
    <row r="1075" spans="1:23" ht="24">
      <c r="A1075" s="25"/>
      <c r="B1075" s="25"/>
      <c r="C1075" s="26">
        <v>4750</v>
      </c>
      <c r="D1075" s="27" t="s">
        <v>118</v>
      </c>
      <c r="E1075" s="11"/>
      <c r="F1075" s="11">
        <v>100</v>
      </c>
      <c r="G1075" s="11">
        <v>700</v>
      </c>
      <c r="H1075" s="11">
        <v>100</v>
      </c>
      <c r="I1075" s="11"/>
      <c r="J1075" s="11">
        <v>1000</v>
      </c>
      <c r="K1075" s="11">
        <v>1000</v>
      </c>
      <c r="L1075" s="11">
        <v>100</v>
      </c>
      <c r="M1075" s="11">
        <v>1200</v>
      </c>
      <c r="N1075" s="11">
        <v>1000</v>
      </c>
      <c r="O1075" s="11">
        <v>1000</v>
      </c>
      <c r="P1075" s="11">
        <v>347</v>
      </c>
      <c r="Q1075" s="186">
        <f t="shared" si="138"/>
        <v>0.347</v>
      </c>
      <c r="R1075" s="158">
        <v>1000</v>
      </c>
      <c r="S1075" s="158">
        <v>1000</v>
      </c>
      <c r="T1075" s="11">
        <v>1000</v>
      </c>
      <c r="U1075" s="11"/>
      <c r="V1075" s="11"/>
      <c r="W1075" s="32">
        <f t="shared" si="136"/>
        <v>1000</v>
      </c>
    </row>
    <row r="1076" spans="1:23" ht="12">
      <c r="A1076" s="25"/>
      <c r="B1076" s="33">
        <v>85333</v>
      </c>
      <c r="C1076" s="26"/>
      <c r="D1076" s="42" t="s">
        <v>218</v>
      </c>
      <c r="E1076" s="35">
        <f>SUM(E1078:E1110)</f>
        <v>2721964</v>
      </c>
      <c r="F1076" s="35">
        <f>SUM(F1078:F1110)</f>
        <v>2852648</v>
      </c>
      <c r="G1076" s="37">
        <f>SUM(G1078:G1110)</f>
        <v>3465112</v>
      </c>
      <c r="H1076" s="37">
        <f>SUM(H1078:H1110)</f>
        <v>3465112</v>
      </c>
      <c r="I1076" s="37"/>
      <c r="J1076" s="37">
        <f aca="true" t="shared" si="143" ref="J1076:P1076">SUM(J1078:J1111)</f>
        <v>3177790</v>
      </c>
      <c r="K1076" s="37">
        <f t="shared" si="143"/>
        <v>3437418</v>
      </c>
      <c r="L1076" s="37">
        <f t="shared" si="143"/>
        <v>3378873</v>
      </c>
      <c r="M1076" s="37">
        <f t="shared" si="143"/>
        <v>3611072</v>
      </c>
      <c r="N1076" s="37">
        <v>2169520</v>
      </c>
      <c r="O1076" s="37">
        <v>2294537</v>
      </c>
      <c r="P1076" s="37">
        <f t="shared" si="143"/>
        <v>1148458</v>
      </c>
      <c r="Q1076" s="186">
        <f t="shared" si="138"/>
        <v>0.5005184052381809</v>
      </c>
      <c r="R1076" s="157">
        <f>SUM(R1078:R1111)</f>
        <v>2356069</v>
      </c>
      <c r="S1076" s="157">
        <f>SUM(S1078:S1111)</f>
        <v>2507008</v>
      </c>
      <c r="T1076" s="37">
        <v>2602842</v>
      </c>
      <c r="U1076" s="37">
        <f>SUM(U1078:U1111)</f>
        <v>6500</v>
      </c>
      <c r="V1076" s="37">
        <f>SUM(V1078:V1111)</f>
        <v>2000</v>
      </c>
      <c r="W1076" s="32">
        <f t="shared" si="136"/>
        <v>2607342</v>
      </c>
    </row>
    <row r="1077" spans="1:23" ht="12">
      <c r="A1077" s="25"/>
      <c r="B1077" s="33"/>
      <c r="C1077" s="26"/>
      <c r="D1077" s="27" t="s">
        <v>219</v>
      </c>
      <c r="E1077" s="85"/>
      <c r="F1077" s="85"/>
      <c r="G1077" s="90"/>
      <c r="H1077" s="90"/>
      <c r="I1077" s="90"/>
      <c r="J1077" s="90"/>
      <c r="K1077" s="90"/>
      <c r="L1077" s="90"/>
      <c r="M1077" s="90"/>
      <c r="N1077" s="90">
        <v>0</v>
      </c>
      <c r="O1077" s="90">
        <v>0</v>
      </c>
      <c r="P1077" s="90"/>
      <c r="Q1077" s="186"/>
      <c r="R1077" s="167"/>
      <c r="S1077" s="167"/>
      <c r="T1077" s="90">
        <v>0</v>
      </c>
      <c r="U1077" s="90"/>
      <c r="V1077" s="90"/>
      <c r="W1077" s="32">
        <f t="shared" si="136"/>
        <v>0</v>
      </c>
    </row>
    <row r="1078" spans="1:23" ht="24">
      <c r="A1078" s="25"/>
      <c r="B1078" s="25"/>
      <c r="C1078" s="26">
        <v>3020</v>
      </c>
      <c r="D1078" s="27" t="s">
        <v>68</v>
      </c>
      <c r="E1078" s="83">
        <v>780</v>
      </c>
      <c r="F1078" s="83">
        <v>780</v>
      </c>
      <c r="G1078" s="1">
        <v>800</v>
      </c>
      <c r="H1078" s="1">
        <v>800</v>
      </c>
      <c r="I1078" s="1"/>
      <c r="J1078" s="1">
        <v>800</v>
      </c>
      <c r="K1078" s="1">
        <v>800</v>
      </c>
      <c r="L1078" s="1">
        <v>800</v>
      </c>
      <c r="M1078" s="1">
        <v>1000</v>
      </c>
      <c r="N1078" s="1">
        <v>1000</v>
      </c>
      <c r="O1078" s="1">
        <v>1000</v>
      </c>
      <c r="P1078" s="1">
        <v>543</v>
      </c>
      <c r="Q1078" s="186">
        <f t="shared" si="138"/>
        <v>0.543</v>
      </c>
      <c r="R1078" s="156">
        <v>1000</v>
      </c>
      <c r="S1078" s="156">
        <v>1000</v>
      </c>
      <c r="T1078" s="1">
        <v>1000</v>
      </c>
      <c r="U1078" s="1">
        <v>500</v>
      </c>
      <c r="V1078" s="1"/>
      <c r="W1078" s="32">
        <f t="shared" si="136"/>
        <v>1500</v>
      </c>
    </row>
    <row r="1079" spans="1:23" ht="24">
      <c r="A1079" s="25"/>
      <c r="B1079" s="25"/>
      <c r="C1079" s="9">
        <v>4010</v>
      </c>
      <c r="D1079" s="27" t="s">
        <v>29</v>
      </c>
      <c r="E1079" s="11">
        <v>1036622</v>
      </c>
      <c r="F1079" s="11">
        <v>1090919</v>
      </c>
      <c r="G1079" s="1">
        <v>1360539</v>
      </c>
      <c r="H1079" s="1">
        <v>1360539</v>
      </c>
      <c r="I1079" s="113">
        <f>1279300-74862+49908+4</f>
        <v>1254350</v>
      </c>
      <c r="J1079" s="1">
        <v>1282810</v>
      </c>
      <c r="K1079" s="1">
        <v>1343102</v>
      </c>
      <c r="L1079" s="1">
        <v>1343102</v>
      </c>
      <c r="M1079" s="1">
        <v>1445600</v>
      </c>
      <c r="N1079" s="1">
        <v>1506700</v>
      </c>
      <c r="O1079" s="1">
        <v>1506700</v>
      </c>
      <c r="P1079" s="1">
        <v>744169</v>
      </c>
      <c r="Q1079" s="186">
        <f t="shared" si="138"/>
        <v>0.49390655074002787</v>
      </c>
      <c r="R1079" s="156">
        <v>1532230</v>
      </c>
      <c r="S1079" s="156">
        <v>1654554</v>
      </c>
      <c r="T1079" s="1">
        <v>1662500</v>
      </c>
      <c r="U1079" s="1"/>
      <c r="V1079" s="1"/>
      <c r="W1079" s="32">
        <f t="shared" si="136"/>
        <v>1662500</v>
      </c>
    </row>
    <row r="1080" spans="1:23" ht="24">
      <c r="A1080" s="25"/>
      <c r="B1080" s="25"/>
      <c r="C1080" s="9">
        <v>4017</v>
      </c>
      <c r="D1080" s="27" t="s">
        <v>29</v>
      </c>
      <c r="E1080" s="11">
        <v>1036622</v>
      </c>
      <c r="F1080" s="11">
        <v>1090919</v>
      </c>
      <c r="G1080" s="1">
        <v>1360539</v>
      </c>
      <c r="H1080" s="1">
        <v>1360539</v>
      </c>
      <c r="I1080" s="113">
        <f>1279300-74862+49908+4</f>
        <v>1254350</v>
      </c>
      <c r="J1080" s="1">
        <v>1282810</v>
      </c>
      <c r="K1080" s="1">
        <v>1343102</v>
      </c>
      <c r="L1080" s="1">
        <v>1343102</v>
      </c>
      <c r="M1080" s="1">
        <v>1445600</v>
      </c>
      <c r="N1080" s="1">
        <v>0</v>
      </c>
      <c r="O1080" s="1">
        <v>105506</v>
      </c>
      <c r="P1080" s="1">
        <v>2024</v>
      </c>
      <c r="Q1080" s="186">
        <f t="shared" si="138"/>
        <v>0.019183743104657557</v>
      </c>
      <c r="R1080" s="156">
        <v>104236</v>
      </c>
      <c r="S1080" s="156">
        <v>0</v>
      </c>
      <c r="T1080" s="1">
        <v>100800</v>
      </c>
      <c r="U1080" s="1"/>
      <c r="V1080" s="1"/>
      <c r="W1080" s="32">
        <f t="shared" si="136"/>
        <v>100800</v>
      </c>
    </row>
    <row r="1081" spans="1:23" ht="12">
      <c r="A1081" s="25"/>
      <c r="B1081" s="25"/>
      <c r="C1081" s="26">
        <v>4040</v>
      </c>
      <c r="D1081" s="27" t="s">
        <v>30</v>
      </c>
      <c r="E1081" s="11">
        <v>87000</v>
      </c>
      <c r="F1081" s="11">
        <v>84533</v>
      </c>
      <c r="G1081" s="1">
        <v>95460</v>
      </c>
      <c r="H1081" s="1">
        <v>95460</v>
      </c>
      <c r="I1081" s="1"/>
      <c r="J1081" s="1">
        <v>91300</v>
      </c>
      <c r="K1081" s="1">
        <v>87662</v>
      </c>
      <c r="L1081" s="1">
        <v>87662</v>
      </c>
      <c r="M1081" s="1">
        <v>113940</v>
      </c>
      <c r="N1081" s="1">
        <v>113940</v>
      </c>
      <c r="O1081" s="1">
        <v>113940</v>
      </c>
      <c r="P1081" s="1">
        <v>106666</v>
      </c>
      <c r="Q1081" s="186">
        <f t="shared" si="138"/>
        <v>0.9361593821309461</v>
      </c>
      <c r="R1081" s="156">
        <v>106666</v>
      </c>
      <c r="S1081" s="156">
        <v>129000</v>
      </c>
      <c r="T1081" s="1">
        <v>129000</v>
      </c>
      <c r="U1081" s="1"/>
      <c r="V1081" s="1"/>
      <c r="W1081" s="32">
        <f t="shared" si="136"/>
        <v>129000</v>
      </c>
    </row>
    <row r="1082" spans="1:23" ht="12">
      <c r="A1082" s="25"/>
      <c r="B1082" s="25"/>
      <c r="C1082" s="26">
        <v>4047</v>
      </c>
      <c r="D1082" s="27" t="s">
        <v>30</v>
      </c>
      <c r="E1082" s="11"/>
      <c r="F1082" s="11"/>
      <c r="G1082" s="1"/>
      <c r="H1082" s="1"/>
      <c r="I1082" s="1"/>
      <c r="J1082" s="1">
        <v>0</v>
      </c>
      <c r="K1082" s="1">
        <v>0</v>
      </c>
      <c r="L1082" s="1">
        <v>0</v>
      </c>
      <c r="M1082" s="1">
        <v>6120</v>
      </c>
      <c r="N1082" s="1">
        <v>6120</v>
      </c>
      <c r="O1082" s="1">
        <v>2916</v>
      </c>
      <c r="P1082" s="1">
        <v>2916</v>
      </c>
      <c r="Q1082" s="186">
        <f>P1082/O1082</f>
        <v>1</v>
      </c>
      <c r="R1082" s="156">
        <v>2916</v>
      </c>
      <c r="S1082" s="156">
        <v>8271</v>
      </c>
      <c r="T1082" s="1">
        <v>8270</v>
      </c>
      <c r="U1082" s="1"/>
      <c r="V1082" s="1"/>
      <c r="W1082" s="32">
        <f>T1082+U1082-V1082</f>
        <v>8270</v>
      </c>
    </row>
    <row r="1083" spans="1:23" ht="12">
      <c r="A1083" s="25"/>
      <c r="B1083" s="25"/>
      <c r="C1083" s="26">
        <v>4048</v>
      </c>
      <c r="D1083" s="27" t="s">
        <v>30</v>
      </c>
      <c r="E1083" s="11"/>
      <c r="F1083" s="11"/>
      <c r="G1083" s="1"/>
      <c r="H1083" s="1"/>
      <c r="I1083" s="1"/>
      <c r="J1083" s="1">
        <v>0</v>
      </c>
      <c r="K1083" s="1">
        <v>0</v>
      </c>
      <c r="L1083" s="1">
        <v>0</v>
      </c>
      <c r="M1083" s="1">
        <v>6120</v>
      </c>
      <c r="N1083" s="1">
        <v>6120</v>
      </c>
      <c r="O1083" s="1">
        <v>2916</v>
      </c>
      <c r="P1083" s="1">
        <v>2916</v>
      </c>
      <c r="Q1083" s="186">
        <f t="shared" si="138"/>
        <v>1</v>
      </c>
      <c r="R1083" s="156">
        <v>2916</v>
      </c>
      <c r="S1083" s="156">
        <v>8271</v>
      </c>
      <c r="T1083" s="1">
        <v>0</v>
      </c>
      <c r="U1083" s="1"/>
      <c r="V1083" s="1"/>
      <c r="W1083" s="32">
        <f t="shared" si="136"/>
        <v>0</v>
      </c>
    </row>
    <row r="1084" spans="1:23" ht="24">
      <c r="A1084" s="25"/>
      <c r="B1084" s="25"/>
      <c r="C1084" s="26">
        <v>4110</v>
      </c>
      <c r="D1084" s="27" t="s">
        <v>31</v>
      </c>
      <c r="E1084" s="11">
        <v>195483</v>
      </c>
      <c r="F1084" s="11">
        <v>204393</v>
      </c>
      <c r="G1084" s="1">
        <v>230853</v>
      </c>
      <c r="H1084" s="1">
        <v>230853</v>
      </c>
      <c r="I1084" s="1"/>
      <c r="J1084" s="1">
        <v>218890</v>
      </c>
      <c r="K1084" s="1">
        <v>227994</v>
      </c>
      <c r="L1084" s="1">
        <v>227994</v>
      </c>
      <c r="M1084" s="1">
        <v>248742</v>
      </c>
      <c r="N1084" s="1">
        <v>244700</v>
      </c>
      <c r="O1084" s="1">
        <v>244700</v>
      </c>
      <c r="P1084" s="1">
        <v>120519</v>
      </c>
      <c r="Q1084" s="186">
        <f t="shared" si="138"/>
        <v>0.4925173682059665</v>
      </c>
      <c r="R1084" s="156">
        <v>248559</v>
      </c>
      <c r="S1084" s="156">
        <v>287437</v>
      </c>
      <c r="T1084" s="1">
        <v>288680</v>
      </c>
      <c r="U1084" s="1"/>
      <c r="V1084" s="1"/>
      <c r="W1084" s="32">
        <f t="shared" si="136"/>
        <v>288680</v>
      </c>
    </row>
    <row r="1085" spans="1:23" ht="24">
      <c r="A1085" s="25"/>
      <c r="B1085" s="25"/>
      <c r="C1085" s="26">
        <v>4117</v>
      </c>
      <c r="D1085" s="27" t="s">
        <v>31</v>
      </c>
      <c r="E1085" s="11"/>
      <c r="F1085" s="11"/>
      <c r="G1085" s="1"/>
      <c r="H1085" s="1"/>
      <c r="I1085" s="1"/>
      <c r="J1085" s="1"/>
      <c r="K1085" s="1">
        <v>11108</v>
      </c>
      <c r="L1085" s="1">
        <v>11308</v>
      </c>
      <c r="M1085" s="1">
        <v>925</v>
      </c>
      <c r="N1085" s="1">
        <v>925</v>
      </c>
      <c r="O1085" s="1">
        <v>16940</v>
      </c>
      <c r="P1085" s="1">
        <v>746</v>
      </c>
      <c r="Q1085" s="186">
        <f>P1085/O1085</f>
        <v>0.044037780401416766</v>
      </c>
      <c r="R1085" s="156">
        <v>16940</v>
      </c>
      <c r="S1085" s="156">
        <v>1249</v>
      </c>
      <c r="T1085" s="1">
        <v>16471</v>
      </c>
      <c r="U1085" s="1"/>
      <c r="V1085" s="1"/>
      <c r="W1085" s="32">
        <f>T1085+U1085-V1085</f>
        <v>16471</v>
      </c>
    </row>
    <row r="1086" spans="1:23" ht="24">
      <c r="A1086" s="25"/>
      <c r="B1086" s="25"/>
      <c r="C1086" s="26">
        <v>4118</v>
      </c>
      <c r="D1086" s="27" t="s">
        <v>31</v>
      </c>
      <c r="E1086" s="11"/>
      <c r="F1086" s="11"/>
      <c r="G1086" s="1"/>
      <c r="H1086" s="1"/>
      <c r="I1086" s="1"/>
      <c r="J1086" s="1"/>
      <c r="K1086" s="1">
        <v>11108</v>
      </c>
      <c r="L1086" s="1">
        <v>11308</v>
      </c>
      <c r="M1086" s="1">
        <v>925</v>
      </c>
      <c r="N1086" s="1">
        <v>925</v>
      </c>
      <c r="O1086" s="1">
        <v>16940</v>
      </c>
      <c r="P1086" s="1">
        <v>746</v>
      </c>
      <c r="Q1086" s="186">
        <f t="shared" si="138"/>
        <v>0.044037780401416766</v>
      </c>
      <c r="R1086" s="156">
        <v>16940</v>
      </c>
      <c r="S1086" s="156">
        <v>1249</v>
      </c>
      <c r="T1086" s="1">
        <v>0</v>
      </c>
      <c r="U1086" s="1"/>
      <c r="V1086" s="1"/>
      <c r="W1086" s="32">
        <f t="shared" si="136"/>
        <v>0</v>
      </c>
    </row>
    <row r="1087" spans="1:23" ht="12">
      <c r="A1087" s="25"/>
      <c r="B1087" s="25"/>
      <c r="C1087" s="26">
        <v>4120</v>
      </c>
      <c r="D1087" s="27" t="s">
        <v>32</v>
      </c>
      <c r="E1087" s="11">
        <v>28069</v>
      </c>
      <c r="F1087" s="11">
        <v>29339</v>
      </c>
      <c r="G1087" s="1">
        <v>37457</v>
      </c>
      <c r="H1087" s="1">
        <v>37457</v>
      </c>
      <c r="I1087" s="1"/>
      <c r="J1087" s="1">
        <v>35530</v>
      </c>
      <c r="K1087" s="1">
        <v>37007</v>
      </c>
      <c r="L1087" s="1">
        <v>37007</v>
      </c>
      <c r="M1087" s="1">
        <v>40370</v>
      </c>
      <c r="N1087" s="1">
        <v>39700</v>
      </c>
      <c r="O1087" s="1">
        <v>39700</v>
      </c>
      <c r="P1087" s="1">
        <v>18844</v>
      </c>
      <c r="Q1087" s="186">
        <f t="shared" si="138"/>
        <v>0.47465994962216623</v>
      </c>
      <c r="R1087" s="156">
        <v>40325</v>
      </c>
      <c r="S1087" s="156">
        <v>46638</v>
      </c>
      <c r="T1087" s="1">
        <v>46800</v>
      </c>
      <c r="U1087" s="1"/>
      <c r="V1087" s="1"/>
      <c r="W1087" s="32">
        <f t="shared" si="136"/>
        <v>46800</v>
      </c>
    </row>
    <row r="1088" spans="1:23" ht="12">
      <c r="A1088" s="25"/>
      <c r="B1088" s="25"/>
      <c r="C1088" s="26">
        <v>4127</v>
      </c>
      <c r="D1088" s="27" t="s">
        <v>32</v>
      </c>
      <c r="E1088" s="11">
        <v>28069</v>
      </c>
      <c r="F1088" s="11">
        <v>29339</v>
      </c>
      <c r="G1088" s="1">
        <v>37457</v>
      </c>
      <c r="H1088" s="1">
        <v>37457</v>
      </c>
      <c r="I1088" s="1"/>
      <c r="J1088" s="1"/>
      <c r="K1088" s="1">
        <v>1836</v>
      </c>
      <c r="L1088" s="1">
        <v>1836</v>
      </c>
      <c r="M1088" s="1">
        <v>155</v>
      </c>
      <c r="N1088" s="1">
        <v>155</v>
      </c>
      <c r="O1088" s="1">
        <v>2754</v>
      </c>
      <c r="P1088" s="1">
        <v>121</v>
      </c>
      <c r="Q1088" s="186">
        <f>P1088/O1088</f>
        <v>0.0439360929557008</v>
      </c>
      <c r="R1088" s="156">
        <v>2754</v>
      </c>
      <c r="S1088" s="156">
        <v>203</v>
      </c>
      <c r="T1088" s="1">
        <v>2670</v>
      </c>
      <c r="U1088" s="1"/>
      <c r="V1088" s="1"/>
      <c r="W1088" s="32">
        <f>T1088+U1088-V1088</f>
        <v>2670</v>
      </c>
    </row>
    <row r="1089" spans="1:23" ht="12">
      <c r="A1089" s="25"/>
      <c r="B1089" s="25"/>
      <c r="C1089" s="26">
        <v>4128</v>
      </c>
      <c r="D1089" s="27" t="s">
        <v>32</v>
      </c>
      <c r="E1089" s="11">
        <v>28069</v>
      </c>
      <c r="F1089" s="11">
        <v>29339</v>
      </c>
      <c r="G1089" s="1">
        <v>37457</v>
      </c>
      <c r="H1089" s="1">
        <v>37457</v>
      </c>
      <c r="I1089" s="1"/>
      <c r="J1089" s="1"/>
      <c r="K1089" s="1">
        <v>1836</v>
      </c>
      <c r="L1089" s="1">
        <v>1836</v>
      </c>
      <c r="M1089" s="1">
        <v>155</v>
      </c>
      <c r="N1089" s="1">
        <v>155</v>
      </c>
      <c r="O1089" s="1">
        <v>2754</v>
      </c>
      <c r="P1089" s="1">
        <v>121</v>
      </c>
      <c r="Q1089" s="186">
        <f t="shared" si="138"/>
        <v>0.0439360929557008</v>
      </c>
      <c r="R1089" s="156">
        <v>2754</v>
      </c>
      <c r="S1089" s="156">
        <v>203</v>
      </c>
      <c r="T1089" s="1">
        <v>0</v>
      </c>
      <c r="U1089" s="1"/>
      <c r="V1089" s="1"/>
      <c r="W1089" s="32">
        <f t="shared" si="136"/>
        <v>0</v>
      </c>
    </row>
    <row r="1090" spans="1:23" ht="12">
      <c r="A1090" s="25"/>
      <c r="B1090" s="25"/>
      <c r="C1090" s="26">
        <v>4140</v>
      </c>
      <c r="D1090" s="27" t="s">
        <v>128</v>
      </c>
      <c r="E1090" s="11"/>
      <c r="F1090" s="11"/>
      <c r="G1090" s="1">
        <v>16000</v>
      </c>
      <c r="H1090" s="1">
        <v>16000</v>
      </c>
      <c r="I1090" s="1"/>
      <c r="J1090" s="1">
        <v>8000</v>
      </c>
      <c r="K1090" s="1">
        <v>13000</v>
      </c>
      <c r="L1090" s="1">
        <v>11805</v>
      </c>
      <c r="M1090" s="1">
        <v>15000</v>
      </c>
      <c r="N1090" s="1">
        <v>15000</v>
      </c>
      <c r="O1090" s="1">
        <v>15000</v>
      </c>
      <c r="P1090" s="1">
        <v>5728</v>
      </c>
      <c r="Q1090" s="186">
        <f t="shared" si="138"/>
        <v>0.3818666666666667</v>
      </c>
      <c r="R1090" s="156">
        <v>9850</v>
      </c>
      <c r="S1090" s="156">
        <v>6000</v>
      </c>
      <c r="T1090" s="1">
        <v>6000</v>
      </c>
      <c r="U1090" s="1"/>
      <c r="V1090" s="1"/>
      <c r="W1090" s="32">
        <f t="shared" si="136"/>
        <v>6000</v>
      </c>
    </row>
    <row r="1091" spans="1:23" ht="12">
      <c r="A1091" s="25"/>
      <c r="B1091" s="25"/>
      <c r="C1091" s="26">
        <v>4210</v>
      </c>
      <c r="D1091" s="27" t="s">
        <v>34</v>
      </c>
      <c r="E1091" s="11">
        <v>34100</v>
      </c>
      <c r="F1091" s="11">
        <v>34100</v>
      </c>
      <c r="G1091" s="1">
        <v>34900</v>
      </c>
      <c r="H1091" s="1">
        <v>34900</v>
      </c>
      <c r="I1091" s="1"/>
      <c r="J1091" s="1">
        <v>34900</v>
      </c>
      <c r="K1091" s="1">
        <v>34900</v>
      </c>
      <c r="L1091" s="1">
        <v>34900</v>
      </c>
      <c r="M1091" s="1">
        <v>32000</v>
      </c>
      <c r="N1091" s="1">
        <v>32000</v>
      </c>
      <c r="O1091" s="1">
        <v>32000</v>
      </c>
      <c r="P1091" s="1">
        <v>14780</v>
      </c>
      <c r="Q1091" s="186">
        <f t="shared" si="138"/>
        <v>0.461875</v>
      </c>
      <c r="R1091" s="156">
        <v>32000</v>
      </c>
      <c r="S1091" s="156">
        <v>38300</v>
      </c>
      <c r="T1091" s="1">
        <v>35000</v>
      </c>
      <c r="U1091" s="1">
        <v>1375</v>
      </c>
      <c r="V1091" s="1"/>
      <c r="W1091" s="32">
        <f t="shared" si="136"/>
        <v>36375</v>
      </c>
    </row>
    <row r="1092" spans="1:23" ht="12" hidden="1">
      <c r="A1092" s="25"/>
      <c r="B1092" s="25"/>
      <c r="C1092" s="26">
        <v>4218</v>
      </c>
      <c r="D1092" s="27" t="s">
        <v>34</v>
      </c>
      <c r="E1092" s="11">
        <v>34100</v>
      </c>
      <c r="F1092" s="11">
        <v>34100</v>
      </c>
      <c r="G1092" s="1">
        <v>34900</v>
      </c>
      <c r="H1092" s="1">
        <v>34900</v>
      </c>
      <c r="I1092" s="1"/>
      <c r="J1092" s="1"/>
      <c r="K1092" s="1">
        <v>20200</v>
      </c>
      <c r="L1092" s="1">
        <v>0</v>
      </c>
      <c r="M1092" s="1">
        <v>0</v>
      </c>
      <c r="N1092" s="1">
        <v>0</v>
      </c>
      <c r="O1092" s="1">
        <v>0</v>
      </c>
      <c r="P1092" s="1">
        <f>O1092</f>
        <v>0</v>
      </c>
      <c r="Q1092" s="186"/>
      <c r="R1092" s="156">
        <v>0</v>
      </c>
      <c r="S1092" s="156">
        <v>0</v>
      </c>
      <c r="T1092" s="1">
        <v>0</v>
      </c>
      <c r="U1092" s="1">
        <v>0</v>
      </c>
      <c r="V1092" s="1">
        <v>0</v>
      </c>
      <c r="W1092" s="32">
        <f t="shared" si="136"/>
        <v>0</v>
      </c>
    </row>
    <row r="1093" spans="1:23" ht="12">
      <c r="A1093" s="25"/>
      <c r="B1093" s="25"/>
      <c r="C1093" s="26">
        <v>4260</v>
      </c>
      <c r="D1093" s="27" t="s">
        <v>35</v>
      </c>
      <c r="E1093" s="11">
        <v>43500</v>
      </c>
      <c r="F1093" s="11">
        <v>43500</v>
      </c>
      <c r="G1093" s="1">
        <v>43900</v>
      </c>
      <c r="H1093" s="1">
        <v>43900</v>
      </c>
      <c r="I1093" s="1"/>
      <c r="J1093" s="1">
        <v>43900</v>
      </c>
      <c r="K1093" s="1">
        <v>43900</v>
      </c>
      <c r="L1093" s="1">
        <v>43900</v>
      </c>
      <c r="M1093" s="1">
        <v>44000</v>
      </c>
      <c r="N1093" s="1">
        <v>54000</v>
      </c>
      <c r="O1093" s="1">
        <v>54000</v>
      </c>
      <c r="P1093" s="1">
        <v>32631</v>
      </c>
      <c r="Q1093" s="186">
        <f t="shared" si="138"/>
        <v>0.6042777777777778</v>
      </c>
      <c r="R1093" s="156">
        <v>62000</v>
      </c>
      <c r="S1093" s="156">
        <v>75000</v>
      </c>
      <c r="T1093" s="1">
        <v>74967</v>
      </c>
      <c r="U1093" s="1"/>
      <c r="V1093" s="1"/>
      <c r="W1093" s="32">
        <f t="shared" si="136"/>
        <v>74967</v>
      </c>
    </row>
    <row r="1094" spans="1:23" ht="12">
      <c r="A1094" s="25"/>
      <c r="B1094" s="25"/>
      <c r="C1094" s="26">
        <v>4270</v>
      </c>
      <c r="D1094" s="27" t="s">
        <v>36</v>
      </c>
      <c r="E1094" s="11">
        <v>2500</v>
      </c>
      <c r="F1094" s="11">
        <v>12500</v>
      </c>
      <c r="G1094" s="1">
        <v>2200</v>
      </c>
      <c r="H1094" s="1">
        <v>2200</v>
      </c>
      <c r="I1094" s="1"/>
      <c r="J1094" s="1">
        <v>2200</v>
      </c>
      <c r="K1094" s="1">
        <v>26150</v>
      </c>
      <c r="L1094" s="1">
        <v>24500</v>
      </c>
      <c r="M1094" s="1">
        <v>7500</v>
      </c>
      <c r="N1094" s="1">
        <v>7500</v>
      </c>
      <c r="O1094" s="1">
        <v>7500</v>
      </c>
      <c r="P1094" s="1">
        <v>895</v>
      </c>
      <c r="Q1094" s="186">
        <f t="shared" si="138"/>
        <v>0.11933333333333333</v>
      </c>
      <c r="R1094" s="156">
        <v>7500</v>
      </c>
      <c r="S1094" s="156">
        <v>10500</v>
      </c>
      <c r="T1094" s="1">
        <v>7500</v>
      </c>
      <c r="U1094" s="1"/>
      <c r="V1094" s="1"/>
      <c r="W1094" s="32">
        <f t="shared" si="136"/>
        <v>7500</v>
      </c>
    </row>
    <row r="1095" spans="1:23" ht="12">
      <c r="A1095" s="25"/>
      <c r="B1095" s="25"/>
      <c r="C1095" s="26">
        <v>4280</v>
      </c>
      <c r="D1095" s="27" t="s">
        <v>296</v>
      </c>
      <c r="E1095" s="11">
        <v>1400</v>
      </c>
      <c r="F1095" s="11">
        <v>1400</v>
      </c>
      <c r="G1095" s="1">
        <v>1300</v>
      </c>
      <c r="H1095" s="1">
        <v>1300</v>
      </c>
      <c r="I1095" s="1"/>
      <c r="J1095" s="1">
        <v>1300</v>
      </c>
      <c r="K1095" s="1">
        <v>1300</v>
      </c>
      <c r="L1095" s="1">
        <v>1000</v>
      </c>
      <c r="M1095" s="1">
        <v>1200</v>
      </c>
      <c r="N1095" s="1">
        <v>1200</v>
      </c>
      <c r="O1095" s="1">
        <v>1200</v>
      </c>
      <c r="P1095" s="1">
        <v>532</v>
      </c>
      <c r="Q1095" s="186">
        <f t="shared" si="138"/>
        <v>0.44333333333333336</v>
      </c>
      <c r="R1095" s="156">
        <v>1200</v>
      </c>
      <c r="S1095" s="156">
        <v>1200</v>
      </c>
      <c r="T1095" s="1">
        <v>1200</v>
      </c>
      <c r="U1095" s="1"/>
      <c r="V1095" s="1"/>
      <c r="W1095" s="32">
        <f t="shared" si="136"/>
        <v>1200</v>
      </c>
    </row>
    <row r="1096" spans="1:23" ht="12">
      <c r="A1096" s="25"/>
      <c r="B1096" s="25"/>
      <c r="C1096" s="26">
        <v>4300</v>
      </c>
      <c r="D1096" s="27" t="s">
        <v>17</v>
      </c>
      <c r="E1096" s="11">
        <v>15000</v>
      </c>
      <c r="F1096" s="11">
        <v>12425</v>
      </c>
      <c r="G1096" s="1">
        <v>15000</v>
      </c>
      <c r="H1096" s="1">
        <v>15000</v>
      </c>
      <c r="I1096" s="1"/>
      <c r="J1096" s="1">
        <v>15000</v>
      </c>
      <c r="K1096" s="1">
        <v>10000</v>
      </c>
      <c r="L1096" s="1">
        <v>9500</v>
      </c>
      <c r="M1096" s="1">
        <v>11000</v>
      </c>
      <c r="N1096" s="1">
        <v>11000</v>
      </c>
      <c r="O1096" s="1">
        <v>11000</v>
      </c>
      <c r="P1096" s="1">
        <v>4458</v>
      </c>
      <c r="Q1096" s="186">
        <f t="shared" si="138"/>
        <v>0.4052727272727273</v>
      </c>
      <c r="R1096" s="156">
        <v>11000</v>
      </c>
      <c r="S1096" s="156">
        <v>17200</v>
      </c>
      <c r="T1096" s="1">
        <v>11000</v>
      </c>
      <c r="U1096" s="1"/>
      <c r="V1096" s="1"/>
      <c r="W1096" s="32">
        <f t="shared" si="136"/>
        <v>11000</v>
      </c>
    </row>
    <row r="1097" spans="1:23" ht="12" hidden="1">
      <c r="A1097" s="25"/>
      <c r="B1097" s="25"/>
      <c r="C1097" s="26">
        <v>4308</v>
      </c>
      <c r="D1097" s="27" t="s">
        <v>17</v>
      </c>
      <c r="E1097" s="11"/>
      <c r="F1097" s="11"/>
      <c r="G1097" s="1"/>
      <c r="H1097" s="1"/>
      <c r="I1097" s="1"/>
      <c r="J1097" s="1">
        <v>0</v>
      </c>
      <c r="K1097" s="1">
        <v>0</v>
      </c>
      <c r="L1097" s="1">
        <v>0</v>
      </c>
      <c r="M1097" s="1">
        <v>9820</v>
      </c>
      <c r="N1097" s="1">
        <v>9820</v>
      </c>
      <c r="O1097" s="1">
        <v>9820</v>
      </c>
      <c r="P1097" s="1">
        <v>9813</v>
      </c>
      <c r="Q1097" s="186">
        <f t="shared" si="138"/>
        <v>0.9992871690427698</v>
      </c>
      <c r="R1097" s="156">
        <v>9813</v>
      </c>
      <c r="S1097" s="156">
        <v>0</v>
      </c>
      <c r="T1097" s="1">
        <v>0</v>
      </c>
      <c r="U1097" s="1"/>
      <c r="V1097" s="1"/>
      <c r="W1097" s="32">
        <f t="shared" si="136"/>
        <v>0</v>
      </c>
    </row>
    <row r="1098" spans="1:23" ht="36">
      <c r="A1098" s="25"/>
      <c r="B1098" s="25"/>
      <c r="C1098" s="26">
        <v>4360</v>
      </c>
      <c r="D1098" s="27" t="s">
        <v>130</v>
      </c>
      <c r="E1098" s="85">
        <v>1400</v>
      </c>
      <c r="F1098" s="85">
        <v>1400</v>
      </c>
      <c r="G1098" s="1">
        <v>1400</v>
      </c>
      <c r="H1098" s="1">
        <v>1400</v>
      </c>
      <c r="I1098" s="1"/>
      <c r="J1098" s="1">
        <v>1400</v>
      </c>
      <c r="K1098" s="1">
        <v>1618</v>
      </c>
      <c r="L1098" s="1">
        <v>1650</v>
      </c>
      <c r="M1098" s="1">
        <v>1700</v>
      </c>
      <c r="N1098" s="1">
        <v>1700</v>
      </c>
      <c r="O1098" s="1">
        <v>1700</v>
      </c>
      <c r="P1098" s="1">
        <v>717</v>
      </c>
      <c r="Q1098" s="186">
        <f t="shared" si="138"/>
        <v>0.42176470588235293</v>
      </c>
      <c r="R1098" s="156">
        <v>1900</v>
      </c>
      <c r="S1098" s="156">
        <v>1900</v>
      </c>
      <c r="T1098" s="1">
        <v>1900</v>
      </c>
      <c r="U1098" s="1"/>
      <c r="V1098" s="1"/>
      <c r="W1098" s="32">
        <f t="shared" si="136"/>
        <v>1900</v>
      </c>
    </row>
    <row r="1099" spans="1:23" ht="36">
      <c r="A1099" s="25"/>
      <c r="B1099" s="25"/>
      <c r="C1099" s="26">
        <v>4370</v>
      </c>
      <c r="D1099" s="27" t="s">
        <v>135</v>
      </c>
      <c r="E1099" s="85">
        <v>4000</v>
      </c>
      <c r="F1099" s="85">
        <v>7017</v>
      </c>
      <c r="G1099" s="1">
        <v>5200</v>
      </c>
      <c r="H1099" s="1">
        <v>5200</v>
      </c>
      <c r="I1099" s="1"/>
      <c r="J1099" s="1">
        <v>5200</v>
      </c>
      <c r="K1099" s="1">
        <v>8357</v>
      </c>
      <c r="L1099" s="1">
        <v>8700</v>
      </c>
      <c r="M1099" s="1">
        <v>8700</v>
      </c>
      <c r="N1099" s="1">
        <v>8700</v>
      </c>
      <c r="O1099" s="1">
        <v>7064</v>
      </c>
      <c r="P1099" s="1">
        <v>1857</v>
      </c>
      <c r="Q1099" s="186">
        <f t="shared" si="138"/>
        <v>0.26288221970554926</v>
      </c>
      <c r="R1099" s="156">
        <v>4500</v>
      </c>
      <c r="S1099" s="156">
        <v>4500</v>
      </c>
      <c r="T1099" s="1">
        <v>4500</v>
      </c>
      <c r="U1099" s="1"/>
      <c r="V1099" s="1">
        <v>2000</v>
      </c>
      <c r="W1099" s="32">
        <f aca="true" t="shared" si="144" ref="W1099:W1181">T1099+U1099-V1099</f>
        <v>2500</v>
      </c>
    </row>
    <row r="1100" spans="1:23" ht="36">
      <c r="A1100" s="25"/>
      <c r="B1100" s="25"/>
      <c r="C1100" s="26">
        <v>4400</v>
      </c>
      <c r="D1100" s="27" t="s">
        <v>72</v>
      </c>
      <c r="E1100" s="85">
        <v>45000</v>
      </c>
      <c r="F1100" s="85">
        <v>45000</v>
      </c>
      <c r="G1100" s="1">
        <v>46000</v>
      </c>
      <c r="H1100" s="1">
        <v>46000</v>
      </c>
      <c r="I1100" s="1"/>
      <c r="J1100" s="1">
        <v>46000</v>
      </c>
      <c r="K1100" s="1">
        <v>44886</v>
      </c>
      <c r="L1100" s="1">
        <v>44946</v>
      </c>
      <c r="M1100" s="1">
        <v>46700</v>
      </c>
      <c r="N1100" s="1">
        <v>46700</v>
      </c>
      <c r="O1100" s="1">
        <v>46700</v>
      </c>
      <c r="P1100" s="1">
        <v>19752</v>
      </c>
      <c r="Q1100" s="186">
        <f t="shared" si="138"/>
        <v>0.42295503211991436</v>
      </c>
      <c r="R1100" s="156">
        <v>46700</v>
      </c>
      <c r="S1100" s="156">
        <v>115000</v>
      </c>
      <c r="T1100" s="1">
        <v>84900</v>
      </c>
      <c r="U1100" s="1"/>
      <c r="V1100" s="1"/>
      <c r="W1100" s="32">
        <f t="shared" si="144"/>
        <v>84900</v>
      </c>
    </row>
    <row r="1101" spans="1:23" ht="12">
      <c r="A1101" s="25"/>
      <c r="B1101" s="25"/>
      <c r="C1101" s="26">
        <v>4410</v>
      </c>
      <c r="D1101" s="27" t="s">
        <v>42</v>
      </c>
      <c r="E1101" s="11">
        <v>2800</v>
      </c>
      <c r="F1101" s="11">
        <v>2800</v>
      </c>
      <c r="G1101" s="1">
        <v>2600</v>
      </c>
      <c r="H1101" s="1">
        <v>2600</v>
      </c>
      <c r="I1101" s="1"/>
      <c r="J1101" s="1">
        <v>2600</v>
      </c>
      <c r="K1101" s="1">
        <v>535</v>
      </c>
      <c r="L1101" s="1">
        <v>50</v>
      </c>
      <c r="M1101" s="1">
        <v>500</v>
      </c>
      <c r="N1101" s="1">
        <v>500</v>
      </c>
      <c r="O1101" s="1">
        <v>500</v>
      </c>
      <c r="P1101" s="1">
        <v>38</v>
      </c>
      <c r="Q1101" s="186">
        <f t="shared" si="138"/>
        <v>0.076</v>
      </c>
      <c r="R1101" s="156">
        <v>500</v>
      </c>
      <c r="S1101" s="156">
        <v>500</v>
      </c>
      <c r="T1101" s="1">
        <v>500</v>
      </c>
      <c r="U1101" s="1"/>
      <c r="V1101" s="1"/>
      <c r="W1101" s="32">
        <f t="shared" si="144"/>
        <v>500</v>
      </c>
    </row>
    <row r="1102" spans="1:23" ht="12">
      <c r="A1102" s="25"/>
      <c r="B1102" s="25"/>
      <c r="C1102" s="26">
        <v>4430</v>
      </c>
      <c r="D1102" s="27" t="s">
        <v>43</v>
      </c>
      <c r="E1102" s="11">
        <v>6300</v>
      </c>
      <c r="F1102" s="11">
        <v>6300</v>
      </c>
      <c r="G1102" s="1">
        <v>6500</v>
      </c>
      <c r="H1102" s="1">
        <v>6500</v>
      </c>
      <c r="I1102" s="1"/>
      <c r="J1102" s="1">
        <v>6500</v>
      </c>
      <c r="K1102" s="1">
        <v>4456</v>
      </c>
      <c r="L1102" s="1">
        <v>4456</v>
      </c>
      <c r="M1102" s="1">
        <v>6000</v>
      </c>
      <c r="N1102" s="1">
        <v>6000</v>
      </c>
      <c r="O1102" s="1">
        <v>7636</v>
      </c>
      <c r="P1102" s="1">
        <v>5940</v>
      </c>
      <c r="Q1102" s="186">
        <f t="shared" si="138"/>
        <v>0.7778941854374017</v>
      </c>
      <c r="R1102" s="156">
        <v>7636</v>
      </c>
      <c r="S1102" s="156">
        <v>7700</v>
      </c>
      <c r="T1102" s="1">
        <v>7700</v>
      </c>
      <c r="U1102" s="1"/>
      <c r="V1102" s="1"/>
      <c r="W1102" s="32">
        <f t="shared" si="144"/>
        <v>7700</v>
      </c>
    </row>
    <row r="1103" spans="1:23" ht="24">
      <c r="A1103" s="25"/>
      <c r="B1103" s="25"/>
      <c r="C1103" s="26">
        <v>4440</v>
      </c>
      <c r="D1103" s="27" t="s">
        <v>44</v>
      </c>
      <c r="E1103" s="11">
        <v>43000</v>
      </c>
      <c r="F1103" s="11">
        <v>43046</v>
      </c>
      <c r="G1103" s="1">
        <v>44000</v>
      </c>
      <c r="H1103" s="1">
        <v>44000</v>
      </c>
      <c r="I1103" s="1"/>
      <c r="J1103" s="1">
        <v>46000</v>
      </c>
      <c r="K1103" s="1">
        <v>54888</v>
      </c>
      <c r="L1103" s="1">
        <v>60000</v>
      </c>
      <c r="M1103" s="1">
        <v>53075</v>
      </c>
      <c r="N1103" s="1">
        <v>54050</v>
      </c>
      <c r="O1103" s="1">
        <v>54050</v>
      </c>
      <c r="P1103" s="1">
        <v>46200</v>
      </c>
      <c r="Q1103" s="186">
        <f aca="true" t="shared" si="145" ref="Q1103:Q1181">P1103/O1103</f>
        <v>0.8547641073080481</v>
      </c>
      <c r="R1103" s="156">
        <v>68050</v>
      </c>
      <c r="S1103" s="156">
        <v>68050</v>
      </c>
      <c r="T1103" s="1">
        <v>68240</v>
      </c>
      <c r="U1103" s="1"/>
      <c r="V1103" s="1"/>
      <c r="W1103" s="32">
        <f t="shared" si="144"/>
        <v>68240</v>
      </c>
    </row>
    <row r="1104" spans="1:23" ht="24">
      <c r="A1104" s="25"/>
      <c r="B1104" s="25"/>
      <c r="C1104" s="26">
        <v>4447</v>
      </c>
      <c r="D1104" s="27" t="s">
        <v>44</v>
      </c>
      <c r="E1104" s="11">
        <v>43000</v>
      </c>
      <c r="F1104" s="11">
        <v>43046</v>
      </c>
      <c r="G1104" s="1">
        <v>44000</v>
      </c>
      <c r="H1104" s="1">
        <v>44000</v>
      </c>
      <c r="I1104" s="1"/>
      <c r="J1104" s="1">
        <v>46000</v>
      </c>
      <c r="K1104" s="1">
        <v>54888</v>
      </c>
      <c r="L1104" s="1">
        <v>60000</v>
      </c>
      <c r="M1104" s="1">
        <v>53075</v>
      </c>
      <c r="N1104" s="1">
        <v>0</v>
      </c>
      <c r="O1104" s="1">
        <v>4001</v>
      </c>
      <c r="P1104" s="1"/>
      <c r="Q1104" s="186">
        <f t="shared" si="145"/>
        <v>0</v>
      </c>
      <c r="R1104" s="156">
        <v>4001</v>
      </c>
      <c r="S1104" s="156">
        <v>0</v>
      </c>
      <c r="T1104" s="1">
        <v>4001</v>
      </c>
      <c r="U1104" s="1"/>
      <c r="V1104" s="1">
        <v>0</v>
      </c>
      <c r="W1104" s="32">
        <f t="shared" si="144"/>
        <v>4001</v>
      </c>
    </row>
    <row r="1105" spans="1:23" ht="12">
      <c r="A1105" s="25"/>
      <c r="B1105" s="25"/>
      <c r="C1105" s="26">
        <v>4480</v>
      </c>
      <c r="D1105" s="27" t="s">
        <v>61</v>
      </c>
      <c r="E1105" s="11">
        <v>4100</v>
      </c>
      <c r="F1105" s="11">
        <v>3930</v>
      </c>
      <c r="G1105" s="1">
        <v>4000</v>
      </c>
      <c r="H1105" s="1">
        <v>4000</v>
      </c>
      <c r="I1105" s="1"/>
      <c r="J1105" s="1">
        <v>4000</v>
      </c>
      <c r="K1105" s="1">
        <v>4018</v>
      </c>
      <c r="L1105" s="1">
        <v>4018</v>
      </c>
      <c r="M1105" s="1">
        <v>4500</v>
      </c>
      <c r="N1105" s="1">
        <v>4500</v>
      </c>
      <c r="O1105" s="1">
        <v>4500</v>
      </c>
      <c r="P1105" s="1">
        <v>2164</v>
      </c>
      <c r="Q1105" s="186">
        <f t="shared" si="145"/>
        <v>0.48088888888888887</v>
      </c>
      <c r="R1105" s="156">
        <v>4500</v>
      </c>
      <c r="S1105" s="156">
        <v>4500</v>
      </c>
      <c r="T1105" s="1">
        <v>4500</v>
      </c>
      <c r="U1105" s="1">
        <v>125</v>
      </c>
      <c r="V1105" s="1"/>
      <c r="W1105" s="32">
        <f t="shared" si="144"/>
        <v>4625</v>
      </c>
    </row>
    <row r="1106" spans="1:26" s="165" customFormat="1" ht="12" hidden="1">
      <c r="A1106" s="164"/>
      <c r="B1106" s="164"/>
      <c r="C1106" s="160">
        <v>4510</v>
      </c>
      <c r="D1106" s="161" t="s">
        <v>334</v>
      </c>
      <c r="E1106" s="162"/>
      <c r="F1106" s="162"/>
      <c r="G1106" s="163"/>
      <c r="H1106" s="163"/>
      <c r="I1106" s="163"/>
      <c r="J1106" s="163"/>
      <c r="K1106" s="163"/>
      <c r="L1106" s="163"/>
      <c r="M1106" s="163"/>
      <c r="N1106" s="163"/>
      <c r="O1106" s="163">
        <v>50</v>
      </c>
      <c r="P1106" s="163"/>
      <c r="Q1106" s="189"/>
      <c r="R1106" s="156">
        <v>50</v>
      </c>
      <c r="S1106" s="156">
        <v>0</v>
      </c>
      <c r="T1106" s="1">
        <v>0</v>
      </c>
      <c r="U1106" s="1">
        <v>0</v>
      </c>
      <c r="V1106" s="1">
        <v>0</v>
      </c>
      <c r="W1106" s="32">
        <f t="shared" si="144"/>
        <v>0</v>
      </c>
      <c r="Y1106" s="233"/>
      <c r="Z1106" s="233"/>
    </row>
    <row r="1107" spans="1:23" ht="12">
      <c r="A1107" s="25"/>
      <c r="B1107" s="25"/>
      <c r="C1107" s="26">
        <v>4520</v>
      </c>
      <c r="D1107" s="27" t="s">
        <v>220</v>
      </c>
      <c r="E1107" s="11">
        <v>50</v>
      </c>
      <c r="F1107" s="11">
        <v>33</v>
      </c>
      <c r="G1107" s="1">
        <v>50</v>
      </c>
      <c r="H1107" s="1">
        <v>50</v>
      </c>
      <c r="I1107" s="1"/>
      <c r="J1107" s="1">
        <v>50</v>
      </c>
      <c r="K1107" s="1">
        <v>33</v>
      </c>
      <c r="L1107" s="1">
        <v>33</v>
      </c>
      <c r="M1107" s="1">
        <v>50</v>
      </c>
      <c r="N1107" s="1">
        <v>60</v>
      </c>
      <c r="O1107" s="1">
        <v>60</v>
      </c>
      <c r="P1107" s="1">
        <v>32</v>
      </c>
      <c r="Q1107" s="186">
        <f t="shared" si="145"/>
        <v>0.5333333333333333</v>
      </c>
      <c r="R1107" s="156">
        <v>33</v>
      </c>
      <c r="S1107" s="156">
        <v>33</v>
      </c>
      <c r="T1107" s="1">
        <v>33</v>
      </c>
      <c r="U1107" s="1"/>
      <c r="V1107" s="1"/>
      <c r="W1107" s="32">
        <f t="shared" si="144"/>
        <v>33</v>
      </c>
    </row>
    <row r="1108" spans="1:23" ht="36">
      <c r="A1108" s="25"/>
      <c r="B1108" s="25"/>
      <c r="C1108" s="26">
        <v>4707</v>
      </c>
      <c r="D1108" s="27" t="s">
        <v>221</v>
      </c>
      <c r="E1108" s="11"/>
      <c r="F1108" s="11">
        <v>745</v>
      </c>
      <c r="G1108" s="1">
        <v>1000</v>
      </c>
      <c r="H1108" s="1">
        <v>1000</v>
      </c>
      <c r="I1108" s="1"/>
      <c r="J1108" s="1">
        <v>1000</v>
      </c>
      <c r="K1108" s="1">
        <v>2847</v>
      </c>
      <c r="L1108" s="1">
        <v>1430</v>
      </c>
      <c r="M1108" s="1">
        <v>3000</v>
      </c>
      <c r="N1108" s="1">
        <v>3000</v>
      </c>
      <c r="O1108" s="1">
        <v>3000</v>
      </c>
      <c r="P1108" s="1">
        <v>1295</v>
      </c>
      <c r="Q1108" s="186">
        <f>P1108/O1108</f>
        <v>0.43166666666666664</v>
      </c>
      <c r="R1108" s="156">
        <v>3000</v>
      </c>
      <c r="S1108" s="156">
        <v>3000</v>
      </c>
      <c r="T1108" s="1">
        <v>24610</v>
      </c>
      <c r="U1108" s="1"/>
      <c r="V1108" s="1"/>
      <c r="W1108" s="32">
        <f>T1108+U1108-V1108</f>
        <v>24610</v>
      </c>
    </row>
    <row r="1109" spans="1:23" ht="36">
      <c r="A1109" s="25"/>
      <c r="B1109" s="25"/>
      <c r="C1109" s="26">
        <v>4700</v>
      </c>
      <c r="D1109" s="27" t="s">
        <v>221</v>
      </c>
      <c r="E1109" s="11"/>
      <c r="F1109" s="11">
        <v>745</v>
      </c>
      <c r="G1109" s="1">
        <v>1000</v>
      </c>
      <c r="H1109" s="1">
        <v>1000</v>
      </c>
      <c r="I1109" s="1"/>
      <c r="J1109" s="1">
        <v>1000</v>
      </c>
      <c r="K1109" s="1">
        <v>2847</v>
      </c>
      <c r="L1109" s="1">
        <v>1430</v>
      </c>
      <c r="M1109" s="1">
        <v>3000</v>
      </c>
      <c r="N1109" s="1">
        <v>3000</v>
      </c>
      <c r="O1109" s="1">
        <v>3000</v>
      </c>
      <c r="P1109" s="1">
        <v>1295</v>
      </c>
      <c r="Q1109" s="186">
        <f t="shared" si="145"/>
        <v>0.43166666666666664</v>
      </c>
      <c r="R1109" s="156">
        <v>3000</v>
      </c>
      <c r="S1109" s="156">
        <v>3000</v>
      </c>
      <c r="T1109" s="1">
        <v>3000</v>
      </c>
      <c r="U1109" s="1"/>
      <c r="V1109" s="1"/>
      <c r="W1109" s="32">
        <f t="shared" si="144"/>
        <v>3000</v>
      </c>
    </row>
    <row r="1110" spans="1:23" ht="36">
      <c r="A1110" s="25"/>
      <c r="B1110" s="25"/>
      <c r="C1110" s="26">
        <v>4740</v>
      </c>
      <c r="D1110" s="27" t="s">
        <v>73</v>
      </c>
      <c r="E1110" s="85">
        <v>1000</v>
      </c>
      <c r="F1110" s="85">
        <v>1000</v>
      </c>
      <c r="G1110" s="1">
        <v>600</v>
      </c>
      <c r="H1110" s="1">
        <v>600</v>
      </c>
      <c r="I1110" s="1"/>
      <c r="J1110" s="1">
        <v>600</v>
      </c>
      <c r="K1110" s="1">
        <v>600</v>
      </c>
      <c r="L1110" s="1">
        <v>600</v>
      </c>
      <c r="M1110" s="1">
        <v>600</v>
      </c>
      <c r="N1110" s="1">
        <v>600</v>
      </c>
      <c r="O1110" s="1">
        <v>600</v>
      </c>
      <c r="P1110" s="1"/>
      <c r="Q1110" s="186">
        <f t="shared" si="145"/>
        <v>0</v>
      </c>
      <c r="R1110" s="156">
        <v>600</v>
      </c>
      <c r="S1110" s="156">
        <v>600</v>
      </c>
      <c r="T1110" s="1">
        <v>600</v>
      </c>
      <c r="U1110" s="1"/>
      <c r="V1110" s="1"/>
      <c r="W1110" s="32">
        <f t="shared" si="144"/>
        <v>600</v>
      </c>
    </row>
    <row r="1111" spans="1:26" s="165" customFormat="1" ht="24" customHeight="1">
      <c r="A1111" s="164"/>
      <c r="B1111" s="164"/>
      <c r="C1111" s="26">
        <v>6050</v>
      </c>
      <c r="D1111" s="27" t="s">
        <v>193</v>
      </c>
      <c r="E1111" s="162">
        <v>820</v>
      </c>
      <c r="F1111" s="162">
        <v>1320</v>
      </c>
      <c r="G1111" s="159">
        <v>1850</v>
      </c>
      <c r="H1111" s="159">
        <v>1350</v>
      </c>
      <c r="I1111" s="159"/>
      <c r="J1111" s="159"/>
      <c r="K1111" s="159">
        <v>42440</v>
      </c>
      <c r="L1111" s="159">
        <v>0</v>
      </c>
      <c r="M1111" s="159">
        <v>0</v>
      </c>
      <c r="N1111" s="163">
        <v>0</v>
      </c>
      <c r="O1111" s="163">
        <v>0</v>
      </c>
      <c r="P1111" s="163">
        <f>O1111</f>
        <v>0</v>
      </c>
      <c r="Q1111" s="189"/>
      <c r="R1111" s="156">
        <v>0</v>
      </c>
      <c r="S1111" s="156">
        <v>11950</v>
      </c>
      <c r="T1111" s="1">
        <v>6500</v>
      </c>
      <c r="U1111" s="1">
        <v>4500</v>
      </c>
      <c r="V1111" s="1"/>
      <c r="W1111" s="32">
        <f t="shared" si="144"/>
        <v>11000</v>
      </c>
      <c r="Y1111" s="233"/>
      <c r="Z1111" s="233"/>
    </row>
    <row r="1112" spans="1:23" ht="12">
      <c r="A1112" s="33"/>
      <c r="B1112" s="33">
        <v>85334</v>
      </c>
      <c r="C1112" s="36"/>
      <c r="D1112" s="42" t="s">
        <v>222</v>
      </c>
      <c r="E1112" s="37">
        <f>SUM(E1113:E1113)</f>
        <v>5794</v>
      </c>
      <c r="F1112" s="37">
        <f>SUM(F1113:F1113)</f>
        <v>0</v>
      </c>
      <c r="G1112" s="37">
        <f>SUM(G1113:G1113)</f>
        <v>0</v>
      </c>
      <c r="H1112" s="32">
        <f>E1112+F1112-G1112</f>
        <v>5794</v>
      </c>
      <c r="I1112" s="32"/>
      <c r="J1112" s="32">
        <f aca="true" t="shared" si="146" ref="J1112:S1112">SUM(J1113)</f>
        <v>0</v>
      </c>
      <c r="K1112" s="32">
        <f t="shared" si="146"/>
        <v>6538</v>
      </c>
      <c r="L1112" s="32">
        <f t="shared" si="146"/>
        <v>0</v>
      </c>
      <c r="M1112" s="32">
        <f t="shared" si="146"/>
        <v>0</v>
      </c>
      <c r="N1112" s="32">
        <v>0</v>
      </c>
      <c r="O1112" s="32">
        <v>0</v>
      </c>
      <c r="P1112" s="32">
        <f t="shared" si="146"/>
        <v>0</v>
      </c>
      <c r="Q1112" s="186"/>
      <c r="R1112" s="171">
        <f t="shared" si="146"/>
        <v>0</v>
      </c>
      <c r="S1112" s="171">
        <f t="shared" si="146"/>
        <v>0</v>
      </c>
      <c r="T1112" s="32">
        <v>0</v>
      </c>
      <c r="U1112" s="32">
        <f>SUM(U1113)</f>
        <v>0</v>
      </c>
      <c r="V1112" s="32">
        <f>SUM(V1113)</f>
        <v>0</v>
      </c>
      <c r="W1112" s="32">
        <f t="shared" si="144"/>
        <v>0</v>
      </c>
    </row>
    <row r="1113" spans="1:23" ht="18" customHeight="1">
      <c r="A1113" s="25"/>
      <c r="B1113" s="25"/>
      <c r="C1113" s="26">
        <v>3110</v>
      </c>
      <c r="D1113" s="27" t="s">
        <v>179</v>
      </c>
      <c r="E1113" s="12">
        <v>5794</v>
      </c>
      <c r="F1113" s="12"/>
      <c r="G1113" s="12"/>
      <c r="H1113" s="32">
        <f>E1113+F1113-G1113</f>
        <v>5794</v>
      </c>
      <c r="I1113" s="32"/>
      <c r="J1113" s="12"/>
      <c r="K1113" s="12">
        <v>6538</v>
      </c>
      <c r="L1113" s="12"/>
      <c r="M1113" s="12"/>
      <c r="N1113" s="12">
        <v>0</v>
      </c>
      <c r="O1113" s="12">
        <v>0</v>
      </c>
      <c r="P1113" s="12"/>
      <c r="Q1113" s="186"/>
      <c r="R1113" s="155">
        <v>0</v>
      </c>
      <c r="S1113" s="155">
        <v>0</v>
      </c>
      <c r="T1113" s="12">
        <v>0</v>
      </c>
      <c r="U1113" s="12">
        <v>0</v>
      </c>
      <c r="V1113" s="12">
        <v>0</v>
      </c>
      <c r="W1113" s="32">
        <f t="shared" si="144"/>
        <v>0</v>
      </c>
    </row>
    <row r="1114" spans="1:23" ht="12">
      <c r="A1114" s="25"/>
      <c r="B1114" s="114">
        <v>85395</v>
      </c>
      <c r="C1114" s="115"/>
      <c r="D1114" s="116" t="s">
        <v>213</v>
      </c>
      <c r="E1114" s="117">
        <f>SUM(E1117:E1172)</f>
        <v>103200</v>
      </c>
      <c r="F1114" s="12"/>
      <c r="G1114" s="12"/>
      <c r="H1114" s="32"/>
      <c r="I1114" s="32"/>
      <c r="J1114" s="117">
        <f>SUM(J1115:J1172)</f>
        <v>435080</v>
      </c>
      <c r="K1114" s="117">
        <f>SUM(K1115:K1172)</f>
        <v>1038368</v>
      </c>
      <c r="L1114" s="117">
        <f>SUM(L1115:L1172)</f>
        <v>1039493</v>
      </c>
      <c r="M1114" s="117">
        <f>SUM(M1115:M1172)</f>
        <v>921227</v>
      </c>
      <c r="N1114" s="117">
        <v>1825236</v>
      </c>
      <c r="O1114" s="117">
        <v>3331543</v>
      </c>
      <c r="P1114" s="117">
        <f>SUM(P1115:P1174)</f>
        <v>1698928</v>
      </c>
      <c r="Q1114" s="186">
        <f t="shared" si="145"/>
        <v>0.5099522953778475</v>
      </c>
      <c r="R1114" s="117">
        <f>SUM(R1115:R1174)</f>
        <v>1970862</v>
      </c>
      <c r="S1114" s="117">
        <f>SUM(S1115:S1174)</f>
        <v>2700325</v>
      </c>
      <c r="T1114" s="117">
        <v>2870381</v>
      </c>
      <c r="U1114" s="117">
        <f>SUM(U1115:U1174)</f>
        <v>23355</v>
      </c>
      <c r="V1114" s="117">
        <f>SUM(V1115:V1174)</f>
        <v>3513</v>
      </c>
      <c r="W1114" s="32">
        <f t="shared" si="144"/>
        <v>2890223</v>
      </c>
    </row>
    <row r="1115" spans="1:23" ht="48" hidden="1">
      <c r="A1115" s="25"/>
      <c r="B1115" s="114"/>
      <c r="C1115" s="118">
        <v>2318</v>
      </c>
      <c r="D1115" s="119" t="s">
        <v>223</v>
      </c>
      <c r="J1115" s="117"/>
      <c r="K1115" s="120">
        <v>902</v>
      </c>
      <c r="L1115" s="120">
        <v>902</v>
      </c>
      <c r="M1115" s="120">
        <v>902</v>
      </c>
      <c r="N1115" s="120">
        <v>479482</v>
      </c>
      <c r="O1115" s="120">
        <v>1493</v>
      </c>
      <c r="P1115" s="120"/>
      <c r="Q1115" s="186">
        <f t="shared" si="145"/>
        <v>0</v>
      </c>
      <c r="R1115" s="120">
        <f>R1178</f>
        <v>1493</v>
      </c>
      <c r="S1115" s="120"/>
      <c r="T1115" s="120">
        <v>0</v>
      </c>
      <c r="U1115" s="120"/>
      <c r="V1115" s="120"/>
      <c r="W1115" s="32">
        <f t="shared" si="144"/>
        <v>0</v>
      </c>
    </row>
    <row r="1116" spans="1:23" ht="48" hidden="1">
      <c r="A1116" s="25"/>
      <c r="B1116" s="114"/>
      <c r="C1116" s="118">
        <v>2319</v>
      </c>
      <c r="D1116" s="119" t="s">
        <v>224</v>
      </c>
      <c r="J1116" s="117"/>
      <c r="K1116" s="120">
        <v>159</v>
      </c>
      <c r="L1116" s="120">
        <v>159</v>
      </c>
      <c r="M1116" s="120">
        <v>159</v>
      </c>
      <c r="N1116" s="120">
        <v>84615</v>
      </c>
      <c r="O1116" s="120">
        <v>264</v>
      </c>
      <c r="P1116" s="120"/>
      <c r="Q1116" s="186">
        <f t="shared" si="145"/>
        <v>0</v>
      </c>
      <c r="R1116" s="120">
        <f>R1179</f>
        <v>264</v>
      </c>
      <c r="S1116" s="120"/>
      <c r="T1116" s="120">
        <v>0</v>
      </c>
      <c r="U1116" s="120"/>
      <c r="V1116" s="120"/>
      <c r="W1116" s="32">
        <f t="shared" si="144"/>
        <v>0</v>
      </c>
    </row>
    <row r="1117" spans="1:23" ht="48" hidden="1">
      <c r="A1117" s="25"/>
      <c r="B1117" s="121"/>
      <c r="C1117" s="118">
        <v>2328</v>
      </c>
      <c r="D1117" s="119" t="s">
        <v>225</v>
      </c>
      <c r="J1117" s="67"/>
      <c r="K1117" s="65">
        <v>442936</v>
      </c>
      <c r="L1117" s="65">
        <v>442936</v>
      </c>
      <c r="M1117" s="65">
        <v>442936</v>
      </c>
      <c r="N1117" s="12">
        <v>841796</v>
      </c>
      <c r="O1117" s="12">
        <v>816837</v>
      </c>
      <c r="P1117" s="12">
        <v>83858</v>
      </c>
      <c r="Q1117" s="186">
        <f t="shared" si="145"/>
        <v>0.10266185297678729</v>
      </c>
      <c r="R1117" s="12">
        <f>R1180</f>
        <v>816837</v>
      </c>
      <c r="S1117" s="12"/>
      <c r="T1117" s="12">
        <v>0</v>
      </c>
      <c r="U1117" s="12"/>
      <c r="V1117" s="12"/>
      <c r="W1117" s="32">
        <f t="shared" si="144"/>
        <v>0</v>
      </c>
    </row>
    <row r="1118" spans="1:23" ht="12">
      <c r="A1118" s="25"/>
      <c r="B1118" s="25"/>
      <c r="C1118" s="26">
        <v>3117</v>
      </c>
      <c r="D1118" s="27" t="s">
        <v>179</v>
      </c>
      <c r="E1118" s="11"/>
      <c r="F1118" s="11">
        <v>156100</v>
      </c>
      <c r="G1118" s="11">
        <v>163740</v>
      </c>
      <c r="H1118" s="11">
        <v>163740</v>
      </c>
      <c r="I1118" s="11"/>
      <c r="J1118" s="11">
        <v>163740</v>
      </c>
      <c r="K1118" s="11">
        <v>163740</v>
      </c>
      <c r="L1118" s="11">
        <v>163740</v>
      </c>
      <c r="M1118" s="11">
        <v>104432</v>
      </c>
      <c r="N1118" s="11">
        <v>0</v>
      </c>
      <c r="O1118" s="11">
        <v>14218</v>
      </c>
      <c r="P1118" s="11"/>
      <c r="Q1118" s="186">
        <f>P1118/O1118</f>
        <v>0</v>
      </c>
      <c r="R1118" s="11"/>
      <c r="S1118" s="11"/>
      <c r="T1118" s="11">
        <v>0</v>
      </c>
      <c r="U1118" s="11">
        <f>U1437</f>
        <v>0</v>
      </c>
      <c r="V1118" s="11">
        <f>V1437</f>
        <v>0</v>
      </c>
      <c r="W1118" s="32">
        <f>T1118+U1118-V1118</f>
        <v>0</v>
      </c>
    </row>
    <row r="1119" spans="1:23" ht="12">
      <c r="A1119" s="25"/>
      <c r="B1119" s="25"/>
      <c r="C1119" s="26">
        <v>3119</v>
      </c>
      <c r="D1119" s="27" t="s">
        <v>179</v>
      </c>
      <c r="E1119" s="11"/>
      <c r="F1119" s="11">
        <v>156100</v>
      </c>
      <c r="G1119" s="11">
        <v>163740</v>
      </c>
      <c r="H1119" s="11">
        <v>163740</v>
      </c>
      <c r="I1119" s="11"/>
      <c r="J1119" s="11">
        <v>163740</v>
      </c>
      <c r="K1119" s="11">
        <v>163740</v>
      </c>
      <c r="L1119" s="11">
        <v>163740</v>
      </c>
      <c r="M1119" s="11">
        <v>104432</v>
      </c>
      <c r="N1119" s="11">
        <v>0</v>
      </c>
      <c r="O1119" s="11">
        <v>14218</v>
      </c>
      <c r="P1119" s="11"/>
      <c r="Q1119" s="186">
        <f t="shared" si="145"/>
        <v>0</v>
      </c>
      <c r="R1119" s="11"/>
      <c r="S1119" s="11"/>
      <c r="T1119" s="11">
        <v>18455</v>
      </c>
      <c r="U1119" s="11">
        <f>U1438</f>
        <v>0</v>
      </c>
      <c r="V1119" s="11">
        <f>V1438</f>
        <v>0</v>
      </c>
      <c r="W1119" s="32">
        <f t="shared" si="144"/>
        <v>18455</v>
      </c>
    </row>
    <row r="1120" spans="1:23" ht="24">
      <c r="A1120" s="25"/>
      <c r="B1120" s="121"/>
      <c r="C1120" s="26">
        <v>4017</v>
      </c>
      <c r="D1120" s="27" t="s">
        <v>312</v>
      </c>
      <c r="J1120" s="67"/>
      <c r="K1120" s="65"/>
      <c r="L1120" s="65"/>
      <c r="M1120" s="65"/>
      <c r="N1120" s="12">
        <v>0</v>
      </c>
      <c r="O1120" s="12">
        <v>63182</v>
      </c>
      <c r="P1120" s="12">
        <v>12035</v>
      </c>
      <c r="Q1120" s="186">
        <f>P1120/O1120</f>
        <v>0.19048146624038492</v>
      </c>
      <c r="R1120" s="12"/>
      <c r="S1120" s="12">
        <f>5355+5100+7711+40513</f>
        <v>58679</v>
      </c>
      <c r="T1120" s="12">
        <v>64511</v>
      </c>
      <c r="U1120" s="12">
        <f>U1418+U1439+U1472</f>
        <v>0</v>
      </c>
      <c r="V1120" s="12">
        <f>V1418+V1439+V1472</f>
        <v>0</v>
      </c>
      <c r="W1120" s="32">
        <f>T1120+U1120-V1120</f>
        <v>64511</v>
      </c>
    </row>
    <row r="1121" spans="1:23" ht="24">
      <c r="A1121" s="25"/>
      <c r="B1121" s="121"/>
      <c r="C1121" s="26">
        <v>4018</v>
      </c>
      <c r="D1121" s="27" t="s">
        <v>312</v>
      </c>
      <c r="J1121" s="67"/>
      <c r="K1121" s="65"/>
      <c r="L1121" s="65"/>
      <c r="M1121" s="65"/>
      <c r="N1121" s="12">
        <v>0</v>
      </c>
      <c r="O1121" s="12">
        <v>63182</v>
      </c>
      <c r="P1121" s="12">
        <v>12035</v>
      </c>
      <c r="Q1121" s="186">
        <f t="shared" si="145"/>
        <v>0.19048146624038492</v>
      </c>
      <c r="R1121" s="12"/>
      <c r="S1121" s="12">
        <f>5355+5100+7711+40513</f>
        <v>58679</v>
      </c>
      <c r="T1121" s="12">
        <v>61887</v>
      </c>
      <c r="U1121" s="12">
        <f>U1258+U1279+U1320+U1362+U1383</f>
        <v>0</v>
      </c>
      <c r="V1121" s="12">
        <f>V1258+V1279+V1320+V1362+V1383</f>
        <v>0</v>
      </c>
      <c r="W1121" s="32">
        <f t="shared" si="144"/>
        <v>61887</v>
      </c>
    </row>
    <row r="1122" spans="1:23" ht="24">
      <c r="A1122" s="25"/>
      <c r="B1122" s="121"/>
      <c r="C1122" s="26">
        <v>4019</v>
      </c>
      <c r="D1122" s="27" t="s">
        <v>312</v>
      </c>
      <c r="J1122" s="67"/>
      <c r="K1122" s="65"/>
      <c r="L1122" s="65"/>
      <c r="M1122" s="65"/>
      <c r="N1122" s="12">
        <v>0</v>
      </c>
      <c r="O1122" s="12">
        <v>11150</v>
      </c>
      <c r="P1122" s="12">
        <v>1865</v>
      </c>
      <c r="Q1122" s="186">
        <f t="shared" si="145"/>
        <v>0.1672645739910314</v>
      </c>
      <c r="R1122" s="12">
        <f>R1235</f>
        <v>4191</v>
      </c>
      <c r="S1122" s="12">
        <f>945+900+1155+7149</f>
        <v>10149</v>
      </c>
      <c r="T1122" s="12">
        <v>18768</v>
      </c>
      <c r="U1122" s="12">
        <f>U1259+U1280+U1321+U1363+U1384+U1419+U1440+U1473</f>
        <v>0</v>
      </c>
      <c r="V1122" s="12">
        <f>V1259+V1280+V1321+V1363+V1384+V1419+V1440+V1473</f>
        <v>0</v>
      </c>
      <c r="W1122" s="32">
        <f t="shared" si="144"/>
        <v>18768</v>
      </c>
    </row>
    <row r="1123" spans="1:23" ht="12">
      <c r="A1123" s="25"/>
      <c r="B1123" s="121"/>
      <c r="C1123" s="26">
        <v>4047</v>
      </c>
      <c r="D1123" s="27" t="s">
        <v>30</v>
      </c>
      <c r="J1123" s="67"/>
      <c r="K1123" s="65"/>
      <c r="L1123" s="65"/>
      <c r="M1123" s="65"/>
      <c r="N1123" s="12"/>
      <c r="O1123" s="12"/>
      <c r="P1123" s="12"/>
      <c r="Q1123" s="186"/>
      <c r="R1123" s="12"/>
      <c r="S1123" s="12"/>
      <c r="T1123" s="12">
        <v>1102</v>
      </c>
      <c r="U1123" s="12">
        <f>U1441</f>
        <v>141</v>
      </c>
      <c r="V1123" s="12">
        <f>V1441</f>
        <v>0</v>
      </c>
      <c r="W1123" s="32">
        <f t="shared" si="144"/>
        <v>1243</v>
      </c>
    </row>
    <row r="1124" spans="1:23" ht="12">
      <c r="A1124" s="25"/>
      <c r="B1124" s="121"/>
      <c r="C1124" s="26">
        <v>4049</v>
      </c>
      <c r="D1124" s="27" t="s">
        <v>30</v>
      </c>
      <c r="J1124" s="67"/>
      <c r="K1124" s="65"/>
      <c r="L1124" s="65"/>
      <c r="M1124" s="65"/>
      <c r="N1124" s="12"/>
      <c r="O1124" s="12"/>
      <c r="P1124" s="12"/>
      <c r="Q1124" s="186"/>
      <c r="R1124" s="12"/>
      <c r="S1124" s="12"/>
      <c r="T1124" s="12">
        <v>58</v>
      </c>
      <c r="U1124" s="12">
        <f>U1442</f>
        <v>8</v>
      </c>
      <c r="V1124" s="12">
        <f>V1442</f>
        <v>0</v>
      </c>
      <c r="W1124" s="32">
        <f t="shared" si="144"/>
        <v>66</v>
      </c>
    </row>
    <row r="1125" spans="1:23" ht="24">
      <c r="A1125" s="25"/>
      <c r="B1125" s="121"/>
      <c r="C1125" s="115">
        <v>4117</v>
      </c>
      <c r="D1125" s="119" t="s">
        <v>113</v>
      </c>
      <c r="J1125" s="67"/>
      <c r="K1125" s="65">
        <v>4432</v>
      </c>
      <c r="L1125" s="65">
        <v>4432</v>
      </c>
      <c r="M1125" s="65">
        <v>4432</v>
      </c>
      <c r="N1125" s="12">
        <v>18623</v>
      </c>
      <c r="O1125" s="12">
        <v>102700</v>
      </c>
      <c r="P1125" s="12">
        <v>42926</v>
      </c>
      <c r="Q1125" s="186">
        <f>P1125/O1125</f>
        <v>0.4179746835443038</v>
      </c>
      <c r="R1125" s="12">
        <f>R1182+R1197+R1215</f>
        <v>124489</v>
      </c>
      <c r="S1125" s="12">
        <f>9155+11472+2753+97449</f>
        <v>120829</v>
      </c>
      <c r="T1125" s="12">
        <v>19141</v>
      </c>
      <c r="U1125" s="12">
        <f>U1420+U1443+U1476</f>
        <v>190</v>
      </c>
      <c r="V1125" s="12">
        <f>V1420+V1443+V1476</f>
        <v>0</v>
      </c>
      <c r="W1125" s="32">
        <f>T1125+U1125-V1125</f>
        <v>19331</v>
      </c>
    </row>
    <row r="1126" spans="1:23" ht="24">
      <c r="A1126" s="25"/>
      <c r="B1126" s="121"/>
      <c r="C1126" s="115">
        <v>4118</v>
      </c>
      <c r="D1126" s="119" t="s">
        <v>113</v>
      </c>
      <c r="J1126" s="67"/>
      <c r="K1126" s="65">
        <v>4432</v>
      </c>
      <c r="L1126" s="65">
        <v>4432</v>
      </c>
      <c r="M1126" s="65">
        <v>4432</v>
      </c>
      <c r="N1126" s="12">
        <v>18623</v>
      </c>
      <c r="O1126" s="12">
        <v>102700</v>
      </c>
      <c r="P1126" s="12">
        <v>42926</v>
      </c>
      <c r="Q1126" s="186">
        <f t="shared" si="145"/>
        <v>0.4179746835443038</v>
      </c>
      <c r="R1126" s="12">
        <f>R1183+R1198+R1216</f>
        <v>26971</v>
      </c>
      <c r="S1126" s="12">
        <f>9155+11472+2753+97449</f>
        <v>120829</v>
      </c>
      <c r="T1126" s="12">
        <v>36038</v>
      </c>
      <c r="U1126" s="12">
        <f>U1260+U1281+U1322+U1366+U1385</f>
        <v>1937</v>
      </c>
      <c r="V1126" s="12">
        <f>V1260+V1281+V1322+V1366+V1385</f>
        <v>0</v>
      </c>
      <c r="W1126" s="32">
        <f t="shared" si="144"/>
        <v>37975</v>
      </c>
    </row>
    <row r="1127" spans="1:23" ht="24">
      <c r="A1127" s="25"/>
      <c r="B1127" s="121"/>
      <c r="C1127" s="115">
        <v>4119</v>
      </c>
      <c r="D1127" s="119" t="s">
        <v>113</v>
      </c>
      <c r="J1127" s="67"/>
      <c r="K1127" s="65">
        <v>782</v>
      </c>
      <c r="L1127" s="65">
        <v>782</v>
      </c>
      <c r="M1127" s="65">
        <v>782</v>
      </c>
      <c r="N1127" s="12">
        <v>3286</v>
      </c>
      <c r="O1127" s="12">
        <v>18112</v>
      </c>
      <c r="P1127" s="12">
        <v>7535</v>
      </c>
      <c r="Q1127" s="186">
        <f t="shared" si="145"/>
        <v>0.4160225265017668</v>
      </c>
      <c r="R1127" s="12">
        <f>R1184+R1199+R1217+R1236</f>
        <v>6496</v>
      </c>
      <c r="S1127" s="12">
        <f>1616+2025+413+17197</f>
        <v>21251</v>
      </c>
      <c r="T1127" s="12">
        <v>9134</v>
      </c>
      <c r="U1127" s="12">
        <f>U1261+U1282+U1323+U1367+U1386+U1421+U1444+U1477</f>
        <v>329</v>
      </c>
      <c r="V1127" s="12">
        <f>V1261+V1282+V1323+V1367+V1386+V1421+V1444+V1477</f>
        <v>0</v>
      </c>
      <c r="W1127" s="32">
        <f t="shared" si="144"/>
        <v>9463</v>
      </c>
    </row>
    <row r="1128" spans="1:23" ht="12">
      <c r="A1128" s="25"/>
      <c r="B1128" s="121"/>
      <c r="C1128" s="115">
        <v>4127</v>
      </c>
      <c r="D1128" s="119" t="s">
        <v>116</v>
      </c>
      <c r="J1128" s="67"/>
      <c r="K1128" s="65">
        <v>715</v>
      </c>
      <c r="L1128" s="65">
        <v>715</v>
      </c>
      <c r="M1128" s="65">
        <v>715</v>
      </c>
      <c r="N1128" s="12">
        <v>3003</v>
      </c>
      <c r="O1128" s="12">
        <v>16447</v>
      </c>
      <c r="P1128" s="12">
        <v>6905</v>
      </c>
      <c r="Q1128" s="186">
        <f>P1128/O1128</f>
        <v>0.4198334042682556</v>
      </c>
      <c r="R1128" s="12">
        <f>R1184+R1199+R1217</f>
        <v>4748</v>
      </c>
      <c r="S1128" s="12">
        <f>1462+1832+15718+503</f>
        <v>19515</v>
      </c>
      <c r="T1128" s="12">
        <v>3035</v>
      </c>
      <c r="U1128" s="12">
        <f>U1422+U1445+U1478</f>
        <v>31</v>
      </c>
      <c r="V1128" s="12">
        <f>V1422+V1445+V1478</f>
        <v>0</v>
      </c>
      <c r="W1128" s="32">
        <f>T1128+U1128-V1128</f>
        <v>3066</v>
      </c>
    </row>
    <row r="1129" spans="1:23" ht="12">
      <c r="A1129" s="25"/>
      <c r="B1129" s="121"/>
      <c r="C1129" s="115">
        <v>4128</v>
      </c>
      <c r="D1129" s="119" t="s">
        <v>116</v>
      </c>
      <c r="J1129" s="67"/>
      <c r="K1129" s="65">
        <v>715</v>
      </c>
      <c r="L1129" s="65">
        <v>715</v>
      </c>
      <c r="M1129" s="65">
        <v>715</v>
      </c>
      <c r="N1129" s="12">
        <v>3003</v>
      </c>
      <c r="O1129" s="12">
        <v>16447</v>
      </c>
      <c r="P1129" s="12">
        <v>6905</v>
      </c>
      <c r="Q1129" s="186">
        <f t="shared" si="145"/>
        <v>0.4198334042682556</v>
      </c>
      <c r="R1129" s="12">
        <f>R1185+R1200+R1218</f>
        <v>4350</v>
      </c>
      <c r="S1129" s="12">
        <f>1462+1832+15718+503</f>
        <v>19515</v>
      </c>
      <c r="T1129" s="12">
        <v>5855</v>
      </c>
      <c r="U1129" s="12">
        <f>U1262+U1283+U1324+U1368+U1387</f>
        <v>313</v>
      </c>
      <c r="V1129" s="12">
        <f>V1262+V1283+V1324+V1368+V1387</f>
        <v>0</v>
      </c>
      <c r="W1129" s="32">
        <f t="shared" si="144"/>
        <v>6168</v>
      </c>
    </row>
    <row r="1130" spans="1:23" ht="12">
      <c r="A1130" s="25"/>
      <c r="B1130" s="121"/>
      <c r="C1130" s="115">
        <v>4129</v>
      </c>
      <c r="D1130" s="119" t="s">
        <v>116</v>
      </c>
      <c r="J1130" s="67"/>
      <c r="K1130" s="65">
        <v>126</v>
      </c>
      <c r="L1130" s="65">
        <v>126</v>
      </c>
      <c r="M1130" s="65">
        <v>126</v>
      </c>
      <c r="N1130" s="12">
        <v>530</v>
      </c>
      <c r="O1130" s="12">
        <v>2903</v>
      </c>
      <c r="P1130" s="12">
        <v>1212</v>
      </c>
      <c r="Q1130" s="186">
        <f t="shared" si="145"/>
        <v>0.41749913882190837</v>
      </c>
      <c r="R1130" s="12">
        <f>R1186+R1201+R1219+R1237</f>
        <v>1128</v>
      </c>
      <c r="S1130" s="12">
        <f>258+323+75+2774</f>
        <v>3430</v>
      </c>
      <c r="T1130" s="12">
        <v>1468</v>
      </c>
      <c r="U1130" s="12">
        <f>U1263+U1284+U1325+U1369+U1388+U1446+U1479</f>
        <v>52</v>
      </c>
      <c r="V1130" s="12">
        <f>V1263+V1284+V1325+V1369+V1388+V1446+V1479</f>
        <v>0</v>
      </c>
      <c r="W1130" s="32">
        <f t="shared" si="144"/>
        <v>1520</v>
      </c>
    </row>
    <row r="1131" spans="1:23" ht="12">
      <c r="A1131" s="25"/>
      <c r="B1131" s="121"/>
      <c r="C1131" s="115">
        <v>4177</v>
      </c>
      <c r="D1131" s="119" t="s">
        <v>69</v>
      </c>
      <c r="J1131" s="67"/>
      <c r="K1131" s="65">
        <v>29875</v>
      </c>
      <c r="L1131" s="65">
        <v>29875</v>
      </c>
      <c r="M1131" s="65">
        <v>29875</v>
      </c>
      <c r="N1131" s="12">
        <v>122598</v>
      </c>
      <c r="O1131" s="12">
        <v>633110</v>
      </c>
      <c r="P1131" s="12">
        <v>297052</v>
      </c>
      <c r="Q1131" s="186">
        <f>P1131/O1131</f>
        <v>0.4691949266320229</v>
      </c>
      <c r="R1131" s="12">
        <f>R1186+R1201+R1219</f>
        <v>767</v>
      </c>
      <c r="S1131" s="12">
        <f>54327+72650+128725+601019</f>
        <v>856721</v>
      </c>
      <c r="T1131" s="12">
        <v>310745</v>
      </c>
      <c r="U1131" s="12">
        <f>U1424+U1447+U1480</f>
        <v>0</v>
      </c>
      <c r="V1131" s="12">
        <f>V1424+V1447+V1480</f>
        <v>2</v>
      </c>
      <c r="W1131" s="32">
        <f>T1131+U1131-V1131</f>
        <v>310743</v>
      </c>
    </row>
    <row r="1132" spans="1:23" ht="12">
      <c r="A1132" s="25"/>
      <c r="B1132" s="121"/>
      <c r="C1132" s="115">
        <v>4178</v>
      </c>
      <c r="D1132" s="119" t="s">
        <v>69</v>
      </c>
      <c r="J1132" s="67"/>
      <c r="K1132" s="65">
        <v>29875</v>
      </c>
      <c r="L1132" s="65">
        <v>29875</v>
      </c>
      <c r="M1132" s="65">
        <v>29875</v>
      </c>
      <c r="N1132" s="12">
        <v>122598</v>
      </c>
      <c r="O1132" s="12">
        <v>633110</v>
      </c>
      <c r="P1132" s="12">
        <v>297052</v>
      </c>
      <c r="Q1132" s="186">
        <f t="shared" si="145"/>
        <v>0.4691949266320229</v>
      </c>
      <c r="R1132" s="12">
        <f>R1187+R1202+R1220</f>
        <v>185732</v>
      </c>
      <c r="S1132" s="12">
        <f>54327+72650+128725+601019</f>
        <v>856721</v>
      </c>
      <c r="T1132" s="12">
        <v>1168886</v>
      </c>
      <c r="U1132" s="12">
        <f>U1264+U1285+U1326+U1364+U1389</f>
        <v>12081</v>
      </c>
      <c r="V1132" s="12">
        <f>V1264+V1285+V1326+V1364+V1389</f>
        <v>0</v>
      </c>
      <c r="W1132" s="32">
        <f t="shared" si="144"/>
        <v>1180967</v>
      </c>
    </row>
    <row r="1133" spans="1:23" ht="12">
      <c r="A1133" s="25"/>
      <c r="B1133" s="121"/>
      <c r="C1133" s="115">
        <v>4179</v>
      </c>
      <c r="D1133" s="119" t="s">
        <v>69</v>
      </c>
      <c r="J1133" s="67"/>
      <c r="K1133" s="65">
        <v>5272</v>
      </c>
      <c r="L1133" s="65">
        <v>5272</v>
      </c>
      <c r="M1133" s="65">
        <v>5272</v>
      </c>
      <c r="N1133" s="12">
        <v>21635</v>
      </c>
      <c r="O1133" s="12">
        <v>101296</v>
      </c>
      <c r="P1133" s="12">
        <v>52421</v>
      </c>
      <c r="Q1133" s="186">
        <f t="shared" si="145"/>
        <v>0.5175031590586006</v>
      </c>
      <c r="R1133" s="12">
        <f>R1188+R1203+R1221+R1238</f>
        <v>38788</v>
      </c>
      <c r="S1133" s="12">
        <f>9587+9329+106062+19283</f>
        <v>144261</v>
      </c>
      <c r="T1133" s="12">
        <v>255335</v>
      </c>
      <c r="U1133" s="12">
        <f>U1265+U1286+U1327+U1365+U1390+U1425+U1448+U1481</f>
        <v>2791</v>
      </c>
      <c r="V1133" s="12">
        <f>V1265+V1286+V1327+V1365+V1390+V1425+V1448+V1481</f>
        <v>0</v>
      </c>
      <c r="W1133" s="32">
        <f t="shared" si="144"/>
        <v>258126</v>
      </c>
    </row>
    <row r="1134" spans="1:23" ht="12">
      <c r="A1134" s="25"/>
      <c r="B1134" s="121"/>
      <c r="C1134" s="115">
        <v>4217</v>
      </c>
      <c r="D1134" s="119" t="s">
        <v>34</v>
      </c>
      <c r="J1134" s="67"/>
      <c r="K1134" s="65">
        <v>4505</v>
      </c>
      <c r="L1134" s="65">
        <v>4505</v>
      </c>
      <c r="M1134" s="65">
        <v>4505</v>
      </c>
      <c r="N1134" s="12">
        <v>3392</v>
      </c>
      <c r="O1134" s="12">
        <v>95065</v>
      </c>
      <c r="P1134" s="12">
        <v>53568</v>
      </c>
      <c r="Q1134" s="186">
        <f>P1134/O1134</f>
        <v>0.5634881396938937</v>
      </c>
      <c r="R1134" s="12">
        <f>R1188+R1221</f>
        <v>32638</v>
      </c>
      <c r="S1134" s="12">
        <f>6306+7344+26327+10179</f>
        <v>50156</v>
      </c>
      <c r="T1134" s="12">
        <v>65401</v>
      </c>
      <c r="U1134" s="12">
        <f>U1426+U1449+U1482</f>
        <v>0</v>
      </c>
      <c r="V1134" s="12">
        <f>V1426+V1449+V1482</f>
        <v>127</v>
      </c>
      <c r="W1134" s="32">
        <f>T1134+U1134-V1134</f>
        <v>65274</v>
      </c>
    </row>
    <row r="1135" spans="1:23" ht="12">
      <c r="A1135" s="25"/>
      <c r="B1135" s="121"/>
      <c r="C1135" s="115">
        <v>4218</v>
      </c>
      <c r="D1135" s="119" t="s">
        <v>34</v>
      </c>
      <c r="J1135" s="67"/>
      <c r="K1135" s="65">
        <v>4505</v>
      </c>
      <c r="L1135" s="65">
        <v>4505</v>
      </c>
      <c r="M1135" s="65">
        <v>4505</v>
      </c>
      <c r="N1135" s="12">
        <v>3392</v>
      </c>
      <c r="O1135" s="12">
        <v>95065</v>
      </c>
      <c r="P1135" s="12">
        <v>53568</v>
      </c>
      <c r="Q1135" s="186">
        <f t="shared" si="145"/>
        <v>0.5634881396938937</v>
      </c>
      <c r="R1135" s="12">
        <f>R1189+R1222</f>
        <v>15883</v>
      </c>
      <c r="S1135" s="12">
        <f>6306+7344+26327+10179</f>
        <v>50156</v>
      </c>
      <c r="T1135" s="12">
        <v>131519</v>
      </c>
      <c r="U1135" s="12">
        <f>U1266+U1287+U1328+U1370+U1391</f>
        <v>0</v>
      </c>
      <c r="V1135" s="12">
        <f>V1266+V1287+V1328+V1370+V1391</f>
        <v>1170</v>
      </c>
      <c r="W1135" s="32">
        <f t="shared" si="144"/>
        <v>130349</v>
      </c>
    </row>
    <row r="1136" spans="1:23" ht="12">
      <c r="A1136" s="25"/>
      <c r="B1136" s="121"/>
      <c r="C1136" s="115">
        <v>4219</v>
      </c>
      <c r="D1136" s="119" t="s">
        <v>34</v>
      </c>
      <c r="J1136" s="67"/>
      <c r="K1136" s="65">
        <v>795</v>
      </c>
      <c r="L1136" s="65">
        <v>795</v>
      </c>
      <c r="M1136" s="65">
        <v>795</v>
      </c>
      <c r="N1136" s="12">
        <v>599</v>
      </c>
      <c r="O1136" s="12">
        <v>16777</v>
      </c>
      <c r="P1136" s="12">
        <v>9453</v>
      </c>
      <c r="Q1136" s="186">
        <f t="shared" si="145"/>
        <v>0.5634499612564821</v>
      </c>
      <c r="R1136" s="12">
        <f>R1190+R1223+R1239</f>
        <v>8154</v>
      </c>
      <c r="S1136" s="12">
        <f>1113+1296+3945+1796</f>
        <v>8150</v>
      </c>
      <c r="T1136" s="12">
        <v>33597</v>
      </c>
      <c r="U1136" s="12">
        <f>U1267+U1288+U1329+U1371+U1392+U1427+U1450+U1483</f>
        <v>1170</v>
      </c>
      <c r="V1136" s="12">
        <f>V1267+V1288+V1329+V1371+V1392+V1427+V1450+V1483</f>
        <v>22</v>
      </c>
      <c r="W1136" s="32">
        <f t="shared" si="144"/>
        <v>34745</v>
      </c>
    </row>
    <row r="1137" spans="1:25" ht="24">
      <c r="A1137" s="25"/>
      <c r="B1137" s="121"/>
      <c r="C1137" s="115">
        <v>4248</v>
      </c>
      <c r="D1137" s="119" t="s">
        <v>117</v>
      </c>
      <c r="J1137" s="67"/>
      <c r="K1137" s="65"/>
      <c r="L1137" s="65"/>
      <c r="M1137" s="65"/>
      <c r="N1137" s="12">
        <v>0</v>
      </c>
      <c r="O1137" s="12">
        <v>3875</v>
      </c>
      <c r="P1137" s="12"/>
      <c r="Q1137" s="186">
        <f t="shared" si="145"/>
        <v>0</v>
      </c>
      <c r="R1137" s="12">
        <f>R1209</f>
        <v>3875</v>
      </c>
      <c r="S1137" s="12">
        <v>18493</v>
      </c>
      <c r="T1137" s="221">
        <v>49363</v>
      </c>
      <c r="U1137" s="221">
        <f>U1372</f>
        <v>0</v>
      </c>
      <c r="V1137" s="221">
        <f>V1372</f>
        <v>0</v>
      </c>
      <c r="W1137" s="222">
        <f t="shared" si="144"/>
        <v>49363</v>
      </c>
      <c r="Y1137" s="234">
        <f>Y1372</f>
        <v>0</v>
      </c>
    </row>
    <row r="1138" spans="1:25" ht="24">
      <c r="A1138" s="25"/>
      <c r="B1138" s="121"/>
      <c r="C1138" s="115">
        <v>4249</v>
      </c>
      <c r="D1138" s="119" t="s">
        <v>117</v>
      </c>
      <c r="J1138" s="67"/>
      <c r="K1138" s="65"/>
      <c r="L1138" s="65"/>
      <c r="M1138" s="65"/>
      <c r="N1138" s="12">
        <v>0</v>
      </c>
      <c r="O1138" s="12">
        <v>690</v>
      </c>
      <c r="P1138" s="12"/>
      <c r="Q1138" s="186">
        <f t="shared" si="145"/>
        <v>0</v>
      </c>
      <c r="R1138" s="12">
        <f>R1210</f>
        <v>690</v>
      </c>
      <c r="S1138" s="12">
        <v>3263</v>
      </c>
      <c r="T1138" s="221">
        <v>8711</v>
      </c>
      <c r="U1138" s="221">
        <f>U1373</f>
        <v>0</v>
      </c>
      <c r="V1138" s="221">
        <f>V1373</f>
        <v>0</v>
      </c>
      <c r="W1138" s="222">
        <f t="shared" si="144"/>
        <v>8711</v>
      </c>
      <c r="Y1138" s="234">
        <f>Y1373</f>
        <v>0</v>
      </c>
    </row>
    <row r="1139" spans="1:23" ht="12">
      <c r="A1139" s="25"/>
      <c r="B1139" s="25"/>
      <c r="C1139" s="26">
        <v>4268</v>
      </c>
      <c r="D1139" s="27" t="s">
        <v>35</v>
      </c>
      <c r="E1139" s="11">
        <v>43500</v>
      </c>
      <c r="F1139" s="11">
        <v>43500</v>
      </c>
      <c r="G1139" s="1">
        <v>43900</v>
      </c>
      <c r="H1139" s="1">
        <v>43900</v>
      </c>
      <c r="I1139" s="1"/>
      <c r="J1139" s="1">
        <v>43900</v>
      </c>
      <c r="K1139" s="1">
        <v>43900</v>
      </c>
      <c r="L1139" s="1">
        <v>43900</v>
      </c>
      <c r="M1139" s="1">
        <v>44000</v>
      </c>
      <c r="N1139" s="1">
        <v>1477</v>
      </c>
      <c r="O1139" s="1">
        <v>1477</v>
      </c>
      <c r="P1139" s="1">
        <v>1209</v>
      </c>
      <c r="Q1139" s="186">
        <f t="shared" si="145"/>
        <v>0.8185511171293162</v>
      </c>
      <c r="R1139" s="1"/>
      <c r="S1139" s="1">
        <f>4133</f>
        <v>4133</v>
      </c>
      <c r="T1139" s="1">
        <v>0</v>
      </c>
      <c r="U1139" s="1">
        <f>U1395</f>
        <v>0</v>
      </c>
      <c r="V1139" s="1">
        <f>V1395</f>
        <v>0</v>
      </c>
      <c r="W1139" s="32">
        <f t="shared" si="144"/>
        <v>0</v>
      </c>
    </row>
    <row r="1140" spans="1:23" ht="12">
      <c r="A1140" s="25"/>
      <c r="B1140" s="25"/>
      <c r="C1140" s="26">
        <v>4269</v>
      </c>
      <c r="D1140" s="27" t="s">
        <v>35</v>
      </c>
      <c r="E1140" s="11">
        <v>43500</v>
      </c>
      <c r="F1140" s="11">
        <v>43500</v>
      </c>
      <c r="G1140" s="1">
        <v>43900</v>
      </c>
      <c r="H1140" s="1">
        <v>43900</v>
      </c>
      <c r="I1140" s="1"/>
      <c r="J1140" s="1">
        <v>43900</v>
      </c>
      <c r="K1140" s="1">
        <v>43900</v>
      </c>
      <c r="L1140" s="1">
        <v>43900</v>
      </c>
      <c r="M1140" s="1">
        <v>44000</v>
      </c>
      <c r="N1140" s="1">
        <v>0</v>
      </c>
      <c r="O1140" s="1">
        <v>261</v>
      </c>
      <c r="P1140" s="1">
        <v>213</v>
      </c>
      <c r="Q1140" s="186">
        <f t="shared" si="145"/>
        <v>0.8160919540229885</v>
      </c>
      <c r="R1140" s="1"/>
      <c r="S1140" s="1">
        <f>619</f>
        <v>619</v>
      </c>
      <c r="T1140" s="1">
        <v>0</v>
      </c>
      <c r="U1140" s="1">
        <f>U1396</f>
        <v>0</v>
      </c>
      <c r="V1140" s="1">
        <f>V1396</f>
        <v>0</v>
      </c>
      <c r="W1140" s="32">
        <f t="shared" si="144"/>
        <v>0</v>
      </c>
    </row>
    <row r="1141" spans="1:23" ht="12">
      <c r="A1141" s="25"/>
      <c r="B1141" s="25"/>
      <c r="C1141" s="26">
        <v>4277</v>
      </c>
      <c r="D1141" s="27" t="s">
        <v>36</v>
      </c>
      <c r="E1141" s="215"/>
      <c r="F1141" s="215"/>
      <c r="G1141" s="149"/>
      <c r="H1141" s="149"/>
      <c r="I1141" s="149"/>
      <c r="J1141" s="1"/>
      <c r="K1141" s="1"/>
      <c r="L1141" s="1"/>
      <c r="M1141" s="1"/>
      <c r="N1141" s="1"/>
      <c r="O1141" s="1"/>
      <c r="P1141" s="1"/>
      <c r="Q1141" s="186"/>
      <c r="R1141" s="1"/>
      <c r="S1141" s="1"/>
      <c r="T1141" s="1">
        <v>104</v>
      </c>
      <c r="U1141" s="1">
        <f>U1451</f>
        <v>0</v>
      </c>
      <c r="V1141" s="1">
        <f>V1451</f>
        <v>104</v>
      </c>
      <c r="W1141" s="32">
        <f t="shared" si="144"/>
        <v>0</v>
      </c>
    </row>
    <row r="1142" spans="1:23" ht="12">
      <c r="A1142" s="25"/>
      <c r="B1142" s="25"/>
      <c r="C1142" s="26">
        <v>4279</v>
      </c>
      <c r="D1142" s="27" t="s">
        <v>36</v>
      </c>
      <c r="E1142" s="215"/>
      <c r="F1142" s="215"/>
      <c r="G1142" s="149"/>
      <c r="H1142" s="149"/>
      <c r="I1142" s="149"/>
      <c r="J1142" s="1"/>
      <c r="K1142" s="1"/>
      <c r="L1142" s="1"/>
      <c r="M1142" s="1"/>
      <c r="N1142" s="1"/>
      <c r="O1142" s="1"/>
      <c r="P1142" s="1"/>
      <c r="Q1142" s="186"/>
      <c r="R1142" s="1"/>
      <c r="S1142" s="1"/>
      <c r="T1142" s="1">
        <v>6</v>
      </c>
      <c r="U1142" s="1">
        <f>U1452</f>
        <v>0</v>
      </c>
      <c r="V1142" s="1">
        <f>V1452</f>
        <v>6</v>
      </c>
      <c r="W1142" s="32">
        <f t="shared" si="144"/>
        <v>0</v>
      </c>
    </row>
    <row r="1143" spans="1:23" ht="12">
      <c r="A1143" s="25"/>
      <c r="B1143" s="25"/>
      <c r="C1143" s="26">
        <v>4287</v>
      </c>
      <c r="D1143" s="27" t="s">
        <v>70</v>
      </c>
      <c r="E1143" s="215"/>
      <c r="F1143" s="215"/>
      <c r="G1143" s="149"/>
      <c r="H1143" s="149"/>
      <c r="I1143" s="149"/>
      <c r="J1143" s="1"/>
      <c r="K1143" s="1"/>
      <c r="L1143" s="1"/>
      <c r="M1143" s="1"/>
      <c r="N1143" s="1"/>
      <c r="O1143" s="1"/>
      <c r="P1143" s="1"/>
      <c r="Q1143" s="186"/>
      <c r="R1143" s="1"/>
      <c r="S1143" s="1"/>
      <c r="T1143" s="1"/>
      <c r="U1143" s="1">
        <f>U1453</f>
        <v>104</v>
      </c>
      <c r="V1143" s="1"/>
      <c r="W1143" s="32">
        <f t="shared" si="144"/>
        <v>104</v>
      </c>
    </row>
    <row r="1144" spans="1:23" ht="12">
      <c r="A1144" s="25"/>
      <c r="B1144" s="25"/>
      <c r="C1144" s="26">
        <v>4289</v>
      </c>
      <c r="D1144" s="27" t="s">
        <v>70</v>
      </c>
      <c r="E1144" s="215"/>
      <c r="F1144" s="215"/>
      <c r="G1144" s="149"/>
      <c r="H1144" s="149"/>
      <c r="I1144" s="149"/>
      <c r="J1144" s="1"/>
      <c r="K1144" s="1"/>
      <c r="L1144" s="1"/>
      <c r="M1144" s="1"/>
      <c r="N1144" s="1"/>
      <c r="O1144" s="1"/>
      <c r="P1144" s="1"/>
      <c r="Q1144" s="186"/>
      <c r="R1144" s="1"/>
      <c r="S1144" s="1"/>
      <c r="T1144" s="1"/>
      <c r="U1144" s="1">
        <f>U1454</f>
        <v>6</v>
      </c>
      <c r="V1144" s="1"/>
      <c r="W1144" s="32">
        <f t="shared" si="144"/>
        <v>6</v>
      </c>
    </row>
    <row r="1145" spans="1:23" ht="12">
      <c r="A1145" s="25"/>
      <c r="B1145" s="121"/>
      <c r="C1145" s="115">
        <v>4307</v>
      </c>
      <c r="D1145" s="119" t="s">
        <v>17</v>
      </c>
      <c r="J1145" s="67"/>
      <c r="K1145" s="65">
        <v>22987</v>
      </c>
      <c r="L1145" s="65">
        <v>22987</v>
      </c>
      <c r="M1145" s="65">
        <v>22987</v>
      </c>
      <c r="N1145" s="12">
        <v>67590</v>
      </c>
      <c r="O1145" s="12">
        <v>985603</v>
      </c>
      <c r="P1145" s="12">
        <v>313808</v>
      </c>
      <c r="Q1145" s="186">
        <f>P1145/O1145</f>
        <v>0.3183918880117045</v>
      </c>
      <c r="R1145" s="12">
        <f>R1190+R1203+R1223</f>
        <v>2954</v>
      </c>
      <c r="S1145" s="12">
        <f>13742+38551+7182+35432</f>
        <v>94907</v>
      </c>
      <c r="T1145" s="12">
        <v>191977</v>
      </c>
      <c r="U1145" s="12">
        <f>U1428+U1455+U1486</f>
        <v>0</v>
      </c>
      <c r="V1145" s="12">
        <f>V1428+V1455+V1486</f>
        <v>1</v>
      </c>
      <c r="W1145" s="32">
        <f>T1145+U1145-V1145</f>
        <v>191976</v>
      </c>
    </row>
    <row r="1146" spans="1:23" ht="12">
      <c r="A1146" s="25"/>
      <c r="B1146" s="121"/>
      <c r="C1146" s="115">
        <v>4308</v>
      </c>
      <c r="D1146" s="119" t="s">
        <v>17</v>
      </c>
      <c r="J1146" s="67"/>
      <c r="K1146" s="65">
        <v>22987</v>
      </c>
      <c r="L1146" s="65">
        <v>22987</v>
      </c>
      <c r="M1146" s="65">
        <v>22987</v>
      </c>
      <c r="N1146" s="12">
        <v>67590</v>
      </c>
      <c r="O1146" s="12">
        <v>985603</v>
      </c>
      <c r="P1146" s="12">
        <v>313808</v>
      </c>
      <c r="Q1146" s="186">
        <f t="shared" si="145"/>
        <v>0.3183918880117045</v>
      </c>
      <c r="R1146" s="12">
        <f>R1191+R1204+R1224</f>
        <v>502895</v>
      </c>
      <c r="S1146" s="12">
        <f>13742+38551+7182+35432</f>
        <v>94907</v>
      </c>
      <c r="T1146" s="12">
        <v>238274</v>
      </c>
      <c r="U1146" s="12">
        <f>U1268+U1289+U1330+U1374+U1397</f>
        <v>1999</v>
      </c>
      <c r="V1146" s="12">
        <f>V1268+V1289+V1330+V1374+V1397</f>
        <v>0</v>
      </c>
      <c r="W1146" s="32">
        <f t="shared" si="144"/>
        <v>240273</v>
      </c>
    </row>
    <row r="1147" spans="1:23" ht="12">
      <c r="A1147" s="25"/>
      <c r="B1147" s="121"/>
      <c r="C1147" s="115">
        <v>4309</v>
      </c>
      <c r="D1147" s="119" t="s">
        <v>17</v>
      </c>
      <c r="J1147" s="67"/>
      <c r="K1147" s="65">
        <v>4057</v>
      </c>
      <c r="L1147" s="65">
        <v>4057</v>
      </c>
      <c r="M1147" s="65">
        <v>4057</v>
      </c>
      <c r="N1147" s="12">
        <v>11875</v>
      </c>
      <c r="O1147" s="12">
        <v>163173</v>
      </c>
      <c r="P1147" s="12">
        <v>49700</v>
      </c>
      <c r="Q1147" s="186">
        <f t="shared" si="145"/>
        <v>0.30458470457735043</v>
      </c>
      <c r="R1147" s="12">
        <f>R1192+R1205+R1225</f>
        <v>88740</v>
      </c>
      <c r="S1147" s="12">
        <f>2425+1465+5308+1267</f>
        <v>10465</v>
      </c>
      <c r="T1147" s="12">
        <v>57472</v>
      </c>
      <c r="U1147" s="12">
        <f>U1269+U1290+U1331+U1375+U1398+U1429+U1456+U1487</f>
        <v>354</v>
      </c>
      <c r="V1147" s="12">
        <f>V1269+V1290+V1331+V1375+V1398+V1429+V1456+V1487</f>
        <v>0</v>
      </c>
      <c r="W1147" s="32">
        <f t="shared" si="144"/>
        <v>57826</v>
      </c>
    </row>
    <row r="1148" spans="1:23" ht="28.5" customHeight="1">
      <c r="A1148" s="25"/>
      <c r="B1148" s="121"/>
      <c r="C1148" s="26">
        <v>4358</v>
      </c>
      <c r="D1148" s="27" t="s">
        <v>38</v>
      </c>
      <c r="J1148" s="67"/>
      <c r="K1148" s="65"/>
      <c r="L1148" s="65"/>
      <c r="M1148" s="65"/>
      <c r="N1148" s="12">
        <v>0</v>
      </c>
      <c r="O1148" s="12">
        <v>739</v>
      </c>
      <c r="P1148" s="12">
        <v>308</v>
      </c>
      <c r="Q1148" s="186">
        <f t="shared" si="145"/>
        <v>0.4167794316644114</v>
      </c>
      <c r="R1148" s="12"/>
      <c r="S1148" s="12">
        <f>308</f>
        <v>308</v>
      </c>
      <c r="T1148" s="12">
        <v>308</v>
      </c>
      <c r="U1148" s="12">
        <f>U1291</f>
        <v>0</v>
      </c>
      <c r="V1148" s="12">
        <f>V1291</f>
        <v>0</v>
      </c>
      <c r="W1148" s="32">
        <f t="shared" si="144"/>
        <v>308</v>
      </c>
    </row>
    <row r="1149" spans="1:23" ht="28.5" customHeight="1">
      <c r="A1149" s="25"/>
      <c r="B1149" s="121"/>
      <c r="C1149" s="26">
        <v>4359</v>
      </c>
      <c r="D1149" s="27" t="s">
        <v>38</v>
      </c>
      <c r="J1149" s="67"/>
      <c r="K1149" s="65"/>
      <c r="L1149" s="65"/>
      <c r="M1149" s="65"/>
      <c r="N1149" s="12">
        <v>0</v>
      </c>
      <c r="O1149" s="12">
        <v>130</v>
      </c>
      <c r="P1149" s="12">
        <v>54</v>
      </c>
      <c r="Q1149" s="186">
        <f t="shared" si="145"/>
        <v>0.4153846153846154</v>
      </c>
      <c r="R1149" s="12"/>
      <c r="S1149" s="12">
        <f>54</f>
        <v>54</v>
      </c>
      <c r="T1149" s="12">
        <v>54</v>
      </c>
      <c r="U1149" s="12">
        <f>U1292</f>
        <v>0</v>
      </c>
      <c r="V1149" s="12">
        <f>V1292</f>
        <v>0</v>
      </c>
      <c r="W1149" s="32">
        <f t="shared" si="144"/>
        <v>54</v>
      </c>
    </row>
    <row r="1150" spans="1:23" ht="36">
      <c r="A1150" s="25"/>
      <c r="B1150" s="25"/>
      <c r="C1150" s="26">
        <v>4367</v>
      </c>
      <c r="D1150" s="27" t="s">
        <v>130</v>
      </c>
      <c r="E1150" s="85">
        <v>1400</v>
      </c>
      <c r="F1150" s="85">
        <v>1400</v>
      </c>
      <c r="G1150" s="1">
        <v>1400</v>
      </c>
      <c r="H1150" s="1">
        <v>1400</v>
      </c>
      <c r="I1150" s="1"/>
      <c r="J1150" s="1">
        <v>1400</v>
      </c>
      <c r="K1150" s="1">
        <v>1618</v>
      </c>
      <c r="L1150" s="1">
        <v>1650</v>
      </c>
      <c r="M1150" s="1">
        <v>1700</v>
      </c>
      <c r="N1150" s="1">
        <v>0</v>
      </c>
      <c r="O1150" s="1">
        <v>2489</v>
      </c>
      <c r="P1150" s="1">
        <v>1023</v>
      </c>
      <c r="Q1150" s="186">
        <f>P1150/O1150</f>
        <v>0.41100843712334273</v>
      </c>
      <c r="R1150" s="1"/>
      <c r="S1150" s="1"/>
      <c r="T1150" s="1">
        <v>170</v>
      </c>
      <c r="U1150" s="1">
        <f>U1430</f>
        <v>0</v>
      </c>
      <c r="V1150" s="1">
        <f>V1430</f>
        <v>0</v>
      </c>
      <c r="W1150" s="32">
        <f>T1150+U1150-V1150</f>
        <v>170</v>
      </c>
    </row>
    <row r="1151" spans="1:23" ht="36">
      <c r="A1151" s="25"/>
      <c r="B1151" s="25"/>
      <c r="C1151" s="26">
        <v>4368</v>
      </c>
      <c r="D1151" s="27" t="s">
        <v>130</v>
      </c>
      <c r="E1151" s="85">
        <v>1400</v>
      </c>
      <c r="F1151" s="85">
        <v>1400</v>
      </c>
      <c r="G1151" s="1">
        <v>1400</v>
      </c>
      <c r="H1151" s="1">
        <v>1400</v>
      </c>
      <c r="I1151" s="1"/>
      <c r="J1151" s="1">
        <v>1400</v>
      </c>
      <c r="K1151" s="1">
        <v>1618</v>
      </c>
      <c r="L1151" s="1">
        <v>1650</v>
      </c>
      <c r="M1151" s="1">
        <v>1700</v>
      </c>
      <c r="N1151" s="1">
        <v>0</v>
      </c>
      <c r="O1151" s="1">
        <v>2489</v>
      </c>
      <c r="P1151" s="1">
        <v>1023</v>
      </c>
      <c r="Q1151" s="186">
        <f t="shared" si="145"/>
        <v>0.41100843712334273</v>
      </c>
      <c r="R1151" s="1"/>
      <c r="S1151" s="1"/>
      <c r="T1151" s="1">
        <v>1867</v>
      </c>
      <c r="U1151" s="1">
        <f>U1270</f>
        <v>0</v>
      </c>
      <c r="V1151" s="1">
        <f>V1270</f>
        <v>0</v>
      </c>
      <c r="W1151" s="32">
        <f t="shared" si="144"/>
        <v>1867</v>
      </c>
    </row>
    <row r="1152" spans="1:23" ht="36">
      <c r="A1152" s="25"/>
      <c r="B1152" s="25"/>
      <c r="C1152" s="26">
        <v>4369</v>
      </c>
      <c r="D1152" s="27" t="s">
        <v>130</v>
      </c>
      <c r="E1152" s="85">
        <v>1400</v>
      </c>
      <c r="F1152" s="85">
        <v>1400</v>
      </c>
      <c r="G1152" s="1">
        <v>1400</v>
      </c>
      <c r="H1152" s="1">
        <v>1400</v>
      </c>
      <c r="I1152" s="1"/>
      <c r="J1152" s="1">
        <v>1400</v>
      </c>
      <c r="K1152" s="1">
        <v>1618</v>
      </c>
      <c r="L1152" s="1">
        <v>1650</v>
      </c>
      <c r="M1152" s="1">
        <v>1700</v>
      </c>
      <c r="N1152" s="1">
        <v>0</v>
      </c>
      <c r="O1152" s="1">
        <v>439</v>
      </c>
      <c r="P1152" s="1">
        <v>181</v>
      </c>
      <c r="Q1152" s="186">
        <f t="shared" si="145"/>
        <v>0.4123006833712984</v>
      </c>
      <c r="R1152" s="1"/>
      <c r="S1152" s="1"/>
      <c r="T1152" s="1">
        <v>359</v>
      </c>
      <c r="U1152" s="1">
        <f>U1271+U1431</f>
        <v>0</v>
      </c>
      <c r="V1152" s="1">
        <f>V1271+V1431</f>
        <v>0</v>
      </c>
      <c r="W1152" s="32">
        <f t="shared" si="144"/>
        <v>359</v>
      </c>
    </row>
    <row r="1153" spans="1:23" ht="36">
      <c r="A1153" s="25"/>
      <c r="B1153" s="25"/>
      <c r="C1153" s="26">
        <v>4377</v>
      </c>
      <c r="D1153" s="27" t="s">
        <v>135</v>
      </c>
      <c r="E1153" s="85">
        <v>4000</v>
      </c>
      <c r="F1153" s="85">
        <v>7017</v>
      </c>
      <c r="G1153" s="1">
        <v>5200</v>
      </c>
      <c r="H1153" s="1">
        <v>5200</v>
      </c>
      <c r="I1153" s="1"/>
      <c r="J1153" s="1">
        <v>5200</v>
      </c>
      <c r="K1153" s="1">
        <v>8357</v>
      </c>
      <c r="L1153" s="1">
        <v>8700</v>
      </c>
      <c r="M1153" s="1">
        <v>8700</v>
      </c>
      <c r="N1153" s="1">
        <v>0</v>
      </c>
      <c r="O1153" s="1">
        <v>2959</v>
      </c>
      <c r="P1153" s="1">
        <v>1664</v>
      </c>
      <c r="Q1153" s="186">
        <f>P1153/O1153</f>
        <v>0.5623521459952687</v>
      </c>
      <c r="R1153" s="1"/>
      <c r="S1153" s="1">
        <f>1867</f>
        <v>1867</v>
      </c>
      <c r="T1153" s="1"/>
      <c r="U1153" s="1">
        <f>U1488</f>
        <v>1700</v>
      </c>
      <c r="V1153" s="1">
        <f>V1488</f>
        <v>0</v>
      </c>
      <c r="W1153" s="32">
        <f>T1153+U1153-V1153</f>
        <v>1700</v>
      </c>
    </row>
    <row r="1154" spans="1:23" ht="36">
      <c r="A1154" s="25"/>
      <c r="B1154" s="25"/>
      <c r="C1154" s="26">
        <v>4378</v>
      </c>
      <c r="D1154" s="27" t="s">
        <v>135</v>
      </c>
      <c r="E1154" s="85">
        <v>4000</v>
      </c>
      <c r="F1154" s="85">
        <v>7017</v>
      </c>
      <c r="G1154" s="1">
        <v>5200</v>
      </c>
      <c r="H1154" s="1">
        <v>5200</v>
      </c>
      <c r="I1154" s="1"/>
      <c r="J1154" s="1">
        <v>5200</v>
      </c>
      <c r="K1154" s="1">
        <v>8357</v>
      </c>
      <c r="L1154" s="1">
        <v>8700</v>
      </c>
      <c r="M1154" s="1">
        <v>8700</v>
      </c>
      <c r="N1154" s="1">
        <v>0</v>
      </c>
      <c r="O1154" s="1">
        <v>2959</v>
      </c>
      <c r="P1154" s="1">
        <v>1664</v>
      </c>
      <c r="Q1154" s="186">
        <f t="shared" si="145"/>
        <v>0.5623521459952687</v>
      </c>
      <c r="R1154" s="1"/>
      <c r="S1154" s="1">
        <f>1867</f>
        <v>1867</v>
      </c>
      <c r="T1154" s="1">
        <v>1885</v>
      </c>
      <c r="U1154" s="1">
        <f>U1332+U1489</f>
        <v>0</v>
      </c>
      <c r="V1154" s="1">
        <f>V1332+V1489</f>
        <v>1700</v>
      </c>
      <c r="W1154" s="32">
        <f t="shared" si="144"/>
        <v>185</v>
      </c>
    </row>
    <row r="1155" spans="1:25" ht="36">
      <c r="A1155" s="25"/>
      <c r="B1155" s="25"/>
      <c r="C1155" s="26">
        <v>4379</v>
      </c>
      <c r="D1155" s="27" t="s">
        <v>135</v>
      </c>
      <c r="E1155" s="85">
        <v>4000</v>
      </c>
      <c r="F1155" s="85">
        <v>7017</v>
      </c>
      <c r="G1155" s="1">
        <v>5200</v>
      </c>
      <c r="H1155" s="1">
        <v>5200</v>
      </c>
      <c r="I1155" s="1"/>
      <c r="J1155" s="1">
        <v>5200</v>
      </c>
      <c r="K1155" s="1">
        <v>8357</v>
      </c>
      <c r="L1155" s="1">
        <v>8700</v>
      </c>
      <c r="M1155" s="1">
        <v>8700</v>
      </c>
      <c r="N1155" s="1">
        <v>0</v>
      </c>
      <c r="O1155" s="1">
        <v>522</v>
      </c>
      <c r="P1155" s="1">
        <v>294</v>
      </c>
      <c r="Q1155" s="186">
        <f t="shared" si="145"/>
        <v>0.5632183908045977</v>
      </c>
      <c r="R1155" s="1"/>
      <c r="S1155" s="1">
        <f>329</f>
        <v>329</v>
      </c>
      <c r="T1155" s="1">
        <v>333</v>
      </c>
      <c r="U1155" s="1">
        <f>U1333+U1490</f>
        <v>0</v>
      </c>
      <c r="V1155" s="1">
        <f>V1333+V1490</f>
        <v>0</v>
      </c>
      <c r="W1155" s="32">
        <f t="shared" si="144"/>
        <v>333</v>
      </c>
      <c r="Y1155" s="235" t="s">
        <v>377</v>
      </c>
    </row>
    <row r="1156" spans="1:23" ht="36">
      <c r="A1156" s="25"/>
      <c r="B1156" s="25"/>
      <c r="C1156" s="26">
        <v>4408</v>
      </c>
      <c r="D1156" s="46" t="s">
        <v>72</v>
      </c>
      <c r="E1156" s="148"/>
      <c r="F1156" s="148"/>
      <c r="G1156" s="149"/>
      <c r="H1156" s="149"/>
      <c r="I1156" s="149"/>
      <c r="J1156" s="1"/>
      <c r="K1156" s="1"/>
      <c r="L1156" s="1"/>
      <c r="M1156" s="1"/>
      <c r="N1156" s="1">
        <v>5330</v>
      </c>
      <c r="O1156" s="1">
        <v>5330</v>
      </c>
      <c r="P1156" s="1"/>
      <c r="Q1156" s="186">
        <f t="shared" si="145"/>
        <v>0</v>
      </c>
      <c r="R1156" s="1"/>
      <c r="S1156" s="1"/>
      <c r="T1156" s="1">
        <v>0</v>
      </c>
      <c r="U1156" s="1"/>
      <c r="V1156" s="1"/>
      <c r="W1156" s="32">
        <f t="shared" si="144"/>
        <v>0</v>
      </c>
    </row>
    <row r="1157" spans="1:23" ht="36">
      <c r="A1157" s="25"/>
      <c r="B1157" s="25"/>
      <c r="C1157" s="26">
        <v>4409</v>
      </c>
      <c r="D1157" s="46" t="s">
        <v>72</v>
      </c>
      <c r="E1157" s="148"/>
      <c r="F1157" s="148"/>
      <c r="G1157" s="149"/>
      <c r="H1157" s="149"/>
      <c r="I1157" s="149"/>
      <c r="J1157" s="1"/>
      <c r="K1157" s="1"/>
      <c r="L1157" s="1"/>
      <c r="M1157" s="1"/>
      <c r="N1157" s="1">
        <v>940</v>
      </c>
      <c r="O1157" s="1">
        <v>940</v>
      </c>
      <c r="P1157" s="1"/>
      <c r="Q1157" s="186">
        <f t="shared" si="145"/>
        <v>0</v>
      </c>
      <c r="R1157" s="1"/>
      <c r="S1157" s="1"/>
      <c r="T1157" s="1">
        <v>0</v>
      </c>
      <c r="U1157" s="1"/>
      <c r="V1157" s="1"/>
      <c r="W1157" s="32">
        <f t="shared" si="144"/>
        <v>0</v>
      </c>
    </row>
    <row r="1158" spans="1:23" ht="12">
      <c r="A1158" s="25"/>
      <c r="B1158" s="121"/>
      <c r="C1158" s="115">
        <v>4418</v>
      </c>
      <c r="D1158" s="27" t="s">
        <v>42</v>
      </c>
      <c r="J1158" s="67"/>
      <c r="K1158" s="65"/>
      <c r="L1158" s="65"/>
      <c r="M1158" s="65"/>
      <c r="N1158" s="257">
        <v>0</v>
      </c>
      <c r="O1158" s="257">
        <v>65195</v>
      </c>
      <c r="P1158" s="257">
        <v>6890</v>
      </c>
      <c r="Q1158" s="186">
        <f t="shared" si="145"/>
        <v>0.10568295114656032</v>
      </c>
      <c r="R1158" s="257">
        <f>R1226</f>
        <v>63339</v>
      </c>
      <c r="S1158" s="257"/>
      <c r="T1158" s="257">
        <v>0</v>
      </c>
      <c r="U1158" s="257"/>
      <c r="V1158" s="257"/>
      <c r="W1158" s="32">
        <f t="shared" si="144"/>
        <v>0</v>
      </c>
    </row>
    <row r="1159" spans="1:23" ht="12">
      <c r="A1159" s="25"/>
      <c r="B1159" s="121"/>
      <c r="C1159" s="115">
        <v>4419</v>
      </c>
      <c r="D1159" s="27" t="s">
        <v>42</v>
      </c>
      <c r="J1159" s="67"/>
      <c r="K1159" s="65"/>
      <c r="L1159" s="65"/>
      <c r="M1159" s="65"/>
      <c r="N1159" s="257">
        <v>0</v>
      </c>
      <c r="O1159" s="257">
        <v>11506</v>
      </c>
      <c r="P1159" s="257">
        <v>1216</v>
      </c>
      <c r="Q1159" s="186">
        <f t="shared" si="145"/>
        <v>0.10568399096123761</v>
      </c>
      <c r="R1159" s="257">
        <f>R1227</f>
        <v>11178</v>
      </c>
      <c r="S1159" s="257"/>
      <c r="T1159" s="257">
        <v>0</v>
      </c>
      <c r="U1159" s="257"/>
      <c r="V1159" s="257"/>
      <c r="W1159" s="32">
        <f t="shared" si="144"/>
        <v>0</v>
      </c>
    </row>
    <row r="1160" spans="1:23" ht="12">
      <c r="A1160" s="25"/>
      <c r="B1160" s="121"/>
      <c r="C1160" s="115">
        <v>4438</v>
      </c>
      <c r="D1160" s="258" t="s">
        <v>43</v>
      </c>
      <c r="J1160" s="67"/>
      <c r="K1160" s="65"/>
      <c r="L1160" s="65"/>
      <c r="M1160" s="65"/>
      <c r="N1160" s="257">
        <v>0</v>
      </c>
      <c r="O1160" s="257">
        <v>510</v>
      </c>
      <c r="P1160" s="257"/>
      <c r="Q1160" s="186">
        <f t="shared" si="145"/>
        <v>0</v>
      </c>
      <c r="R1160" s="257"/>
      <c r="S1160" s="257"/>
      <c r="T1160" s="257">
        <v>0</v>
      </c>
      <c r="U1160" s="257"/>
      <c r="V1160" s="257"/>
      <c r="W1160" s="32">
        <f t="shared" si="144"/>
        <v>0</v>
      </c>
    </row>
    <row r="1161" spans="1:23" ht="12">
      <c r="A1161" s="25"/>
      <c r="B1161" s="121"/>
      <c r="C1161" s="115">
        <v>4439</v>
      </c>
      <c r="D1161" s="258" t="s">
        <v>43</v>
      </c>
      <c r="J1161" s="67"/>
      <c r="K1161" s="65"/>
      <c r="L1161" s="65"/>
      <c r="M1161" s="65"/>
      <c r="N1161" s="257">
        <v>0</v>
      </c>
      <c r="O1161" s="257">
        <v>90</v>
      </c>
      <c r="P1161" s="257"/>
      <c r="Q1161" s="186">
        <f t="shared" si="145"/>
        <v>0</v>
      </c>
      <c r="R1161" s="257"/>
      <c r="S1161" s="257"/>
      <c r="T1161" s="257">
        <v>0</v>
      </c>
      <c r="U1161" s="257"/>
      <c r="V1161" s="257"/>
      <c r="W1161" s="32">
        <f t="shared" si="144"/>
        <v>0</v>
      </c>
    </row>
    <row r="1162" spans="1:23" ht="12">
      <c r="A1162" s="25"/>
      <c r="B1162" s="121"/>
      <c r="C1162" s="115">
        <v>4417</v>
      </c>
      <c r="D1162" s="258" t="s">
        <v>42</v>
      </c>
      <c r="J1162" s="67"/>
      <c r="K1162" s="65"/>
      <c r="L1162" s="65"/>
      <c r="M1162" s="65"/>
      <c r="N1162" s="257"/>
      <c r="O1162" s="257"/>
      <c r="P1162" s="257"/>
      <c r="Q1162" s="186"/>
      <c r="R1162" s="257"/>
      <c r="S1162" s="257"/>
      <c r="T1162" s="257">
        <v>2365</v>
      </c>
      <c r="U1162" s="132">
        <f>U1457+U1491</f>
        <v>0</v>
      </c>
      <c r="V1162" s="132">
        <f>V1457+V1491</f>
        <v>362</v>
      </c>
      <c r="W1162" s="32">
        <f t="shared" si="144"/>
        <v>2003</v>
      </c>
    </row>
    <row r="1163" spans="1:26" ht="12">
      <c r="A1163" s="25"/>
      <c r="B1163" s="121"/>
      <c r="C1163" s="115">
        <v>4418</v>
      </c>
      <c r="D1163" s="258" t="s">
        <v>42</v>
      </c>
      <c r="J1163" s="67"/>
      <c r="K1163" s="65"/>
      <c r="L1163" s="65"/>
      <c r="M1163" s="65"/>
      <c r="N1163" s="257"/>
      <c r="O1163" s="257"/>
      <c r="P1163" s="257"/>
      <c r="Q1163" s="186"/>
      <c r="R1163" s="257"/>
      <c r="S1163" s="257"/>
      <c r="T1163" s="259">
        <v>507</v>
      </c>
      <c r="U1163" s="260">
        <f>U1334</f>
        <v>0</v>
      </c>
      <c r="V1163" s="260">
        <f>V1334</f>
        <v>0</v>
      </c>
      <c r="W1163" s="222">
        <f t="shared" si="144"/>
        <v>507</v>
      </c>
      <c r="Y1163" s="236">
        <f>Y1334</f>
        <v>0</v>
      </c>
      <c r="Z1163" s="236">
        <f>Z1334</f>
        <v>0</v>
      </c>
    </row>
    <row r="1164" spans="1:26" ht="12">
      <c r="A1164" s="25"/>
      <c r="B1164" s="121"/>
      <c r="C1164" s="115">
        <v>4419</v>
      </c>
      <c r="D1164" s="258" t="s">
        <v>42</v>
      </c>
      <c r="J1164" s="67"/>
      <c r="K1164" s="65"/>
      <c r="L1164" s="65"/>
      <c r="M1164" s="65"/>
      <c r="N1164" s="257"/>
      <c r="O1164" s="257"/>
      <c r="P1164" s="257"/>
      <c r="Q1164" s="186"/>
      <c r="R1164" s="257"/>
      <c r="S1164" s="257"/>
      <c r="T1164" s="259">
        <v>425</v>
      </c>
      <c r="U1164" s="260">
        <f>U1335+U1458+U1492</f>
        <v>0</v>
      </c>
      <c r="V1164" s="260">
        <f>V1335+V1458+V1492</f>
        <v>19</v>
      </c>
      <c r="W1164" s="222">
        <f t="shared" si="144"/>
        <v>406</v>
      </c>
      <c r="Y1164" s="236">
        <f>Y1335+Y1458</f>
        <v>0</v>
      </c>
      <c r="Z1164" s="236">
        <f>Z1335+Z1458</f>
        <v>0</v>
      </c>
    </row>
    <row r="1165" spans="1:23" ht="24">
      <c r="A1165" s="25"/>
      <c r="B1165" s="121"/>
      <c r="C1165" s="115">
        <v>4447</v>
      </c>
      <c r="D1165" s="258" t="s">
        <v>44</v>
      </c>
      <c r="J1165" s="67"/>
      <c r="K1165" s="65"/>
      <c r="L1165" s="65"/>
      <c r="M1165" s="65"/>
      <c r="N1165" s="257"/>
      <c r="O1165" s="257"/>
      <c r="P1165" s="257"/>
      <c r="Q1165" s="186"/>
      <c r="R1165" s="257"/>
      <c r="S1165" s="257"/>
      <c r="T1165" s="257">
        <v>627</v>
      </c>
      <c r="U1165" s="132">
        <f>U1459</f>
        <v>0</v>
      </c>
      <c r="V1165" s="132">
        <f>V1459</f>
        <v>0</v>
      </c>
      <c r="W1165" s="32">
        <f t="shared" si="144"/>
        <v>627</v>
      </c>
    </row>
    <row r="1166" spans="1:23" ht="24">
      <c r="A1166" s="25"/>
      <c r="B1166" s="121"/>
      <c r="C1166" s="115">
        <v>4449</v>
      </c>
      <c r="D1166" s="258" t="s">
        <v>44</v>
      </c>
      <c r="J1166" s="67"/>
      <c r="K1166" s="65"/>
      <c r="L1166" s="65"/>
      <c r="M1166" s="65"/>
      <c r="N1166" s="257"/>
      <c r="O1166" s="257"/>
      <c r="P1166" s="257"/>
      <c r="Q1166" s="186"/>
      <c r="R1166" s="257"/>
      <c r="S1166" s="257"/>
      <c r="T1166" s="257">
        <v>33</v>
      </c>
      <c r="U1166" s="132">
        <f>U1460</f>
        <v>0</v>
      </c>
      <c r="V1166" s="132">
        <f>V1460</f>
        <v>0</v>
      </c>
      <c r="W1166" s="32">
        <f t="shared" si="144"/>
        <v>33</v>
      </c>
    </row>
    <row r="1167" spans="1:23" ht="36">
      <c r="A1167" s="25"/>
      <c r="B1167" s="121"/>
      <c r="C1167" s="115">
        <v>4747</v>
      </c>
      <c r="D1167" s="119" t="s">
        <v>73</v>
      </c>
      <c r="J1167" s="67"/>
      <c r="K1167" s="65"/>
      <c r="L1167" s="65"/>
      <c r="M1167" s="65"/>
      <c r="N1167" s="257"/>
      <c r="O1167" s="257"/>
      <c r="P1167" s="257"/>
      <c r="Q1167" s="186"/>
      <c r="R1167" s="257"/>
      <c r="S1167" s="257"/>
      <c r="T1167" s="257">
        <v>8728</v>
      </c>
      <c r="U1167" s="132">
        <f>U1461+U1495+U1432</f>
        <v>127</v>
      </c>
      <c r="V1167" s="132">
        <f>V1461+V1495+V1432</f>
        <v>0</v>
      </c>
      <c r="W1167" s="32">
        <f t="shared" si="144"/>
        <v>8855</v>
      </c>
    </row>
    <row r="1168" spans="1:23" ht="36">
      <c r="A1168" s="25"/>
      <c r="B1168" s="121"/>
      <c r="C1168" s="115">
        <v>4748</v>
      </c>
      <c r="D1168" s="119" t="s">
        <v>73</v>
      </c>
      <c r="J1168" s="67"/>
      <c r="K1168" s="65">
        <v>3278</v>
      </c>
      <c r="L1168" s="65">
        <v>3278</v>
      </c>
      <c r="M1168" s="65">
        <v>3278</v>
      </c>
      <c r="N1168" s="12">
        <v>1836</v>
      </c>
      <c r="O1168" s="12">
        <v>13191</v>
      </c>
      <c r="P1168" s="12">
        <v>1357</v>
      </c>
      <c r="Q1168" s="186">
        <f t="shared" si="145"/>
        <v>0.1028731711015086</v>
      </c>
      <c r="R1168" s="12">
        <f>R1193+R1206+R1228</f>
        <v>3795</v>
      </c>
      <c r="S1168" s="12">
        <f>850+2743+2443+4068</f>
        <v>10104</v>
      </c>
      <c r="T1168" s="12">
        <v>16755</v>
      </c>
      <c r="U1168" s="12">
        <f>U1274+U1293+U1376+U1413</f>
        <v>0</v>
      </c>
      <c r="V1168" s="12">
        <f>V1274+V1293+V1376+V1413</f>
        <v>0</v>
      </c>
      <c r="W1168" s="32">
        <f t="shared" si="144"/>
        <v>16755</v>
      </c>
    </row>
    <row r="1169" spans="1:23" ht="36">
      <c r="A1169" s="25"/>
      <c r="B1169" s="121"/>
      <c r="C1169" s="115">
        <v>4749</v>
      </c>
      <c r="D1169" s="119" t="s">
        <v>73</v>
      </c>
      <c r="J1169" s="67"/>
      <c r="K1169" s="65">
        <v>578</v>
      </c>
      <c r="L1169" s="65">
        <v>578</v>
      </c>
      <c r="M1169" s="65">
        <v>578</v>
      </c>
      <c r="N1169" s="12">
        <v>324</v>
      </c>
      <c r="O1169" s="12">
        <v>2328</v>
      </c>
      <c r="P1169" s="12">
        <v>240</v>
      </c>
      <c r="Q1169" s="186">
        <f t="shared" si="145"/>
        <v>0.10309278350515463</v>
      </c>
      <c r="R1169" s="12">
        <f>R1194+R1207+R1229</f>
        <v>670</v>
      </c>
      <c r="S1169" s="12">
        <f>150+484+366+718</f>
        <v>1718</v>
      </c>
      <c r="T1169" s="12">
        <v>4404</v>
      </c>
      <c r="U1169" s="12">
        <f>U1275+U1294+U1377+U1414+U1462+U1496+U1433</f>
        <v>22</v>
      </c>
      <c r="V1169" s="12">
        <f>V1275+V1294+V1377+V1414+V1462+V1496+V1433</f>
        <v>0</v>
      </c>
      <c r="W1169" s="32">
        <f t="shared" si="144"/>
        <v>4426</v>
      </c>
    </row>
    <row r="1170" spans="1:23" ht="24">
      <c r="A1170" s="25"/>
      <c r="B1170" s="121"/>
      <c r="C1170" s="115">
        <v>4757</v>
      </c>
      <c r="D1170" s="119" t="s">
        <v>118</v>
      </c>
      <c r="J1170" s="67"/>
      <c r="K1170" s="65">
        <v>4250</v>
      </c>
      <c r="L1170" s="65">
        <v>4250</v>
      </c>
      <c r="M1170" s="65">
        <v>4250</v>
      </c>
      <c r="N1170" s="12">
        <v>7310</v>
      </c>
      <c r="O1170" s="12">
        <v>19279</v>
      </c>
      <c r="P1170" s="12">
        <v>7241</v>
      </c>
      <c r="Q1170" s="186">
        <f>P1170/O1170</f>
        <v>0.375590020229265</v>
      </c>
      <c r="R1170" s="12">
        <f>R1194+R1229</f>
        <v>668</v>
      </c>
      <c r="S1170" s="12">
        <f>850+1768+3653+18699</f>
        <v>24970</v>
      </c>
      <c r="T1170" s="12">
        <v>10508</v>
      </c>
      <c r="U1170" s="12">
        <f>U1434+U1463+U1497</f>
        <v>0</v>
      </c>
      <c r="V1170" s="12">
        <f>V1434+V1463+V1497</f>
        <v>0</v>
      </c>
      <c r="W1170" s="32">
        <f>T1170+U1170-V1170</f>
        <v>10508</v>
      </c>
    </row>
    <row r="1171" spans="1:23" ht="24">
      <c r="A1171" s="25"/>
      <c r="B1171" s="121"/>
      <c r="C1171" s="115">
        <v>4758</v>
      </c>
      <c r="D1171" s="119" t="s">
        <v>118</v>
      </c>
      <c r="J1171" s="67"/>
      <c r="K1171" s="65">
        <v>4250</v>
      </c>
      <c r="L1171" s="65">
        <v>4250</v>
      </c>
      <c r="M1171" s="65">
        <v>4250</v>
      </c>
      <c r="N1171" s="12">
        <v>7310</v>
      </c>
      <c r="O1171" s="12">
        <v>19279</v>
      </c>
      <c r="P1171" s="12">
        <v>7241</v>
      </c>
      <c r="Q1171" s="186">
        <f t="shared" si="145"/>
        <v>0.375590020229265</v>
      </c>
      <c r="R1171" s="12">
        <f>R1195+R1230</f>
        <v>10140</v>
      </c>
      <c r="S1171" s="12">
        <f>850+1768+3653+18699</f>
        <v>24970</v>
      </c>
      <c r="T1171" s="12">
        <v>55028</v>
      </c>
      <c r="U1171" s="12">
        <f>U1276+U1295+U1378+U1415</f>
        <v>0</v>
      </c>
      <c r="V1171" s="12">
        <f>V1276+V1295+V1378+V1415</f>
        <v>0</v>
      </c>
      <c r="W1171" s="32">
        <f t="shared" si="144"/>
        <v>55028</v>
      </c>
    </row>
    <row r="1172" spans="1:23" ht="24">
      <c r="A1172" s="25"/>
      <c r="B1172" s="121"/>
      <c r="C1172" s="115">
        <v>4759</v>
      </c>
      <c r="D1172" s="119" t="s">
        <v>118</v>
      </c>
      <c r="J1172" s="67"/>
      <c r="K1172" s="65">
        <v>750</v>
      </c>
      <c r="L1172" s="65">
        <v>750</v>
      </c>
      <c r="M1172" s="65">
        <v>750</v>
      </c>
      <c r="N1172" s="12">
        <v>1290</v>
      </c>
      <c r="O1172" s="12">
        <v>3403</v>
      </c>
      <c r="P1172" s="12">
        <v>1278</v>
      </c>
      <c r="Q1172" s="186">
        <f t="shared" si="145"/>
        <v>0.3755509844255069</v>
      </c>
      <c r="R1172" s="12">
        <f>R1196+R1231</f>
        <v>1789</v>
      </c>
      <c r="S1172" s="12">
        <f>150+312+3300+548</f>
        <v>4310</v>
      </c>
      <c r="T1172" s="12">
        <v>11150</v>
      </c>
      <c r="U1172" s="12">
        <f>U1277+U1296+U1379+U1416+U1435+U1464+U1498</f>
        <v>0</v>
      </c>
      <c r="V1172" s="12">
        <f>V1277+V1296+V1379+V1416+V1435+V1464+V1498</f>
        <v>0</v>
      </c>
      <c r="W1172" s="32">
        <f t="shared" si="144"/>
        <v>11150</v>
      </c>
    </row>
    <row r="1173" spans="1:23" ht="24">
      <c r="A1173" s="25"/>
      <c r="B1173" s="121"/>
      <c r="C1173" s="115">
        <v>6068</v>
      </c>
      <c r="D1173" s="119" t="s">
        <v>50</v>
      </c>
      <c r="J1173" s="122"/>
      <c r="K1173" s="122"/>
      <c r="L1173" s="122"/>
      <c r="M1173" s="122"/>
      <c r="N1173" s="12">
        <v>6120</v>
      </c>
      <c r="O1173" s="12">
        <v>6120</v>
      </c>
      <c r="P1173" s="12">
        <v>6120</v>
      </c>
      <c r="Q1173" s="186">
        <f t="shared" si="145"/>
        <v>1</v>
      </c>
      <c r="R1173" s="12">
        <f>R1232</f>
        <v>6120</v>
      </c>
      <c r="S1173" s="12">
        <v>3400</v>
      </c>
      <c r="T1173" s="12">
        <v>3428</v>
      </c>
      <c r="U1173" s="12">
        <f>U1380</f>
        <v>0</v>
      </c>
      <c r="V1173" s="12">
        <f>V1380</f>
        <v>0</v>
      </c>
      <c r="W1173" s="32">
        <f t="shared" si="144"/>
        <v>3428</v>
      </c>
    </row>
    <row r="1174" spans="1:23" ht="24">
      <c r="A1174" s="25"/>
      <c r="B1174" s="121"/>
      <c r="C1174" s="115">
        <v>6069</v>
      </c>
      <c r="D1174" s="119" t="s">
        <v>50</v>
      </c>
      <c r="J1174" s="122"/>
      <c r="K1174" s="122"/>
      <c r="L1174" s="122"/>
      <c r="M1174" s="122"/>
      <c r="N1174" s="12">
        <v>1080</v>
      </c>
      <c r="O1174" s="12">
        <v>1080</v>
      </c>
      <c r="P1174" s="12">
        <v>1080</v>
      </c>
      <c r="Q1174" s="186">
        <f t="shared" si="145"/>
        <v>1</v>
      </c>
      <c r="R1174" s="12">
        <f>R1233</f>
        <v>1080</v>
      </c>
      <c r="S1174" s="12">
        <v>600</v>
      </c>
      <c r="T1174" s="12">
        <v>605</v>
      </c>
      <c r="U1174" s="12">
        <f>U1381</f>
        <v>0</v>
      </c>
      <c r="V1174" s="12">
        <f>V1381</f>
        <v>0</v>
      </c>
      <c r="W1174" s="32">
        <f t="shared" si="144"/>
        <v>605</v>
      </c>
    </row>
    <row r="1175" spans="1:23" ht="12">
      <c r="A1175" s="25"/>
      <c r="B1175" s="121"/>
      <c r="C1175" s="115"/>
      <c r="D1175" s="123" t="s">
        <v>226</v>
      </c>
      <c r="J1175" s="67"/>
      <c r="K1175" s="65"/>
      <c r="L1175" s="65"/>
      <c r="M1175" s="65"/>
      <c r="N1175" s="12"/>
      <c r="O1175" s="12"/>
      <c r="P1175" s="12"/>
      <c r="Q1175" s="186"/>
      <c r="R1175" s="12"/>
      <c r="S1175" s="12"/>
      <c r="T1175" s="12">
        <v>0</v>
      </c>
      <c r="U1175" s="12"/>
      <c r="V1175" s="12"/>
      <c r="W1175" s="32">
        <f t="shared" si="144"/>
        <v>0</v>
      </c>
    </row>
    <row r="1176" spans="1:23" ht="12" hidden="1">
      <c r="A1176" s="25"/>
      <c r="B1176" s="124"/>
      <c r="C1176" s="125"/>
      <c r="D1176" s="126" t="s">
        <v>304</v>
      </c>
      <c r="J1176" s="127"/>
      <c r="K1176" s="128"/>
      <c r="L1176" s="128"/>
      <c r="M1176" s="128"/>
      <c r="N1176" s="12"/>
      <c r="O1176" s="12"/>
      <c r="P1176" s="12"/>
      <c r="Q1176" s="186"/>
      <c r="R1176" s="12"/>
      <c r="S1176" s="12"/>
      <c r="T1176" s="12">
        <v>0</v>
      </c>
      <c r="U1176" s="12"/>
      <c r="V1176" s="12"/>
      <c r="W1176" s="32">
        <f t="shared" si="144"/>
        <v>0</v>
      </c>
    </row>
    <row r="1177" spans="1:23" ht="12" hidden="1">
      <c r="A1177" s="25"/>
      <c r="B1177" s="124"/>
      <c r="C1177" s="125"/>
      <c r="D1177" s="126"/>
      <c r="J1177" s="127"/>
      <c r="K1177" s="128"/>
      <c r="L1177" s="128"/>
      <c r="M1177" s="128"/>
      <c r="N1177" s="37">
        <v>864085</v>
      </c>
      <c r="O1177" s="37">
        <v>962745</v>
      </c>
      <c r="P1177" s="37">
        <f>SUM(P1178:P1181)</f>
        <v>86530</v>
      </c>
      <c r="Q1177" s="186">
        <f t="shared" si="145"/>
        <v>0.08987842055788396</v>
      </c>
      <c r="R1177" s="37">
        <f>SUM(R1178:R1181)</f>
        <v>962745</v>
      </c>
      <c r="S1177" s="37">
        <f>SUM(S1178:S1181)</f>
        <v>0</v>
      </c>
      <c r="T1177" s="37">
        <v>0</v>
      </c>
      <c r="U1177" s="37">
        <f>SUM(U1178:U1181)</f>
        <v>0</v>
      </c>
      <c r="V1177" s="37">
        <f>SUM(V1178:V1181)</f>
        <v>0</v>
      </c>
      <c r="W1177" s="32">
        <f t="shared" si="144"/>
        <v>0</v>
      </c>
    </row>
    <row r="1178" spans="1:23" ht="48" hidden="1">
      <c r="A1178" s="25"/>
      <c r="B1178" s="124"/>
      <c r="C1178" s="118">
        <v>2318</v>
      </c>
      <c r="D1178" s="119" t="s">
        <v>223</v>
      </c>
      <c r="J1178" s="117"/>
      <c r="K1178" s="120">
        <v>902</v>
      </c>
      <c r="L1178" s="120">
        <v>902</v>
      </c>
      <c r="M1178" s="120">
        <v>902</v>
      </c>
      <c r="N1178" s="120">
        <v>1493</v>
      </c>
      <c r="O1178" s="120">
        <v>1493</v>
      </c>
      <c r="P1178" s="120"/>
      <c r="Q1178" s="186">
        <f t="shared" si="145"/>
        <v>0</v>
      </c>
      <c r="R1178" s="120">
        <v>1493</v>
      </c>
      <c r="S1178" s="120"/>
      <c r="T1178" s="120">
        <v>0</v>
      </c>
      <c r="U1178" s="120"/>
      <c r="V1178" s="120"/>
      <c r="W1178" s="32">
        <f t="shared" si="144"/>
        <v>0</v>
      </c>
    </row>
    <row r="1179" spans="1:23" ht="48" hidden="1">
      <c r="A1179" s="25"/>
      <c r="B1179" s="124"/>
      <c r="C1179" s="118">
        <v>2319</v>
      </c>
      <c r="D1179" s="119" t="s">
        <v>224</v>
      </c>
      <c r="J1179" s="117"/>
      <c r="K1179" s="120">
        <v>159</v>
      </c>
      <c r="L1179" s="120">
        <v>159</v>
      </c>
      <c r="M1179" s="120">
        <v>159</v>
      </c>
      <c r="N1179" s="120">
        <v>264</v>
      </c>
      <c r="O1179" s="120">
        <v>264</v>
      </c>
      <c r="P1179" s="120"/>
      <c r="Q1179" s="186">
        <f t="shared" si="145"/>
        <v>0</v>
      </c>
      <c r="R1179" s="120">
        <v>264</v>
      </c>
      <c r="S1179" s="120"/>
      <c r="T1179" s="120">
        <v>0</v>
      </c>
      <c r="U1179" s="120"/>
      <c r="V1179" s="120"/>
      <c r="W1179" s="32">
        <f t="shared" si="144"/>
        <v>0</v>
      </c>
    </row>
    <row r="1180" spans="1:23" ht="48" hidden="1">
      <c r="A1180" s="25"/>
      <c r="B1180" s="124"/>
      <c r="C1180" s="118">
        <v>2328</v>
      </c>
      <c r="D1180" s="119" t="s">
        <v>225</v>
      </c>
      <c r="J1180" s="67"/>
      <c r="K1180" s="65">
        <v>442936</v>
      </c>
      <c r="L1180" s="65">
        <v>442936</v>
      </c>
      <c r="M1180" s="65">
        <v>442936</v>
      </c>
      <c r="N1180" s="12">
        <v>732979</v>
      </c>
      <c r="O1180" s="12">
        <v>816837</v>
      </c>
      <c r="P1180" s="12">
        <v>83858</v>
      </c>
      <c r="Q1180" s="186">
        <f t="shared" si="145"/>
        <v>0.10266185297678729</v>
      </c>
      <c r="R1180" s="12">
        <v>816837</v>
      </c>
      <c r="S1180" s="12"/>
      <c r="T1180" s="12">
        <v>0</v>
      </c>
      <c r="U1180" s="12"/>
      <c r="V1180" s="12"/>
      <c r="W1180" s="32">
        <f t="shared" si="144"/>
        <v>0</v>
      </c>
    </row>
    <row r="1181" spans="1:23" ht="48" hidden="1">
      <c r="A1181" s="25"/>
      <c r="B1181" s="124"/>
      <c r="C1181" s="118">
        <v>2329</v>
      </c>
      <c r="D1181" s="119" t="s">
        <v>225</v>
      </c>
      <c r="J1181" s="67"/>
      <c r="K1181" s="65">
        <v>78165</v>
      </c>
      <c r="L1181" s="65">
        <v>78165</v>
      </c>
      <c r="M1181" s="65">
        <v>78165</v>
      </c>
      <c r="N1181" s="12">
        <v>144151</v>
      </c>
      <c r="O1181" s="12">
        <v>144151</v>
      </c>
      <c r="P1181" s="12">
        <v>2672</v>
      </c>
      <c r="Q1181" s="186">
        <f t="shared" si="145"/>
        <v>0.01853611837586975</v>
      </c>
      <c r="R1181" s="12">
        <v>144151</v>
      </c>
      <c r="S1181" s="12"/>
      <c r="T1181" s="12">
        <v>0</v>
      </c>
      <c r="U1181" s="12"/>
      <c r="V1181" s="12"/>
      <c r="W1181" s="32">
        <f t="shared" si="144"/>
        <v>0</v>
      </c>
    </row>
    <row r="1182" spans="1:23" ht="12" hidden="1">
      <c r="A1182" s="25"/>
      <c r="B1182" s="124"/>
      <c r="C1182" s="129"/>
      <c r="D1182" s="126" t="s">
        <v>227</v>
      </c>
      <c r="J1182" s="127">
        <f>SUM(J1183:J1196)</f>
        <v>0</v>
      </c>
      <c r="K1182" s="128">
        <f>SUM(K1183:K1196)</f>
        <v>69688</v>
      </c>
      <c r="L1182" s="128">
        <f>SUM(L1183:L1196)</f>
        <v>69688</v>
      </c>
      <c r="M1182" s="128">
        <f>SUM(M1183:M1196)</f>
        <v>69688</v>
      </c>
      <c r="N1182" s="37">
        <v>100812</v>
      </c>
      <c r="O1182" s="37">
        <v>103439</v>
      </c>
      <c r="P1182" s="37">
        <f>SUM(P1183:P1196)</f>
        <v>39951</v>
      </c>
      <c r="Q1182" s="186">
        <f aca="true" t="shared" si="147" ref="Q1182:Q1247">P1182/O1182</f>
        <v>0.38622763174431307</v>
      </c>
      <c r="R1182" s="37">
        <f>SUM(R1183:R1196)</f>
        <v>103439</v>
      </c>
      <c r="S1182" s="37">
        <f>SUM(S1183:S1196)</f>
        <v>0</v>
      </c>
      <c r="T1182" s="37">
        <v>0</v>
      </c>
      <c r="U1182" s="37">
        <f>SUM(U1183:U1196)</f>
        <v>0</v>
      </c>
      <c r="V1182" s="37">
        <f>SUM(V1183:V1196)</f>
        <v>0</v>
      </c>
      <c r="W1182" s="32">
        <f aca="true" t="shared" si="148" ref="W1182:W1245">T1182+U1182-V1182</f>
        <v>0</v>
      </c>
    </row>
    <row r="1183" spans="1:23" ht="24" hidden="1">
      <c r="A1183" s="25"/>
      <c r="B1183" s="121"/>
      <c r="C1183" s="115">
        <v>4118</v>
      </c>
      <c r="D1183" s="119" t="s">
        <v>113</v>
      </c>
      <c r="J1183" s="67"/>
      <c r="K1183" s="65">
        <v>4432</v>
      </c>
      <c r="L1183" s="65">
        <v>4432</v>
      </c>
      <c r="M1183" s="65">
        <v>4432</v>
      </c>
      <c r="N1183" s="12">
        <v>9397</v>
      </c>
      <c r="O1183" s="12">
        <v>9397</v>
      </c>
      <c r="P1183" s="12">
        <v>4385</v>
      </c>
      <c r="Q1183" s="186">
        <f t="shared" si="147"/>
        <v>0.46663828881557945</v>
      </c>
      <c r="R1183" s="12">
        <v>9397</v>
      </c>
      <c r="S1183" s="12"/>
      <c r="T1183" s="12">
        <v>0</v>
      </c>
      <c r="U1183" s="12"/>
      <c r="V1183" s="12"/>
      <c r="W1183" s="32">
        <f t="shared" si="148"/>
        <v>0</v>
      </c>
    </row>
    <row r="1184" spans="1:23" ht="24" hidden="1">
      <c r="A1184" s="25"/>
      <c r="B1184" s="121"/>
      <c r="C1184" s="115">
        <v>4119</v>
      </c>
      <c r="D1184" s="119" t="s">
        <v>113</v>
      </c>
      <c r="J1184" s="67"/>
      <c r="K1184" s="65">
        <v>782</v>
      </c>
      <c r="L1184" s="65">
        <v>782</v>
      </c>
      <c r="M1184" s="65">
        <v>782</v>
      </c>
      <c r="N1184" s="12">
        <v>1658</v>
      </c>
      <c r="O1184" s="12">
        <v>1658</v>
      </c>
      <c r="P1184" s="12">
        <v>774</v>
      </c>
      <c r="Q1184" s="186">
        <f t="shared" si="147"/>
        <v>0.46682750301568154</v>
      </c>
      <c r="R1184" s="12">
        <v>1658</v>
      </c>
      <c r="S1184" s="12"/>
      <c r="T1184" s="12">
        <v>0</v>
      </c>
      <c r="U1184" s="12"/>
      <c r="V1184" s="12"/>
      <c r="W1184" s="32">
        <f t="shared" si="148"/>
        <v>0</v>
      </c>
    </row>
    <row r="1185" spans="1:23" ht="12" hidden="1">
      <c r="A1185" s="25"/>
      <c r="B1185" s="121"/>
      <c r="C1185" s="115">
        <v>4128</v>
      </c>
      <c r="D1185" s="119" t="s">
        <v>116</v>
      </c>
      <c r="J1185" s="67"/>
      <c r="K1185" s="65">
        <v>715</v>
      </c>
      <c r="L1185" s="65">
        <v>715</v>
      </c>
      <c r="M1185" s="65">
        <v>715</v>
      </c>
      <c r="N1185" s="12">
        <v>1516</v>
      </c>
      <c r="O1185" s="12">
        <v>1516</v>
      </c>
      <c r="P1185" s="12">
        <v>707</v>
      </c>
      <c r="Q1185" s="186">
        <f t="shared" si="147"/>
        <v>0.4663588390501319</v>
      </c>
      <c r="R1185" s="12">
        <v>1516</v>
      </c>
      <c r="S1185" s="12"/>
      <c r="T1185" s="12">
        <v>0</v>
      </c>
      <c r="U1185" s="12"/>
      <c r="V1185" s="12"/>
      <c r="W1185" s="32">
        <f t="shared" si="148"/>
        <v>0</v>
      </c>
    </row>
    <row r="1186" spans="1:23" ht="12" hidden="1">
      <c r="A1186" s="25"/>
      <c r="B1186" s="121"/>
      <c r="C1186" s="115">
        <v>4129</v>
      </c>
      <c r="D1186" s="119" t="s">
        <v>116</v>
      </c>
      <c r="J1186" s="67"/>
      <c r="K1186" s="65">
        <v>126</v>
      </c>
      <c r="L1186" s="65">
        <v>126</v>
      </c>
      <c r="M1186" s="65">
        <v>126</v>
      </c>
      <c r="N1186" s="12">
        <v>267</v>
      </c>
      <c r="O1186" s="12">
        <v>267</v>
      </c>
      <c r="P1186" s="12">
        <v>125</v>
      </c>
      <c r="Q1186" s="186">
        <f t="shared" si="147"/>
        <v>0.4681647940074906</v>
      </c>
      <c r="R1186" s="12">
        <v>267</v>
      </c>
      <c r="S1186" s="12"/>
      <c r="T1186" s="12">
        <v>0</v>
      </c>
      <c r="U1186" s="12"/>
      <c r="V1186" s="12"/>
      <c r="W1186" s="32">
        <f t="shared" si="148"/>
        <v>0</v>
      </c>
    </row>
    <row r="1187" spans="1:23" ht="12" hidden="1">
      <c r="A1187" s="25"/>
      <c r="B1187" s="121"/>
      <c r="C1187" s="115">
        <v>4178</v>
      </c>
      <c r="D1187" s="119" t="s">
        <v>69</v>
      </c>
      <c r="J1187" s="67"/>
      <c r="K1187" s="65">
        <v>29176</v>
      </c>
      <c r="L1187" s="65">
        <v>29176</v>
      </c>
      <c r="M1187" s="65">
        <v>29176</v>
      </c>
      <c r="N1187" s="12">
        <v>61865</v>
      </c>
      <c r="O1187" s="12">
        <v>61865</v>
      </c>
      <c r="P1187" s="12">
        <v>28866</v>
      </c>
      <c r="Q1187" s="186">
        <f t="shared" si="147"/>
        <v>0.4665966216762305</v>
      </c>
      <c r="R1187" s="12">
        <v>61865</v>
      </c>
      <c r="S1187" s="12"/>
      <c r="T1187" s="12">
        <v>0</v>
      </c>
      <c r="U1187" s="12"/>
      <c r="V1187" s="12"/>
      <c r="W1187" s="32">
        <f t="shared" si="148"/>
        <v>0</v>
      </c>
    </row>
    <row r="1188" spans="1:23" ht="12" hidden="1">
      <c r="A1188" s="25"/>
      <c r="B1188" s="121"/>
      <c r="C1188" s="115">
        <v>4179</v>
      </c>
      <c r="D1188" s="119" t="s">
        <v>69</v>
      </c>
      <c r="J1188" s="67"/>
      <c r="K1188" s="65">
        <v>5149</v>
      </c>
      <c r="L1188" s="65">
        <v>5149</v>
      </c>
      <c r="M1188" s="65">
        <v>5149</v>
      </c>
      <c r="N1188" s="12">
        <v>10917</v>
      </c>
      <c r="O1188" s="12">
        <v>10917</v>
      </c>
      <c r="P1188" s="12">
        <v>5094</v>
      </c>
      <c r="Q1188" s="186">
        <f t="shared" si="147"/>
        <v>0.4666117065127782</v>
      </c>
      <c r="R1188" s="12">
        <v>10917</v>
      </c>
      <c r="S1188" s="12"/>
      <c r="T1188" s="12">
        <v>0</v>
      </c>
      <c r="U1188" s="12"/>
      <c r="V1188" s="12"/>
      <c r="W1188" s="32">
        <f t="shared" si="148"/>
        <v>0</v>
      </c>
    </row>
    <row r="1189" spans="1:23" ht="12" hidden="1">
      <c r="A1189" s="25"/>
      <c r="B1189" s="121"/>
      <c r="C1189" s="115">
        <v>4218</v>
      </c>
      <c r="D1189" s="119" t="s">
        <v>34</v>
      </c>
      <c r="J1189" s="67"/>
      <c r="K1189" s="65">
        <v>4505</v>
      </c>
      <c r="L1189" s="65">
        <v>4505</v>
      </c>
      <c r="M1189" s="65">
        <v>4505</v>
      </c>
      <c r="N1189" s="12">
        <v>2729</v>
      </c>
      <c r="O1189" s="12">
        <v>4911</v>
      </c>
      <c r="P1189" s="12"/>
      <c r="Q1189" s="186">
        <f t="shared" si="147"/>
        <v>0</v>
      </c>
      <c r="R1189" s="12">
        <v>4911</v>
      </c>
      <c r="S1189" s="12"/>
      <c r="T1189" s="12">
        <v>0</v>
      </c>
      <c r="U1189" s="12"/>
      <c r="V1189" s="12"/>
      <c r="W1189" s="32">
        <f t="shared" si="148"/>
        <v>0</v>
      </c>
    </row>
    <row r="1190" spans="1:23" ht="12" hidden="1">
      <c r="A1190" s="25"/>
      <c r="B1190" s="121"/>
      <c r="C1190" s="115">
        <v>4219</v>
      </c>
      <c r="D1190" s="119" t="s">
        <v>34</v>
      </c>
      <c r="J1190" s="67"/>
      <c r="K1190" s="65">
        <v>795</v>
      </c>
      <c r="L1190" s="65">
        <v>795</v>
      </c>
      <c r="M1190" s="65">
        <v>795</v>
      </c>
      <c r="N1190" s="12">
        <v>482</v>
      </c>
      <c r="O1190" s="12">
        <v>867</v>
      </c>
      <c r="P1190" s="12"/>
      <c r="Q1190" s="186">
        <f t="shared" si="147"/>
        <v>0</v>
      </c>
      <c r="R1190" s="12">
        <v>867</v>
      </c>
      <c r="S1190" s="12"/>
      <c r="T1190" s="12">
        <v>0</v>
      </c>
      <c r="U1190" s="12"/>
      <c r="V1190" s="12"/>
      <c r="W1190" s="32">
        <f t="shared" si="148"/>
        <v>0</v>
      </c>
    </row>
    <row r="1191" spans="1:23" ht="12" hidden="1">
      <c r="A1191" s="25"/>
      <c r="B1191" s="121"/>
      <c r="C1191" s="115">
        <v>4308</v>
      </c>
      <c r="D1191" s="119" t="s">
        <v>17</v>
      </c>
      <c r="J1191" s="67"/>
      <c r="K1191" s="65">
        <v>13607</v>
      </c>
      <c r="L1191" s="65">
        <v>13607</v>
      </c>
      <c r="M1191" s="65">
        <v>13607</v>
      </c>
      <c r="N1191" s="12">
        <v>6784</v>
      </c>
      <c r="O1191" s="12">
        <v>6840</v>
      </c>
      <c r="P1191" s="12"/>
      <c r="Q1191" s="186">
        <f t="shared" si="147"/>
        <v>0</v>
      </c>
      <c r="R1191" s="12">
        <v>6840</v>
      </c>
      <c r="S1191" s="12"/>
      <c r="T1191" s="12">
        <v>0</v>
      </c>
      <c r="U1191" s="12"/>
      <c r="V1191" s="12"/>
      <c r="W1191" s="32">
        <f t="shared" si="148"/>
        <v>0</v>
      </c>
    </row>
    <row r="1192" spans="1:23" ht="12" hidden="1">
      <c r="A1192" s="25"/>
      <c r="B1192" s="121"/>
      <c r="C1192" s="115">
        <v>4309</v>
      </c>
      <c r="D1192" s="119" t="s">
        <v>17</v>
      </c>
      <c r="J1192" s="67"/>
      <c r="K1192" s="65">
        <v>2401</v>
      </c>
      <c r="L1192" s="65">
        <v>2401</v>
      </c>
      <c r="M1192" s="65">
        <v>2401</v>
      </c>
      <c r="N1192" s="12">
        <v>1197</v>
      </c>
      <c r="O1192" s="12">
        <v>1201</v>
      </c>
      <c r="P1192" s="12"/>
      <c r="Q1192" s="186">
        <f t="shared" si="147"/>
        <v>0</v>
      </c>
      <c r="R1192" s="12">
        <v>1201</v>
      </c>
      <c r="S1192" s="12"/>
      <c r="T1192" s="12">
        <v>0</v>
      </c>
      <c r="U1192" s="12"/>
      <c r="V1192" s="12"/>
      <c r="W1192" s="32">
        <f t="shared" si="148"/>
        <v>0</v>
      </c>
    </row>
    <row r="1193" spans="1:23" ht="36" hidden="1">
      <c r="A1193" s="25"/>
      <c r="B1193" s="121"/>
      <c r="C1193" s="115">
        <v>4748</v>
      </c>
      <c r="D1193" s="119" t="s">
        <v>73</v>
      </c>
      <c r="J1193" s="67"/>
      <c r="K1193" s="65">
        <v>2550</v>
      </c>
      <c r="L1193" s="65">
        <v>2550</v>
      </c>
      <c r="M1193" s="65">
        <v>2550</v>
      </c>
      <c r="N1193" s="12">
        <v>1275</v>
      </c>
      <c r="O1193" s="12">
        <v>1275</v>
      </c>
      <c r="P1193" s="12"/>
      <c r="Q1193" s="186">
        <f t="shared" si="147"/>
        <v>0</v>
      </c>
      <c r="R1193" s="12">
        <v>1275</v>
      </c>
      <c r="S1193" s="12"/>
      <c r="T1193" s="12">
        <v>0</v>
      </c>
      <c r="U1193" s="12"/>
      <c r="V1193" s="12"/>
      <c r="W1193" s="32">
        <f t="shared" si="148"/>
        <v>0</v>
      </c>
    </row>
    <row r="1194" spans="1:23" ht="36" hidden="1">
      <c r="A1194" s="25"/>
      <c r="B1194" s="121"/>
      <c r="C1194" s="115">
        <v>4749</v>
      </c>
      <c r="D1194" s="119" t="s">
        <v>73</v>
      </c>
      <c r="J1194" s="67"/>
      <c r="K1194" s="65">
        <v>450</v>
      </c>
      <c r="L1194" s="65">
        <v>450</v>
      </c>
      <c r="M1194" s="65">
        <v>450</v>
      </c>
      <c r="N1194" s="12">
        <v>225</v>
      </c>
      <c r="O1194" s="12">
        <v>225</v>
      </c>
      <c r="P1194" s="12"/>
      <c r="Q1194" s="186">
        <f t="shared" si="147"/>
        <v>0</v>
      </c>
      <c r="R1194" s="12">
        <v>225</v>
      </c>
      <c r="S1194" s="12"/>
      <c r="T1194" s="12">
        <v>0</v>
      </c>
      <c r="U1194" s="12"/>
      <c r="V1194" s="12"/>
      <c r="W1194" s="32">
        <f t="shared" si="148"/>
        <v>0</v>
      </c>
    </row>
    <row r="1195" spans="1:23" ht="24" hidden="1">
      <c r="A1195" s="25"/>
      <c r="B1195" s="121"/>
      <c r="C1195" s="115">
        <v>4758</v>
      </c>
      <c r="D1195" s="119" t="s">
        <v>118</v>
      </c>
      <c r="J1195" s="67"/>
      <c r="K1195" s="65">
        <v>4250</v>
      </c>
      <c r="L1195" s="65">
        <v>4250</v>
      </c>
      <c r="M1195" s="65">
        <v>4250</v>
      </c>
      <c r="N1195" s="12">
        <v>2125</v>
      </c>
      <c r="O1195" s="12">
        <v>2125</v>
      </c>
      <c r="P1195" s="12"/>
      <c r="Q1195" s="186">
        <f t="shared" si="147"/>
        <v>0</v>
      </c>
      <c r="R1195" s="12">
        <v>2125</v>
      </c>
      <c r="S1195" s="12"/>
      <c r="T1195" s="12">
        <v>0</v>
      </c>
      <c r="U1195" s="12"/>
      <c r="V1195" s="12"/>
      <c r="W1195" s="32">
        <f t="shared" si="148"/>
        <v>0</v>
      </c>
    </row>
    <row r="1196" spans="1:23" ht="24" hidden="1">
      <c r="A1196" s="25"/>
      <c r="B1196" s="121"/>
      <c r="C1196" s="115">
        <v>4759</v>
      </c>
      <c r="D1196" s="119" t="s">
        <v>118</v>
      </c>
      <c r="J1196" s="67"/>
      <c r="K1196" s="65">
        <v>750</v>
      </c>
      <c r="L1196" s="65">
        <v>750</v>
      </c>
      <c r="M1196" s="65">
        <v>750</v>
      </c>
      <c r="N1196" s="12">
        <v>375</v>
      </c>
      <c r="O1196" s="12">
        <v>375</v>
      </c>
      <c r="P1196" s="12"/>
      <c r="Q1196" s="186">
        <f t="shared" si="147"/>
        <v>0</v>
      </c>
      <c r="R1196" s="12">
        <v>375</v>
      </c>
      <c r="S1196" s="12"/>
      <c r="T1196" s="12">
        <v>0</v>
      </c>
      <c r="U1196" s="12"/>
      <c r="V1196" s="12"/>
      <c r="W1196" s="32">
        <f t="shared" si="148"/>
        <v>0</v>
      </c>
    </row>
    <row r="1197" spans="1:23" ht="24" hidden="1">
      <c r="A1197" s="25"/>
      <c r="B1197" s="121"/>
      <c r="C1197" s="115"/>
      <c r="D1197" s="123" t="s">
        <v>228</v>
      </c>
      <c r="J1197" s="67">
        <f>SUM(J1202:J1205)</f>
        <v>0</v>
      </c>
      <c r="K1197" s="65">
        <f>SUM(K1198:K1205)</f>
        <v>11858</v>
      </c>
      <c r="L1197" s="65">
        <f>SUM(L1198:L1205)</f>
        <v>11858</v>
      </c>
      <c r="M1197" s="65">
        <f>SUM(M1198:M1205)</f>
        <v>11858</v>
      </c>
      <c r="N1197" s="37">
        <v>21039</v>
      </c>
      <c r="O1197" s="37">
        <v>21050</v>
      </c>
      <c r="P1197" s="37">
        <f>SUM(P1198:P1207)</f>
        <v>10543</v>
      </c>
      <c r="Q1197" s="186">
        <f t="shared" si="147"/>
        <v>0.500855106888361</v>
      </c>
      <c r="R1197" s="37">
        <f>SUM(R1198:R1207)</f>
        <v>21050</v>
      </c>
      <c r="S1197" s="37">
        <f>SUM(S1198:S1207)</f>
        <v>0</v>
      </c>
      <c r="T1197" s="37">
        <v>0</v>
      </c>
      <c r="U1197" s="37">
        <f>SUM(U1198:U1207)</f>
        <v>0</v>
      </c>
      <c r="V1197" s="37">
        <f>SUM(V1198:V1207)</f>
        <v>0</v>
      </c>
      <c r="W1197" s="32">
        <f t="shared" si="148"/>
        <v>0</v>
      </c>
    </row>
    <row r="1198" spans="1:23" ht="24" hidden="1">
      <c r="A1198" s="25"/>
      <c r="B1198" s="121"/>
      <c r="C1198" s="115">
        <v>4118</v>
      </c>
      <c r="D1198" s="119" t="s">
        <v>113</v>
      </c>
      <c r="J1198" s="67"/>
      <c r="K1198" s="65"/>
      <c r="L1198" s="65"/>
      <c r="M1198" s="65"/>
      <c r="N1198" s="65">
        <v>129</v>
      </c>
      <c r="O1198" s="65">
        <v>129</v>
      </c>
      <c r="P1198" s="65"/>
      <c r="Q1198" s="186">
        <f t="shared" si="147"/>
        <v>0</v>
      </c>
      <c r="R1198" s="65">
        <v>129</v>
      </c>
      <c r="S1198" s="65"/>
      <c r="T1198" s="65">
        <v>0</v>
      </c>
      <c r="U1198" s="65"/>
      <c r="V1198" s="65"/>
      <c r="W1198" s="32">
        <f t="shared" si="148"/>
        <v>0</v>
      </c>
    </row>
    <row r="1199" spans="1:23" ht="24" hidden="1">
      <c r="A1199" s="25"/>
      <c r="B1199" s="121"/>
      <c r="C1199" s="115">
        <v>4119</v>
      </c>
      <c r="D1199" s="119" t="s">
        <v>113</v>
      </c>
      <c r="J1199" s="67"/>
      <c r="K1199" s="65"/>
      <c r="L1199" s="65"/>
      <c r="M1199" s="65"/>
      <c r="N1199" s="65">
        <v>23</v>
      </c>
      <c r="O1199" s="65">
        <v>23</v>
      </c>
      <c r="P1199" s="65"/>
      <c r="Q1199" s="186">
        <f t="shared" si="147"/>
        <v>0</v>
      </c>
      <c r="R1199" s="65">
        <v>23</v>
      </c>
      <c r="S1199" s="65"/>
      <c r="T1199" s="65">
        <v>0</v>
      </c>
      <c r="U1199" s="65"/>
      <c r="V1199" s="65"/>
      <c r="W1199" s="32">
        <f t="shared" si="148"/>
        <v>0</v>
      </c>
    </row>
    <row r="1200" spans="1:23" ht="12" hidden="1">
      <c r="A1200" s="25"/>
      <c r="B1200" s="121"/>
      <c r="C1200" s="115">
        <v>4128</v>
      </c>
      <c r="D1200" s="119" t="s">
        <v>116</v>
      </c>
      <c r="J1200" s="67"/>
      <c r="K1200" s="65"/>
      <c r="L1200" s="65"/>
      <c r="M1200" s="65"/>
      <c r="N1200" s="65">
        <v>20</v>
      </c>
      <c r="O1200" s="65">
        <v>20</v>
      </c>
      <c r="P1200" s="65"/>
      <c r="Q1200" s="186">
        <f t="shared" si="147"/>
        <v>0</v>
      </c>
      <c r="R1200" s="65">
        <v>20</v>
      </c>
      <c r="S1200" s="65"/>
      <c r="T1200" s="65">
        <v>0</v>
      </c>
      <c r="U1200" s="65"/>
      <c r="V1200" s="65"/>
      <c r="W1200" s="32">
        <f t="shared" si="148"/>
        <v>0</v>
      </c>
    </row>
    <row r="1201" spans="1:23" ht="12" hidden="1">
      <c r="A1201" s="25"/>
      <c r="B1201" s="121"/>
      <c r="C1201" s="115">
        <v>4129</v>
      </c>
      <c r="D1201" s="119" t="s">
        <v>116</v>
      </c>
      <c r="J1201" s="67"/>
      <c r="K1201" s="65"/>
      <c r="L1201" s="65"/>
      <c r="M1201" s="65"/>
      <c r="N1201" s="65">
        <v>4</v>
      </c>
      <c r="O1201" s="65">
        <v>4</v>
      </c>
      <c r="P1201" s="65"/>
      <c r="Q1201" s="186">
        <f t="shared" si="147"/>
        <v>0</v>
      </c>
      <c r="R1201" s="65">
        <v>4</v>
      </c>
      <c r="S1201" s="65"/>
      <c r="T1201" s="65">
        <v>0</v>
      </c>
      <c r="U1201" s="65"/>
      <c r="V1201" s="65"/>
      <c r="W1201" s="32">
        <f t="shared" si="148"/>
        <v>0</v>
      </c>
    </row>
    <row r="1202" spans="1:23" ht="12" hidden="1">
      <c r="A1202" s="25"/>
      <c r="B1202" s="121"/>
      <c r="C1202" s="115">
        <v>4178</v>
      </c>
      <c r="D1202" s="119" t="s">
        <v>69</v>
      </c>
      <c r="J1202" s="67"/>
      <c r="K1202" s="65">
        <v>699</v>
      </c>
      <c r="L1202" s="65">
        <v>699</v>
      </c>
      <c r="M1202" s="65">
        <v>699</v>
      </c>
      <c r="N1202" s="12">
        <v>849</v>
      </c>
      <c r="O1202" s="12">
        <v>850</v>
      </c>
      <c r="P1202" s="12"/>
      <c r="Q1202" s="186">
        <f t="shared" si="147"/>
        <v>0</v>
      </c>
      <c r="R1202" s="12">
        <v>850</v>
      </c>
      <c r="S1202" s="12"/>
      <c r="T1202" s="12">
        <v>0</v>
      </c>
      <c r="U1202" s="12"/>
      <c r="V1202" s="12"/>
      <c r="W1202" s="32">
        <f t="shared" si="148"/>
        <v>0</v>
      </c>
    </row>
    <row r="1203" spans="1:23" ht="12" hidden="1">
      <c r="A1203" s="25"/>
      <c r="B1203" s="121"/>
      <c r="C1203" s="115">
        <v>4179</v>
      </c>
      <c r="D1203" s="119" t="s">
        <v>69</v>
      </c>
      <c r="J1203" s="67"/>
      <c r="K1203" s="65">
        <v>123</v>
      </c>
      <c r="L1203" s="65">
        <v>123</v>
      </c>
      <c r="M1203" s="65">
        <v>123</v>
      </c>
      <c r="N1203" s="12">
        <v>150</v>
      </c>
      <c r="O1203" s="12">
        <v>150</v>
      </c>
      <c r="P1203" s="12"/>
      <c r="Q1203" s="186">
        <f t="shared" si="147"/>
        <v>0</v>
      </c>
      <c r="R1203" s="12">
        <v>150</v>
      </c>
      <c r="S1203" s="12"/>
      <c r="T1203" s="12">
        <v>0</v>
      </c>
      <c r="U1203" s="12"/>
      <c r="V1203" s="12"/>
      <c r="W1203" s="32">
        <f t="shared" si="148"/>
        <v>0</v>
      </c>
    </row>
    <row r="1204" spans="1:23" ht="12" hidden="1">
      <c r="A1204" s="25"/>
      <c r="B1204" s="121"/>
      <c r="C1204" s="115">
        <v>4308</v>
      </c>
      <c r="D1204" s="119" t="s">
        <v>17</v>
      </c>
      <c r="J1204" s="67"/>
      <c r="K1204" s="65">
        <v>9380</v>
      </c>
      <c r="L1204" s="65">
        <v>9380</v>
      </c>
      <c r="M1204" s="65">
        <v>9380</v>
      </c>
      <c r="N1204" s="12">
        <v>16884</v>
      </c>
      <c r="O1204" s="12">
        <v>16884</v>
      </c>
      <c r="P1204" s="12">
        <v>8436</v>
      </c>
      <c r="Q1204" s="186">
        <f t="shared" si="147"/>
        <v>0.4996446339729922</v>
      </c>
      <c r="R1204" s="12">
        <v>16884</v>
      </c>
      <c r="S1204" s="12"/>
      <c r="T1204" s="12">
        <v>0</v>
      </c>
      <c r="U1204" s="12"/>
      <c r="V1204" s="12"/>
      <c r="W1204" s="32">
        <f t="shared" si="148"/>
        <v>0</v>
      </c>
    </row>
    <row r="1205" spans="1:23" ht="12" hidden="1">
      <c r="A1205" s="25"/>
      <c r="B1205" s="121"/>
      <c r="C1205" s="115">
        <v>4309</v>
      </c>
      <c r="D1205" s="119" t="s">
        <v>17</v>
      </c>
      <c r="J1205" s="67"/>
      <c r="K1205" s="65">
        <v>1656</v>
      </c>
      <c r="L1205" s="65">
        <v>1656</v>
      </c>
      <c r="M1205" s="65">
        <v>1656</v>
      </c>
      <c r="N1205" s="12">
        <v>2980</v>
      </c>
      <c r="O1205" s="12">
        <v>2980</v>
      </c>
      <c r="P1205" s="12">
        <v>2107</v>
      </c>
      <c r="Q1205" s="186">
        <f t="shared" si="147"/>
        <v>0.7070469798657718</v>
      </c>
      <c r="R1205" s="12">
        <v>2980</v>
      </c>
      <c r="S1205" s="12"/>
      <c r="T1205" s="12">
        <v>0</v>
      </c>
      <c r="U1205" s="12"/>
      <c r="V1205" s="12"/>
      <c r="W1205" s="32">
        <f t="shared" si="148"/>
        <v>0</v>
      </c>
    </row>
    <row r="1206" spans="1:23" ht="36" hidden="1">
      <c r="A1206" s="25"/>
      <c r="B1206" s="121"/>
      <c r="C1206" s="115">
        <v>4748</v>
      </c>
      <c r="D1206" s="119" t="s">
        <v>73</v>
      </c>
      <c r="J1206" s="67"/>
      <c r="K1206" s="65">
        <v>2550</v>
      </c>
      <c r="L1206" s="65">
        <v>2550</v>
      </c>
      <c r="M1206" s="65">
        <v>2550</v>
      </c>
      <c r="N1206" s="257">
        <v>0</v>
      </c>
      <c r="O1206" s="257">
        <v>8</v>
      </c>
      <c r="P1206" s="257"/>
      <c r="Q1206" s="186">
        <f t="shared" si="147"/>
        <v>0</v>
      </c>
      <c r="R1206" s="257">
        <v>8</v>
      </c>
      <c r="S1206" s="257"/>
      <c r="T1206" s="257">
        <v>0</v>
      </c>
      <c r="U1206" s="257"/>
      <c r="V1206" s="257"/>
      <c r="W1206" s="32">
        <f t="shared" si="148"/>
        <v>0</v>
      </c>
    </row>
    <row r="1207" spans="1:23" ht="36" hidden="1">
      <c r="A1207" s="25"/>
      <c r="B1207" s="121"/>
      <c r="C1207" s="115">
        <v>4749</v>
      </c>
      <c r="D1207" s="119" t="s">
        <v>73</v>
      </c>
      <c r="J1207" s="67"/>
      <c r="K1207" s="65">
        <v>450</v>
      </c>
      <c r="L1207" s="65">
        <v>450</v>
      </c>
      <c r="M1207" s="65">
        <v>450</v>
      </c>
      <c r="N1207" s="257">
        <v>0</v>
      </c>
      <c r="O1207" s="257">
        <v>2</v>
      </c>
      <c r="P1207" s="257"/>
      <c r="Q1207" s="186">
        <f t="shared" si="147"/>
        <v>0</v>
      </c>
      <c r="R1207" s="257">
        <v>2</v>
      </c>
      <c r="S1207" s="257"/>
      <c r="T1207" s="257">
        <v>0</v>
      </c>
      <c r="U1207" s="257"/>
      <c r="V1207" s="257"/>
      <c r="W1207" s="32">
        <f t="shared" si="148"/>
        <v>0</v>
      </c>
    </row>
    <row r="1208" spans="1:23" ht="24" hidden="1">
      <c r="A1208" s="33"/>
      <c r="B1208" s="130"/>
      <c r="C1208" s="131"/>
      <c r="D1208" s="123" t="s">
        <v>229</v>
      </c>
      <c r="J1208" s="67">
        <f aca="true" t="shared" si="149" ref="J1208:P1208">SUM(J1209:J1210)</f>
        <v>0</v>
      </c>
      <c r="K1208" s="65">
        <f t="shared" si="149"/>
        <v>390492</v>
      </c>
      <c r="L1208" s="65">
        <f t="shared" si="149"/>
        <v>390492</v>
      </c>
      <c r="M1208" s="65">
        <f t="shared" si="149"/>
        <v>390492</v>
      </c>
      <c r="N1208" s="37">
        <v>0</v>
      </c>
      <c r="O1208" s="37">
        <v>4565</v>
      </c>
      <c r="P1208" s="37">
        <f t="shared" si="149"/>
        <v>0</v>
      </c>
      <c r="Q1208" s="186">
        <f t="shared" si="147"/>
        <v>0</v>
      </c>
      <c r="R1208" s="37">
        <f>SUM(R1209:R1210)</f>
        <v>4565</v>
      </c>
      <c r="S1208" s="37">
        <f>SUM(S1209:S1210)</f>
        <v>0</v>
      </c>
      <c r="T1208" s="37">
        <v>0</v>
      </c>
      <c r="U1208" s="37">
        <f>SUM(U1209:U1210)</f>
        <v>0</v>
      </c>
      <c r="V1208" s="37">
        <f>SUM(V1209:V1210)</f>
        <v>0</v>
      </c>
      <c r="W1208" s="32">
        <f t="shared" si="148"/>
        <v>0</v>
      </c>
    </row>
    <row r="1209" spans="1:23" ht="24" hidden="1">
      <c r="A1209" s="25"/>
      <c r="B1209" s="121"/>
      <c r="C1209" s="115">
        <v>4248</v>
      </c>
      <c r="D1209" s="119" t="s">
        <v>117</v>
      </c>
      <c r="J1209" s="122"/>
      <c r="K1209" s="122">
        <f>340000-8082</f>
        <v>331918</v>
      </c>
      <c r="L1209" s="122">
        <f>340000-8082</f>
        <v>331918</v>
      </c>
      <c r="M1209" s="122">
        <f>340000-8082</f>
        <v>331918</v>
      </c>
      <c r="N1209" s="12">
        <v>0</v>
      </c>
      <c r="O1209" s="12">
        <v>3875</v>
      </c>
      <c r="P1209" s="12"/>
      <c r="Q1209" s="186">
        <f t="shared" si="147"/>
        <v>0</v>
      </c>
      <c r="R1209" s="12">
        <v>3875</v>
      </c>
      <c r="S1209" s="12"/>
      <c r="T1209" s="12">
        <v>0</v>
      </c>
      <c r="U1209" s="12"/>
      <c r="V1209" s="12"/>
      <c r="W1209" s="32">
        <f t="shared" si="148"/>
        <v>0</v>
      </c>
    </row>
    <row r="1210" spans="1:23" ht="24" hidden="1">
      <c r="A1210" s="25"/>
      <c r="B1210" s="121"/>
      <c r="C1210" s="115">
        <v>4249</v>
      </c>
      <c r="D1210" s="119" t="s">
        <v>117</v>
      </c>
      <c r="J1210" s="122"/>
      <c r="K1210" s="122">
        <f>60000-1426</f>
        <v>58574</v>
      </c>
      <c r="L1210" s="122">
        <f>60000-1426</f>
        <v>58574</v>
      </c>
      <c r="M1210" s="122">
        <f>60000-1426</f>
        <v>58574</v>
      </c>
      <c r="N1210" s="12">
        <v>0</v>
      </c>
      <c r="O1210" s="12">
        <v>690</v>
      </c>
      <c r="P1210" s="12"/>
      <c r="Q1210" s="186">
        <f t="shared" si="147"/>
        <v>0</v>
      </c>
      <c r="R1210" s="12">
        <v>690</v>
      </c>
      <c r="S1210" s="12"/>
      <c r="T1210" s="12">
        <v>0</v>
      </c>
      <c r="U1210" s="12"/>
      <c r="V1210" s="12"/>
      <c r="W1210" s="32">
        <f t="shared" si="148"/>
        <v>0</v>
      </c>
    </row>
    <row r="1211" spans="1:23" ht="12" hidden="1">
      <c r="A1211" s="25"/>
      <c r="B1211" s="124"/>
      <c r="C1211" s="129"/>
      <c r="D1211" s="126" t="s">
        <v>305</v>
      </c>
      <c r="J1211" s="127">
        <f>SUM(J1216:J1233)</f>
        <v>0</v>
      </c>
      <c r="K1211" s="128">
        <f>SUM(K1216:K1233)</f>
        <v>69688</v>
      </c>
      <c r="L1211" s="128">
        <f>SUM(L1216:L1233)</f>
        <v>69688</v>
      </c>
      <c r="M1211" s="128">
        <f>SUM(M1216:M1233)</f>
        <v>69688</v>
      </c>
      <c r="N1211" s="37">
        <v>839300</v>
      </c>
      <c r="O1211" s="37">
        <v>839300</v>
      </c>
      <c r="P1211" s="37">
        <f>SUM(P1216:P1233)</f>
        <v>325315</v>
      </c>
      <c r="Q1211" s="186">
        <f t="shared" si="147"/>
        <v>0.3876027642082688</v>
      </c>
      <c r="R1211" s="37">
        <f>SUM(R1216:R1233)</f>
        <v>839300</v>
      </c>
      <c r="S1211" s="37">
        <f>SUM(S1216:S1233)</f>
        <v>0</v>
      </c>
      <c r="T1211" s="37">
        <v>0</v>
      </c>
      <c r="U1211" s="37">
        <f>SUM(U1216:U1233)</f>
        <v>0</v>
      </c>
      <c r="V1211" s="37">
        <f>SUM(V1216:V1233)</f>
        <v>0</v>
      </c>
      <c r="W1211" s="32">
        <f t="shared" si="148"/>
        <v>0</v>
      </c>
    </row>
    <row r="1212" spans="1:23" ht="48" hidden="1">
      <c r="A1212" s="25"/>
      <c r="B1212" s="124"/>
      <c r="C1212" s="129">
        <v>2318</v>
      </c>
      <c r="D1212" s="151" t="s">
        <v>326</v>
      </c>
      <c r="J1212" s="127"/>
      <c r="K1212" s="128"/>
      <c r="L1212" s="128"/>
      <c r="M1212" s="128"/>
      <c r="N1212" s="12">
        <v>477989</v>
      </c>
      <c r="O1212" s="37"/>
      <c r="P1212" s="37"/>
      <c r="Q1212" s="186"/>
      <c r="R1212" s="37"/>
      <c r="S1212" s="37"/>
      <c r="T1212" s="37">
        <v>0</v>
      </c>
      <c r="U1212" s="37"/>
      <c r="V1212" s="37"/>
      <c r="W1212" s="32">
        <f t="shared" si="148"/>
        <v>0</v>
      </c>
    </row>
    <row r="1213" spans="1:23" ht="48" hidden="1">
      <c r="A1213" s="25"/>
      <c r="B1213" s="124"/>
      <c r="C1213" s="129">
        <v>2319</v>
      </c>
      <c r="D1213" s="151" t="s">
        <v>326</v>
      </c>
      <c r="J1213" s="127"/>
      <c r="K1213" s="128"/>
      <c r="L1213" s="128"/>
      <c r="M1213" s="128"/>
      <c r="N1213" s="12">
        <v>84351</v>
      </c>
      <c r="O1213" s="37"/>
      <c r="P1213" s="37"/>
      <c r="Q1213" s="186"/>
      <c r="R1213" s="37"/>
      <c r="S1213" s="37"/>
      <c r="T1213" s="37">
        <v>0</v>
      </c>
      <c r="U1213" s="37"/>
      <c r="V1213" s="37"/>
      <c r="W1213" s="32">
        <f t="shared" si="148"/>
        <v>0</v>
      </c>
    </row>
    <row r="1214" spans="1:23" ht="48" hidden="1">
      <c r="A1214" s="25"/>
      <c r="B1214" s="124"/>
      <c r="C1214" s="129">
        <v>2328</v>
      </c>
      <c r="D1214" s="151" t="s">
        <v>327</v>
      </c>
      <c r="J1214" s="127"/>
      <c r="K1214" s="128"/>
      <c r="L1214" s="128"/>
      <c r="M1214" s="128"/>
      <c r="N1214" s="12">
        <v>108817</v>
      </c>
      <c r="O1214" s="37"/>
      <c r="P1214" s="37"/>
      <c r="Q1214" s="186"/>
      <c r="R1214" s="37"/>
      <c r="S1214" s="37"/>
      <c r="T1214" s="37">
        <v>0</v>
      </c>
      <c r="U1214" s="37"/>
      <c r="V1214" s="37"/>
      <c r="W1214" s="32">
        <f t="shared" si="148"/>
        <v>0</v>
      </c>
    </row>
    <row r="1215" spans="1:23" ht="48" hidden="1">
      <c r="A1215" s="25"/>
      <c r="B1215" s="124"/>
      <c r="C1215" s="129">
        <v>2329</v>
      </c>
      <c r="D1215" s="151" t="s">
        <v>327</v>
      </c>
      <c r="J1215" s="127"/>
      <c r="K1215" s="128"/>
      <c r="L1215" s="128"/>
      <c r="M1215" s="128"/>
      <c r="N1215" s="12">
        <v>19203</v>
      </c>
      <c r="O1215" s="37"/>
      <c r="P1215" s="37"/>
      <c r="Q1215" s="186"/>
      <c r="R1215" s="37"/>
      <c r="S1215" s="37"/>
      <c r="T1215" s="37">
        <v>0</v>
      </c>
      <c r="U1215" s="37"/>
      <c r="V1215" s="37"/>
      <c r="W1215" s="32">
        <f t="shared" si="148"/>
        <v>0</v>
      </c>
    </row>
    <row r="1216" spans="1:23" ht="24" hidden="1">
      <c r="A1216" s="25"/>
      <c r="B1216" s="121"/>
      <c r="C1216" s="115">
        <v>4118</v>
      </c>
      <c r="D1216" s="119" t="s">
        <v>113</v>
      </c>
      <c r="J1216" s="67"/>
      <c r="K1216" s="65">
        <v>4432</v>
      </c>
      <c r="L1216" s="65">
        <v>4432</v>
      </c>
      <c r="M1216" s="65">
        <v>4432</v>
      </c>
      <c r="N1216" s="132">
        <v>9097</v>
      </c>
      <c r="O1216" s="132">
        <v>17630</v>
      </c>
      <c r="P1216" s="132">
        <v>6966</v>
      </c>
      <c r="Q1216" s="186">
        <f t="shared" si="147"/>
        <v>0.3951219512195122</v>
      </c>
      <c r="R1216" s="132">
        <v>17445</v>
      </c>
      <c r="S1216" s="132"/>
      <c r="T1216" s="132">
        <v>0</v>
      </c>
      <c r="U1216" s="132"/>
      <c r="V1216" s="132"/>
      <c r="W1216" s="32">
        <f t="shared" si="148"/>
        <v>0</v>
      </c>
    </row>
    <row r="1217" spans="1:23" ht="24" hidden="1">
      <c r="A1217" s="25"/>
      <c r="B1217" s="121"/>
      <c r="C1217" s="115">
        <v>4119</v>
      </c>
      <c r="D1217" s="119" t="s">
        <v>113</v>
      </c>
      <c r="J1217" s="67"/>
      <c r="K1217" s="65">
        <v>782</v>
      </c>
      <c r="L1217" s="65">
        <v>782</v>
      </c>
      <c r="M1217" s="65">
        <v>782</v>
      </c>
      <c r="N1217" s="132">
        <v>1605</v>
      </c>
      <c r="O1217" s="132">
        <v>3100</v>
      </c>
      <c r="P1217" s="132">
        <v>1229</v>
      </c>
      <c r="Q1217" s="186">
        <f t="shared" si="147"/>
        <v>0.3964516129032258</v>
      </c>
      <c r="R1217" s="132">
        <v>3067</v>
      </c>
      <c r="S1217" s="132"/>
      <c r="T1217" s="132">
        <v>0</v>
      </c>
      <c r="U1217" s="132"/>
      <c r="V1217" s="132"/>
      <c r="W1217" s="32">
        <f t="shared" si="148"/>
        <v>0</v>
      </c>
    </row>
    <row r="1218" spans="1:23" ht="12" hidden="1">
      <c r="A1218" s="25"/>
      <c r="B1218" s="121"/>
      <c r="C1218" s="115">
        <v>4128</v>
      </c>
      <c r="D1218" s="119" t="s">
        <v>116</v>
      </c>
      <c r="J1218" s="67"/>
      <c r="K1218" s="65">
        <v>715</v>
      </c>
      <c r="L1218" s="65">
        <v>715</v>
      </c>
      <c r="M1218" s="65">
        <v>715</v>
      </c>
      <c r="N1218" s="132">
        <v>1467</v>
      </c>
      <c r="O1218" s="132">
        <v>2844</v>
      </c>
      <c r="P1218" s="132">
        <v>1124</v>
      </c>
      <c r="Q1218" s="186">
        <f t="shared" si="147"/>
        <v>0.3952180028129395</v>
      </c>
      <c r="R1218" s="132">
        <v>2814</v>
      </c>
      <c r="S1218" s="132"/>
      <c r="T1218" s="132">
        <v>0</v>
      </c>
      <c r="U1218" s="132"/>
      <c r="V1218" s="132"/>
      <c r="W1218" s="32">
        <f t="shared" si="148"/>
        <v>0</v>
      </c>
    </row>
    <row r="1219" spans="1:23" ht="12" hidden="1">
      <c r="A1219" s="25"/>
      <c r="B1219" s="121"/>
      <c r="C1219" s="115">
        <v>4129</v>
      </c>
      <c r="D1219" s="119" t="s">
        <v>116</v>
      </c>
      <c r="J1219" s="67"/>
      <c r="K1219" s="65">
        <v>126</v>
      </c>
      <c r="L1219" s="65">
        <v>126</v>
      </c>
      <c r="M1219" s="65">
        <v>126</v>
      </c>
      <c r="N1219" s="132">
        <v>259</v>
      </c>
      <c r="O1219" s="132">
        <v>501</v>
      </c>
      <c r="P1219" s="132">
        <v>198</v>
      </c>
      <c r="Q1219" s="186">
        <f t="shared" si="147"/>
        <v>0.39520958083832336</v>
      </c>
      <c r="R1219" s="132">
        <v>496</v>
      </c>
      <c r="S1219" s="132"/>
      <c r="T1219" s="132">
        <v>0</v>
      </c>
      <c r="U1219" s="132"/>
      <c r="V1219" s="132"/>
      <c r="W1219" s="32">
        <f t="shared" si="148"/>
        <v>0</v>
      </c>
    </row>
    <row r="1220" spans="1:23" ht="12" hidden="1">
      <c r="A1220" s="25"/>
      <c r="B1220" s="121"/>
      <c r="C1220" s="115">
        <v>4178</v>
      </c>
      <c r="D1220" s="119" t="s">
        <v>69</v>
      </c>
      <c r="J1220" s="67"/>
      <c r="K1220" s="65">
        <v>29176</v>
      </c>
      <c r="L1220" s="65">
        <v>29176</v>
      </c>
      <c r="M1220" s="65">
        <v>29176</v>
      </c>
      <c r="N1220" s="132">
        <v>59884</v>
      </c>
      <c r="O1220" s="132">
        <v>122802</v>
      </c>
      <c r="P1220" s="132">
        <v>48760</v>
      </c>
      <c r="Q1220" s="186">
        <f t="shared" si="147"/>
        <v>0.3970619371020016</v>
      </c>
      <c r="R1220" s="132">
        <v>123017</v>
      </c>
      <c r="S1220" s="132"/>
      <c r="T1220" s="132">
        <v>0</v>
      </c>
      <c r="U1220" s="132"/>
      <c r="V1220" s="132"/>
      <c r="W1220" s="32">
        <f t="shared" si="148"/>
        <v>0</v>
      </c>
    </row>
    <row r="1221" spans="1:23" ht="12" hidden="1">
      <c r="A1221" s="25"/>
      <c r="B1221" s="121"/>
      <c r="C1221" s="115">
        <v>4179</v>
      </c>
      <c r="D1221" s="119" t="s">
        <v>69</v>
      </c>
      <c r="J1221" s="67"/>
      <c r="K1221" s="65">
        <v>5149</v>
      </c>
      <c r="L1221" s="65">
        <v>5149</v>
      </c>
      <c r="M1221" s="65">
        <v>5149</v>
      </c>
      <c r="N1221" s="132">
        <v>10568</v>
      </c>
      <c r="O1221" s="132">
        <v>21683</v>
      </c>
      <c r="P1221" s="132">
        <v>8605</v>
      </c>
      <c r="Q1221" s="186">
        <f t="shared" si="147"/>
        <v>0.39685467878061154</v>
      </c>
      <c r="R1221" s="132">
        <v>21721</v>
      </c>
      <c r="S1221" s="132"/>
      <c r="T1221" s="132">
        <v>0</v>
      </c>
      <c r="U1221" s="132"/>
      <c r="V1221" s="132"/>
      <c r="W1221" s="32">
        <f t="shared" si="148"/>
        <v>0</v>
      </c>
    </row>
    <row r="1222" spans="1:23" ht="12" hidden="1">
      <c r="A1222" s="25"/>
      <c r="B1222" s="121"/>
      <c r="C1222" s="115">
        <v>4218</v>
      </c>
      <c r="D1222" s="119" t="s">
        <v>34</v>
      </c>
      <c r="J1222" s="67"/>
      <c r="K1222" s="65">
        <v>4505</v>
      </c>
      <c r="L1222" s="65">
        <v>4505</v>
      </c>
      <c r="M1222" s="65">
        <v>4505</v>
      </c>
      <c r="N1222" s="132">
        <v>663</v>
      </c>
      <c r="O1222" s="132">
        <v>11869</v>
      </c>
      <c r="P1222" s="132">
        <v>6678</v>
      </c>
      <c r="Q1222" s="186">
        <f t="shared" si="147"/>
        <v>0.5626421771000084</v>
      </c>
      <c r="R1222" s="132">
        <v>10972</v>
      </c>
      <c r="S1222" s="132"/>
      <c r="T1222" s="132">
        <v>0</v>
      </c>
      <c r="U1222" s="132"/>
      <c r="V1222" s="132"/>
      <c r="W1222" s="32">
        <f t="shared" si="148"/>
        <v>0</v>
      </c>
    </row>
    <row r="1223" spans="1:23" ht="12" hidden="1">
      <c r="A1223" s="25"/>
      <c r="B1223" s="121"/>
      <c r="C1223" s="115">
        <v>4219</v>
      </c>
      <c r="D1223" s="119" t="s">
        <v>34</v>
      </c>
      <c r="J1223" s="67"/>
      <c r="K1223" s="65">
        <v>795</v>
      </c>
      <c r="L1223" s="65">
        <v>795</v>
      </c>
      <c r="M1223" s="65">
        <v>795</v>
      </c>
      <c r="N1223" s="132">
        <v>117</v>
      </c>
      <c r="O1223" s="132">
        <v>2095</v>
      </c>
      <c r="P1223" s="132">
        <v>1178</v>
      </c>
      <c r="Q1223" s="186">
        <f t="shared" si="147"/>
        <v>0.5622911694510739</v>
      </c>
      <c r="R1223" s="132">
        <v>1937</v>
      </c>
      <c r="S1223" s="132"/>
      <c r="T1223" s="132">
        <v>0</v>
      </c>
      <c r="U1223" s="132"/>
      <c r="V1223" s="132"/>
      <c r="W1223" s="32">
        <f t="shared" si="148"/>
        <v>0</v>
      </c>
    </row>
    <row r="1224" spans="1:23" ht="12" hidden="1">
      <c r="A1224" s="25"/>
      <c r="B1224" s="121"/>
      <c r="C1224" s="115">
        <v>4308</v>
      </c>
      <c r="D1224" s="119" t="s">
        <v>17</v>
      </c>
      <c r="J1224" s="67"/>
      <c r="K1224" s="65">
        <v>13607</v>
      </c>
      <c r="L1224" s="65">
        <v>13607</v>
      </c>
      <c r="M1224" s="65">
        <v>13607</v>
      </c>
      <c r="N1224" s="257">
        <v>43622</v>
      </c>
      <c r="O1224" s="257">
        <v>479171</v>
      </c>
      <c r="P1224" s="257">
        <v>191706</v>
      </c>
      <c r="Q1224" s="186">
        <f t="shared" si="147"/>
        <v>0.400078468855586</v>
      </c>
      <c r="R1224" s="257">
        <v>479171</v>
      </c>
      <c r="S1224" s="257"/>
      <c r="T1224" s="257">
        <v>0</v>
      </c>
      <c r="U1224" s="257"/>
      <c r="V1224" s="257"/>
      <c r="W1224" s="32">
        <f t="shared" si="148"/>
        <v>0</v>
      </c>
    </row>
    <row r="1225" spans="1:23" ht="12" hidden="1">
      <c r="A1225" s="25"/>
      <c r="B1225" s="121"/>
      <c r="C1225" s="115">
        <v>4309</v>
      </c>
      <c r="D1225" s="119" t="s">
        <v>17</v>
      </c>
      <c r="J1225" s="67"/>
      <c r="K1225" s="65">
        <v>2401</v>
      </c>
      <c r="L1225" s="65">
        <v>2401</v>
      </c>
      <c r="M1225" s="65">
        <v>2401</v>
      </c>
      <c r="N1225" s="257">
        <v>7698</v>
      </c>
      <c r="O1225" s="257">
        <v>84559</v>
      </c>
      <c r="P1225" s="257">
        <v>33830</v>
      </c>
      <c r="Q1225" s="186">
        <f t="shared" si="147"/>
        <v>0.4000756867985667</v>
      </c>
      <c r="R1225" s="257">
        <v>84559</v>
      </c>
      <c r="S1225" s="257"/>
      <c r="T1225" s="257">
        <v>0</v>
      </c>
      <c r="U1225" s="257"/>
      <c r="V1225" s="257"/>
      <c r="W1225" s="32">
        <f t="shared" si="148"/>
        <v>0</v>
      </c>
    </row>
    <row r="1226" spans="1:23" ht="12" hidden="1">
      <c r="A1226" s="25"/>
      <c r="B1226" s="121"/>
      <c r="C1226" s="115">
        <v>4418</v>
      </c>
      <c r="D1226" s="27" t="s">
        <v>42</v>
      </c>
      <c r="J1226" s="67"/>
      <c r="K1226" s="65"/>
      <c r="L1226" s="65"/>
      <c r="M1226" s="65"/>
      <c r="N1226" s="257">
        <v>0</v>
      </c>
      <c r="O1226" s="257">
        <v>63339</v>
      </c>
      <c r="P1226" s="257">
        <v>6890</v>
      </c>
      <c r="Q1226" s="186">
        <f t="shared" si="147"/>
        <v>0.10877974076003726</v>
      </c>
      <c r="R1226" s="257">
        <v>63339</v>
      </c>
      <c r="S1226" s="257"/>
      <c r="T1226" s="257">
        <v>0</v>
      </c>
      <c r="U1226" s="257"/>
      <c r="V1226" s="257"/>
      <c r="W1226" s="32">
        <f t="shared" si="148"/>
        <v>0</v>
      </c>
    </row>
    <row r="1227" spans="1:23" ht="12" hidden="1">
      <c r="A1227" s="25"/>
      <c r="B1227" s="121"/>
      <c r="C1227" s="115">
        <v>4419</v>
      </c>
      <c r="D1227" s="27" t="s">
        <v>42</v>
      </c>
      <c r="J1227" s="67"/>
      <c r="K1227" s="65"/>
      <c r="L1227" s="65"/>
      <c r="M1227" s="65"/>
      <c r="N1227" s="257">
        <v>0</v>
      </c>
      <c r="O1227" s="257">
        <v>11178</v>
      </c>
      <c r="P1227" s="257">
        <v>1216</v>
      </c>
      <c r="Q1227" s="186">
        <f t="shared" si="147"/>
        <v>0.10878511361603149</v>
      </c>
      <c r="R1227" s="257">
        <v>11178</v>
      </c>
      <c r="S1227" s="257"/>
      <c r="T1227" s="257">
        <v>0</v>
      </c>
      <c r="U1227" s="257"/>
      <c r="V1227" s="257"/>
      <c r="W1227" s="32">
        <f t="shared" si="148"/>
        <v>0</v>
      </c>
    </row>
    <row r="1228" spans="1:23" ht="36" hidden="1">
      <c r="A1228" s="25"/>
      <c r="B1228" s="121"/>
      <c r="C1228" s="115">
        <v>4748</v>
      </c>
      <c r="D1228" s="119" t="s">
        <v>73</v>
      </c>
      <c r="J1228" s="67"/>
      <c r="K1228" s="65">
        <v>2550</v>
      </c>
      <c r="L1228" s="65">
        <v>2550</v>
      </c>
      <c r="M1228" s="65">
        <v>2550</v>
      </c>
      <c r="N1228" s="257">
        <v>561</v>
      </c>
      <c r="O1228" s="257">
        <v>2675</v>
      </c>
      <c r="P1228" s="257">
        <v>1357</v>
      </c>
      <c r="Q1228" s="186">
        <f t="shared" si="147"/>
        <v>0.5072897196261682</v>
      </c>
      <c r="R1228" s="257">
        <v>2512</v>
      </c>
      <c r="S1228" s="257"/>
      <c r="T1228" s="257">
        <v>0</v>
      </c>
      <c r="U1228" s="257"/>
      <c r="V1228" s="257"/>
      <c r="W1228" s="32">
        <f t="shared" si="148"/>
        <v>0</v>
      </c>
    </row>
    <row r="1229" spans="1:23" ht="36" hidden="1">
      <c r="A1229" s="25"/>
      <c r="B1229" s="121"/>
      <c r="C1229" s="115">
        <v>4749</v>
      </c>
      <c r="D1229" s="119" t="s">
        <v>73</v>
      </c>
      <c r="J1229" s="67"/>
      <c r="K1229" s="65">
        <v>450</v>
      </c>
      <c r="L1229" s="65">
        <v>450</v>
      </c>
      <c r="M1229" s="65">
        <v>450</v>
      </c>
      <c r="N1229" s="257">
        <v>99</v>
      </c>
      <c r="O1229" s="257">
        <v>472</v>
      </c>
      <c r="P1229" s="257">
        <v>239</v>
      </c>
      <c r="Q1229" s="186">
        <f t="shared" si="147"/>
        <v>0.5063559322033898</v>
      </c>
      <c r="R1229" s="257">
        <v>443</v>
      </c>
      <c r="S1229" s="257"/>
      <c r="T1229" s="257">
        <v>0</v>
      </c>
      <c r="U1229" s="257"/>
      <c r="V1229" s="257"/>
      <c r="W1229" s="32">
        <f t="shared" si="148"/>
        <v>0</v>
      </c>
    </row>
    <row r="1230" spans="1:23" ht="24" hidden="1">
      <c r="A1230" s="25"/>
      <c r="B1230" s="121"/>
      <c r="C1230" s="115">
        <v>4758</v>
      </c>
      <c r="D1230" s="119" t="s">
        <v>118</v>
      </c>
      <c r="J1230" s="67"/>
      <c r="K1230" s="65">
        <v>4250</v>
      </c>
      <c r="L1230" s="65">
        <v>4250</v>
      </c>
      <c r="M1230" s="65">
        <v>4250</v>
      </c>
      <c r="N1230" s="257">
        <v>5185</v>
      </c>
      <c r="O1230" s="257">
        <v>6954</v>
      </c>
      <c r="P1230" s="257">
        <v>6918</v>
      </c>
      <c r="Q1230" s="186">
        <f t="shared" si="147"/>
        <v>0.994823123382226</v>
      </c>
      <c r="R1230" s="257">
        <v>8015</v>
      </c>
      <c r="S1230" s="257"/>
      <c r="T1230" s="257">
        <v>0</v>
      </c>
      <c r="U1230" s="257"/>
      <c r="V1230" s="257"/>
      <c r="W1230" s="32">
        <f t="shared" si="148"/>
        <v>0</v>
      </c>
    </row>
    <row r="1231" spans="1:23" ht="24" hidden="1">
      <c r="A1231" s="25"/>
      <c r="B1231" s="121"/>
      <c r="C1231" s="115">
        <v>4759</v>
      </c>
      <c r="D1231" s="119" t="s">
        <v>118</v>
      </c>
      <c r="J1231" s="67"/>
      <c r="K1231" s="65">
        <v>750</v>
      </c>
      <c r="L1231" s="65">
        <v>750</v>
      </c>
      <c r="M1231" s="65">
        <v>750</v>
      </c>
      <c r="N1231" s="257">
        <v>915</v>
      </c>
      <c r="O1231" s="257">
        <v>1228</v>
      </c>
      <c r="P1231" s="257">
        <v>1221</v>
      </c>
      <c r="Q1231" s="186">
        <f t="shared" si="147"/>
        <v>0.994299674267101</v>
      </c>
      <c r="R1231" s="257">
        <v>1414</v>
      </c>
      <c r="S1231" s="257"/>
      <c r="T1231" s="257">
        <v>0</v>
      </c>
      <c r="U1231" s="257"/>
      <c r="V1231" s="257"/>
      <c r="W1231" s="32">
        <f t="shared" si="148"/>
        <v>0</v>
      </c>
    </row>
    <row r="1232" spans="1:23" ht="24" hidden="1">
      <c r="A1232" s="25"/>
      <c r="B1232" s="121"/>
      <c r="C1232" s="115">
        <v>6068</v>
      </c>
      <c r="D1232" s="119" t="s">
        <v>50</v>
      </c>
      <c r="J1232" s="122"/>
      <c r="K1232" s="122"/>
      <c r="L1232" s="122"/>
      <c r="M1232" s="122"/>
      <c r="N1232" s="12">
        <v>6120</v>
      </c>
      <c r="O1232" s="12">
        <v>6120</v>
      </c>
      <c r="P1232" s="12">
        <v>6120</v>
      </c>
      <c r="Q1232" s="186">
        <f t="shared" si="147"/>
        <v>1</v>
      </c>
      <c r="R1232" s="12">
        <v>6120</v>
      </c>
      <c r="S1232" s="12"/>
      <c r="T1232" s="12">
        <v>0</v>
      </c>
      <c r="U1232" s="12"/>
      <c r="V1232" s="12"/>
      <c r="W1232" s="32">
        <f t="shared" si="148"/>
        <v>0</v>
      </c>
    </row>
    <row r="1233" spans="1:23" ht="24" hidden="1">
      <c r="A1233" s="25"/>
      <c r="B1233" s="121"/>
      <c r="C1233" s="115">
        <v>6069</v>
      </c>
      <c r="D1233" s="119" t="s">
        <v>50</v>
      </c>
      <c r="J1233" s="122"/>
      <c r="K1233" s="122"/>
      <c r="L1233" s="122"/>
      <c r="M1233" s="122"/>
      <c r="N1233" s="12">
        <v>1080</v>
      </c>
      <c r="O1233" s="12">
        <v>1080</v>
      </c>
      <c r="P1233" s="12">
        <v>1080</v>
      </c>
      <c r="Q1233" s="186">
        <f t="shared" si="147"/>
        <v>1</v>
      </c>
      <c r="R1233" s="12">
        <v>1080</v>
      </c>
      <c r="S1233" s="12"/>
      <c r="T1233" s="12">
        <v>0</v>
      </c>
      <c r="U1233" s="12"/>
      <c r="V1233" s="12"/>
      <c r="W1233" s="32">
        <f t="shared" si="148"/>
        <v>0</v>
      </c>
    </row>
    <row r="1234" spans="1:23" ht="60" hidden="1">
      <c r="A1234" s="25"/>
      <c r="B1234" s="121"/>
      <c r="C1234" s="115"/>
      <c r="D1234" s="116" t="s">
        <v>332</v>
      </c>
      <c r="J1234" s="122"/>
      <c r="K1234" s="122"/>
      <c r="L1234" s="122"/>
      <c r="M1234" s="122"/>
      <c r="N1234" s="12"/>
      <c r="O1234" s="12"/>
      <c r="P1234" s="12"/>
      <c r="Q1234" s="186"/>
      <c r="R1234" s="12">
        <f>SUM(R1235:R1239)</f>
        <v>17650</v>
      </c>
      <c r="S1234" s="12"/>
      <c r="T1234" s="12">
        <v>0</v>
      </c>
      <c r="U1234" s="12"/>
      <c r="V1234" s="12"/>
      <c r="W1234" s="32">
        <f t="shared" si="148"/>
        <v>0</v>
      </c>
    </row>
    <row r="1235" spans="1:23" ht="24" hidden="1">
      <c r="A1235" s="25"/>
      <c r="B1235" s="121"/>
      <c r="C1235" s="115">
        <v>4019</v>
      </c>
      <c r="D1235" s="139" t="s">
        <v>29</v>
      </c>
      <c r="J1235" s="122"/>
      <c r="K1235" s="122"/>
      <c r="L1235" s="122"/>
      <c r="M1235" s="122"/>
      <c r="N1235" s="12"/>
      <c r="O1235" s="12"/>
      <c r="P1235" s="12"/>
      <c r="Q1235" s="186"/>
      <c r="R1235" s="12">
        <v>4191</v>
      </c>
      <c r="S1235" s="12"/>
      <c r="T1235" s="12">
        <v>0</v>
      </c>
      <c r="U1235" s="12"/>
      <c r="V1235" s="12"/>
      <c r="W1235" s="32">
        <f t="shared" si="148"/>
        <v>0</v>
      </c>
    </row>
    <row r="1236" spans="1:23" ht="24" hidden="1">
      <c r="A1236" s="25"/>
      <c r="B1236" s="121"/>
      <c r="C1236" s="115">
        <v>4119</v>
      </c>
      <c r="D1236" s="139" t="s">
        <v>113</v>
      </c>
      <c r="J1236" s="122"/>
      <c r="K1236" s="122"/>
      <c r="L1236" s="122"/>
      <c r="M1236" s="122"/>
      <c r="N1236" s="12"/>
      <c r="O1236" s="12"/>
      <c r="P1236" s="12"/>
      <c r="Q1236" s="186"/>
      <c r="R1236" s="12">
        <v>1748</v>
      </c>
      <c r="S1236" s="12"/>
      <c r="T1236" s="12">
        <v>0</v>
      </c>
      <c r="U1236" s="12"/>
      <c r="V1236" s="12"/>
      <c r="W1236" s="32">
        <f t="shared" si="148"/>
        <v>0</v>
      </c>
    </row>
    <row r="1237" spans="1:23" ht="12" hidden="1">
      <c r="A1237" s="25"/>
      <c r="B1237" s="121"/>
      <c r="C1237" s="115">
        <v>4129</v>
      </c>
      <c r="D1237" s="139" t="s">
        <v>32</v>
      </c>
      <c r="J1237" s="122"/>
      <c r="K1237" s="122"/>
      <c r="L1237" s="122"/>
      <c r="M1237" s="122"/>
      <c r="N1237" s="12"/>
      <c r="O1237" s="12"/>
      <c r="P1237" s="12"/>
      <c r="Q1237" s="186"/>
      <c r="R1237" s="12">
        <v>361</v>
      </c>
      <c r="S1237" s="12"/>
      <c r="T1237" s="12">
        <v>0</v>
      </c>
      <c r="U1237" s="12"/>
      <c r="V1237" s="12"/>
      <c r="W1237" s="32">
        <f t="shared" si="148"/>
        <v>0</v>
      </c>
    </row>
    <row r="1238" spans="1:23" ht="12" hidden="1">
      <c r="A1238" s="25"/>
      <c r="B1238" s="121"/>
      <c r="C1238" s="115">
        <v>4179</v>
      </c>
      <c r="D1238" s="139" t="s">
        <v>210</v>
      </c>
      <c r="J1238" s="122"/>
      <c r="K1238" s="122"/>
      <c r="L1238" s="122"/>
      <c r="M1238" s="122"/>
      <c r="N1238" s="12"/>
      <c r="O1238" s="12"/>
      <c r="P1238" s="12"/>
      <c r="Q1238" s="186"/>
      <c r="R1238" s="12">
        <v>6000</v>
      </c>
      <c r="S1238" s="12"/>
      <c r="T1238" s="12">
        <v>0</v>
      </c>
      <c r="U1238" s="12"/>
      <c r="V1238" s="12"/>
      <c r="W1238" s="32">
        <f t="shared" si="148"/>
        <v>0</v>
      </c>
    </row>
    <row r="1239" spans="1:23" ht="12" hidden="1">
      <c r="A1239" s="25"/>
      <c r="B1239" s="121"/>
      <c r="C1239" s="115">
        <v>4219</v>
      </c>
      <c r="D1239" s="139" t="s">
        <v>34</v>
      </c>
      <c r="J1239" s="122"/>
      <c r="K1239" s="122"/>
      <c r="L1239" s="122"/>
      <c r="M1239" s="122"/>
      <c r="N1239" s="12"/>
      <c r="O1239" s="12"/>
      <c r="P1239" s="12"/>
      <c r="Q1239" s="186"/>
      <c r="R1239" s="12">
        <v>5350</v>
      </c>
      <c r="S1239" s="12"/>
      <c r="T1239" s="12">
        <v>0</v>
      </c>
      <c r="U1239" s="12"/>
      <c r="V1239" s="12"/>
      <c r="W1239" s="32">
        <f t="shared" si="148"/>
        <v>0</v>
      </c>
    </row>
    <row r="1240" spans="1:23" ht="48" hidden="1">
      <c r="A1240" s="8"/>
      <c r="B1240" s="8"/>
      <c r="C1240" s="36"/>
      <c r="D1240" s="89" t="s">
        <v>164</v>
      </c>
      <c r="E1240" s="35"/>
      <c r="F1240" s="35"/>
      <c r="G1240" s="37"/>
      <c r="H1240" s="37"/>
      <c r="I1240" s="37"/>
      <c r="J1240" s="37">
        <f>SUM(J1241:J1256)</f>
        <v>0</v>
      </c>
      <c r="K1240" s="37">
        <f>SUM(K1241:K1256)</f>
        <v>99939</v>
      </c>
      <c r="L1240" s="37">
        <f>SUM(L1241:L1256)</f>
        <v>99939</v>
      </c>
      <c r="M1240" s="37">
        <f>SUM(M1241:M1256)</f>
        <v>110415</v>
      </c>
      <c r="N1240" s="37">
        <v>0</v>
      </c>
      <c r="O1240" s="37">
        <v>121138</v>
      </c>
      <c r="P1240" s="37">
        <f>SUM(P1241:P1256)</f>
        <v>120000</v>
      </c>
      <c r="Q1240" s="186">
        <f t="shared" si="147"/>
        <v>0.990605755419439</v>
      </c>
      <c r="R1240" s="37">
        <f>SUM(R1241:R1256)</f>
        <v>0</v>
      </c>
      <c r="S1240" s="37">
        <f>SUM(S1241:S1256)</f>
        <v>0</v>
      </c>
      <c r="T1240" s="37">
        <v>0</v>
      </c>
      <c r="U1240" s="37">
        <f>SUM(U1241:U1256)</f>
        <v>0</v>
      </c>
      <c r="V1240" s="37">
        <f>SUM(V1241:V1256)</f>
        <v>0</v>
      </c>
      <c r="W1240" s="32">
        <f t="shared" si="148"/>
        <v>0</v>
      </c>
    </row>
    <row r="1241" spans="1:23" ht="24" hidden="1">
      <c r="A1241" s="8"/>
      <c r="B1241" s="8"/>
      <c r="C1241" s="26">
        <v>4118</v>
      </c>
      <c r="D1241" s="27" t="s">
        <v>113</v>
      </c>
      <c r="E1241" s="11"/>
      <c r="F1241" s="11"/>
      <c r="G1241" s="12"/>
      <c r="H1241" s="12"/>
      <c r="I1241" s="12"/>
      <c r="J1241" s="12">
        <v>0</v>
      </c>
      <c r="K1241" s="12">
        <v>6852</v>
      </c>
      <c r="L1241" s="12">
        <v>6852</v>
      </c>
      <c r="M1241" s="12">
        <v>9708</v>
      </c>
      <c r="N1241" s="12">
        <v>0</v>
      </c>
      <c r="O1241" s="12">
        <v>9708</v>
      </c>
      <c r="P1241" s="12">
        <v>9689</v>
      </c>
      <c r="Q1241" s="186">
        <f t="shared" si="147"/>
        <v>0.9980428512566956</v>
      </c>
      <c r="R1241" s="12"/>
      <c r="S1241" s="12"/>
      <c r="T1241" s="12">
        <v>0</v>
      </c>
      <c r="U1241" s="12"/>
      <c r="V1241" s="12"/>
      <c r="W1241" s="32">
        <f t="shared" si="148"/>
        <v>0</v>
      </c>
    </row>
    <row r="1242" spans="1:23" ht="24" hidden="1">
      <c r="A1242" s="8"/>
      <c r="B1242" s="8"/>
      <c r="C1242" s="26">
        <v>4119</v>
      </c>
      <c r="D1242" s="27" t="s">
        <v>113</v>
      </c>
      <c r="E1242" s="11"/>
      <c r="F1242" s="11"/>
      <c r="G1242" s="12"/>
      <c r="H1242" s="12"/>
      <c r="I1242" s="12"/>
      <c r="J1242" s="12">
        <v>0</v>
      </c>
      <c r="K1242" s="12">
        <v>1209</v>
      </c>
      <c r="L1242" s="12">
        <v>1209</v>
      </c>
      <c r="M1242" s="12">
        <v>1713</v>
      </c>
      <c r="N1242" s="12">
        <v>0</v>
      </c>
      <c r="O1242" s="12">
        <v>1713</v>
      </c>
      <c r="P1242" s="12">
        <v>1710</v>
      </c>
      <c r="Q1242" s="186">
        <f t="shared" si="147"/>
        <v>0.9982486865148862</v>
      </c>
      <c r="R1242" s="12"/>
      <c r="S1242" s="12"/>
      <c r="T1242" s="12">
        <v>0</v>
      </c>
      <c r="U1242" s="12"/>
      <c r="V1242" s="12"/>
      <c r="W1242" s="32">
        <f t="shared" si="148"/>
        <v>0</v>
      </c>
    </row>
    <row r="1243" spans="1:23" ht="12" hidden="1">
      <c r="A1243" s="8"/>
      <c r="B1243" s="8"/>
      <c r="C1243" s="26">
        <v>4128</v>
      </c>
      <c r="D1243" s="27" t="s">
        <v>32</v>
      </c>
      <c r="E1243" s="11"/>
      <c r="F1243" s="11"/>
      <c r="G1243" s="12"/>
      <c r="H1243" s="12"/>
      <c r="I1243" s="12"/>
      <c r="J1243" s="12">
        <v>0</v>
      </c>
      <c r="K1243" s="12">
        <v>1094</v>
      </c>
      <c r="L1243" s="12">
        <v>1094</v>
      </c>
      <c r="M1243" s="12">
        <v>1550</v>
      </c>
      <c r="N1243" s="12">
        <v>0</v>
      </c>
      <c r="O1243" s="12">
        <v>1550</v>
      </c>
      <c r="P1243" s="12">
        <v>1555</v>
      </c>
      <c r="Q1243" s="186">
        <f t="shared" si="147"/>
        <v>1.0032258064516129</v>
      </c>
      <c r="R1243" s="12"/>
      <c r="S1243" s="12"/>
      <c r="T1243" s="12">
        <v>0</v>
      </c>
      <c r="U1243" s="12"/>
      <c r="V1243" s="12"/>
      <c r="W1243" s="32">
        <f t="shared" si="148"/>
        <v>0</v>
      </c>
    </row>
    <row r="1244" spans="1:23" ht="12" hidden="1">
      <c r="A1244" s="8"/>
      <c r="B1244" s="8"/>
      <c r="C1244" s="26">
        <v>4129</v>
      </c>
      <c r="D1244" s="27" t="s">
        <v>32</v>
      </c>
      <c r="E1244" s="11"/>
      <c r="F1244" s="11"/>
      <c r="G1244" s="12"/>
      <c r="H1244" s="12"/>
      <c r="I1244" s="12"/>
      <c r="J1244" s="12">
        <v>0</v>
      </c>
      <c r="K1244" s="12">
        <v>193</v>
      </c>
      <c r="L1244" s="12">
        <v>193</v>
      </c>
      <c r="M1244" s="12">
        <v>274</v>
      </c>
      <c r="N1244" s="12">
        <v>0</v>
      </c>
      <c r="O1244" s="12">
        <v>274</v>
      </c>
      <c r="P1244" s="12">
        <v>274</v>
      </c>
      <c r="Q1244" s="186">
        <f t="shared" si="147"/>
        <v>1</v>
      </c>
      <c r="R1244" s="12"/>
      <c r="S1244" s="12"/>
      <c r="T1244" s="12">
        <v>0</v>
      </c>
      <c r="U1244" s="12"/>
      <c r="V1244" s="12"/>
      <c r="W1244" s="32">
        <f t="shared" si="148"/>
        <v>0</v>
      </c>
    </row>
    <row r="1245" spans="1:23" ht="12" hidden="1">
      <c r="A1245" s="8"/>
      <c r="B1245" s="8"/>
      <c r="C1245" s="26">
        <v>4178</v>
      </c>
      <c r="D1245" s="27" t="s">
        <v>69</v>
      </c>
      <c r="E1245" s="11"/>
      <c r="F1245" s="11"/>
      <c r="G1245" s="12"/>
      <c r="H1245" s="12"/>
      <c r="I1245" s="12"/>
      <c r="J1245" s="12">
        <v>0</v>
      </c>
      <c r="K1245" s="12">
        <v>44666</v>
      </c>
      <c r="L1245" s="12">
        <v>44666</v>
      </c>
      <c r="M1245" s="12">
        <v>63284</v>
      </c>
      <c r="N1245" s="12">
        <v>0</v>
      </c>
      <c r="O1245" s="12">
        <v>63284</v>
      </c>
      <c r="P1245" s="12">
        <v>63476</v>
      </c>
      <c r="Q1245" s="186">
        <f t="shared" si="147"/>
        <v>1.0030339422286834</v>
      </c>
      <c r="R1245" s="12"/>
      <c r="S1245" s="12"/>
      <c r="T1245" s="12">
        <v>0</v>
      </c>
      <c r="U1245" s="12"/>
      <c r="V1245" s="12"/>
      <c r="W1245" s="32">
        <f t="shared" si="148"/>
        <v>0</v>
      </c>
    </row>
    <row r="1246" spans="1:23" ht="12" hidden="1">
      <c r="A1246" s="8"/>
      <c r="B1246" s="8"/>
      <c r="C1246" s="26">
        <v>4179</v>
      </c>
      <c r="D1246" s="27" t="s">
        <v>69</v>
      </c>
      <c r="E1246" s="11"/>
      <c r="F1246" s="11"/>
      <c r="G1246" s="12"/>
      <c r="H1246" s="12"/>
      <c r="I1246" s="12"/>
      <c r="J1246" s="12">
        <v>0</v>
      </c>
      <c r="K1246" s="12">
        <v>7882</v>
      </c>
      <c r="L1246" s="12">
        <v>7882</v>
      </c>
      <c r="M1246" s="12">
        <v>11168</v>
      </c>
      <c r="N1246" s="12">
        <v>0</v>
      </c>
      <c r="O1246" s="12">
        <v>11168</v>
      </c>
      <c r="P1246" s="12">
        <v>11202</v>
      </c>
      <c r="Q1246" s="186">
        <f t="shared" si="147"/>
        <v>1.0030444126074498</v>
      </c>
      <c r="R1246" s="12"/>
      <c r="S1246" s="12"/>
      <c r="T1246" s="12">
        <v>0</v>
      </c>
      <c r="U1246" s="12"/>
      <c r="V1246" s="12"/>
      <c r="W1246" s="32">
        <f aca="true" t="shared" si="150" ref="W1246:W1309">T1246+U1246-V1246</f>
        <v>0</v>
      </c>
    </row>
    <row r="1247" spans="1:23" ht="12" hidden="1">
      <c r="A1247" s="8"/>
      <c r="B1247" s="8"/>
      <c r="C1247" s="26">
        <v>4218</v>
      </c>
      <c r="D1247" s="27" t="s">
        <v>34</v>
      </c>
      <c r="E1247" s="11"/>
      <c r="F1247" s="11"/>
      <c r="G1247" s="12"/>
      <c r="H1247" s="12"/>
      <c r="I1247" s="12"/>
      <c r="J1247" s="12">
        <v>0</v>
      </c>
      <c r="K1247" s="12">
        <v>27483</v>
      </c>
      <c r="L1247" s="12">
        <v>27483</v>
      </c>
      <c r="M1247" s="12">
        <v>12936</v>
      </c>
      <c r="N1247" s="12">
        <v>0</v>
      </c>
      <c r="O1247" s="12">
        <v>12936</v>
      </c>
      <c r="P1247" s="12">
        <v>11869</v>
      </c>
      <c r="Q1247" s="186">
        <f t="shared" si="147"/>
        <v>0.9175170068027211</v>
      </c>
      <c r="R1247" s="12"/>
      <c r="S1247" s="12"/>
      <c r="T1247" s="12">
        <v>0</v>
      </c>
      <c r="U1247" s="12"/>
      <c r="V1247" s="12"/>
      <c r="W1247" s="32">
        <f t="shared" si="150"/>
        <v>0</v>
      </c>
    </row>
    <row r="1248" spans="1:23" ht="12" hidden="1">
      <c r="A1248" s="8"/>
      <c r="B1248" s="8"/>
      <c r="C1248" s="26">
        <v>4219</v>
      </c>
      <c r="D1248" s="27" t="s">
        <v>34</v>
      </c>
      <c r="E1248" s="11"/>
      <c r="F1248" s="11"/>
      <c r="G1248" s="12"/>
      <c r="H1248" s="12"/>
      <c r="I1248" s="12"/>
      <c r="J1248" s="12">
        <v>0</v>
      </c>
      <c r="K1248" s="12">
        <v>4850</v>
      </c>
      <c r="L1248" s="12">
        <v>4850</v>
      </c>
      <c r="M1248" s="12">
        <v>2283</v>
      </c>
      <c r="N1248" s="12">
        <v>0</v>
      </c>
      <c r="O1248" s="12">
        <v>2283</v>
      </c>
      <c r="P1248" s="12">
        <v>2094</v>
      </c>
      <c r="Q1248" s="186">
        <f aca="true" t="shared" si="151" ref="Q1248:Q1312">P1248/O1248</f>
        <v>0.9172141918528253</v>
      </c>
      <c r="R1248" s="12"/>
      <c r="S1248" s="12"/>
      <c r="T1248" s="12">
        <v>0</v>
      </c>
      <c r="U1248" s="12"/>
      <c r="V1248" s="12"/>
      <c r="W1248" s="32">
        <f t="shared" si="150"/>
        <v>0</v>
      </c>
    </row>
    <row r="1249" spans="1:23" ht="12" hidden="1">
      <c r="A1249" s="8"/>
      <c r="B1249" s="8"/>
      <c r="C1249" s="26">
        <v>4268</v>
      </c>
      <c r="D1249" s="27" t="s">
        <v>35</v>
      </c>
      <c r="E1249" s="11"/>
      <c r="F1249" s="11"/>
      <c r="G1249" s="12"/>
      <c r="H1249" s="12"/>
      <c r="I1249" s="12"/>
      <c r="J1249" s="12">
        <v>0</v>
      </c>
      <c r="K1249" s="12">
        <v>679</v>
      </c>
      <c r="L1249" s="12">
        <v>679</v>
      </c>
      <c r="M1249" s="12">
        <v>1018</v>
      </c>
      <c r="N1249" s="12">
        <v>0</v>
      </c>
      <c r="O1249" s="12">
        <v>1018</v>
      </c>
      <c r="P1249" s="12">
        <v>1018</v>
      </c>
      <c r="Q1249" s="186">
        <f t="shared" si="151"/>
        <v>1</v>
      </c>
      <c r="R1249" s="12"/>
      <c r="S1249" s="12"/>
      <c r="T1249" s="12">
        <v>0</v>
      </c>
      <c r="U1249" s="12"/>
      <c r="V1249" s="12"/>
      <c r="W1249" s="32">
        <f t="shared" si="150"/>
        <v>0</v>
      </c>
    </row>
    <row r="1250" spans="1:23" ht="12" hidden="1">
      <c r="A1250" s="8"/>
      <c r="B1250" s="8"/>
      <c r="C1250" s="26">
        <v>4269</v>
      </c>
      <c r="D1250" s="27" t="s">
        <v>35</v>
      </c>
      <c r="E1250" s="11"/>
      <c r="F1250" s="11"/>
      <c r="G1250" s="12"/>
      <c r="H1250" s="12"/>
      <c r="I1250" s="12"/>
      <c r="J1250" s="12">
        <v>0</v>
      </c>
      <c r="K1250" s="12">
        <v>120</v>
      </c>
      <c r="L1250" s="12">
        <v>120</v>
      </c>
      <c r="M1250" s="12">
        <v>180</v>
      </c>
      <c r="N1250" s="12">
        <v>0</v>
      </c>
      <c r="O1250" s="12">
        <v>180</v>
      </c>
      <c r="P1250" s="12">
        <v>180</v>
      </c>
      <c r="Q1250" s="186">
        <f t="shared" si="151"/>
        <v>1</v>
      </c>
      <c r="R1250" s="12"/>
      <c r="S1250" s="12"/>
      <c r="T1250" s="12">
        <v>0</v>
      </c>
      <c r="U1250" s="12"/>
      <c r="V1250" s="12"/>
      <c r="W1250" s="32">
        <f t="shared" si="150"/>
        <v>0</v>
      </c>
    </row>
    <row r="1251" spans="1:23" ht="12" hidden="1">
      <c r="A1251" s="8"/>
      <c r="B1251" s="8"/>
      <c r="C1251" s="26">
        <v>4308</v>
      </c>
      <c r="D1251" s="27" t="s">
        <v>154</v>
      </c>
      <c r="E1251" s="11"/>
      <c r="F1251" s="11"/>
      <c r="G1251" s="12"/>
      <c r="H1251" s="12"/>
      <c r="I1251" s="12"/>
      <c r="J1251" s="12">
        <v>0</v>
      </c>
      <c r="K1251" s="12">
        <v>1820</v>
      </c>
      <c r="L1251" s="12">
        <v>1820</v>
      </c>
      <c r="M1251" s="12">
        <v>2298</v>
      </c>
      <c r="N1251" s="12">
        <v>0</v>
      </c>
      <c r="O1251" s="12">
        <v>13021</v>
      </c>
      <c r="P1251" s="12">
        <v>12960</v>
      </c>
      <c r="Q1251" s="186">
        <f t="shared" si="151"/>
        <v>0.9953152599646724</v>
      </c>
      <c r="R1251" s="12"/>
      <c r="S1251" s="12"/>
      <c r="T1251" s="12">
        <v>0</v>
      </c>
      <c r="U1251" s="12"/>
      <c r="V1251" s="12"/>
      <c r="W1251" s="32">
        <f t="shared" si="150"/>
        <v>0</v>
      </c>
    </row>
    <row r="1252" spans="1:23" ht="12" hidden="1">
      <c r="A1252" s="8"/>
      <c r="B1252" s="8"/>
      <c r="C1252" s="26">
        <v>4309</v>
      </c>
      <c r="D1252" s="27" t="s">
        <v>154</v>
      </c>
      <c r="E1252" s="11"/>
      <c r="F1252" s="11"/>
      <c r="G1252" s="12"/>
      <c r="H1252" s="12"/>
      <c r="I1252" s="12"/>
      <c r="J1252" s="12">
        <v>0</v>
      </c>
      <c r="K1252" s="12">
        <v>1820</v>
      </c>
      <c r="L1252" s="12">
        <v>1820</v>
      </c>
      <c r="M1252" s="12">
        <v>2298</v>
      </c>
      <c r="N1252" s="12">
        <v>0</v>
      </c>
      <c r="O1252" s="12">
        <v>2298</v>
      </c>
      <c r="P1252" s="12">
        <v>2287</v>
      </c>
      <c r="Q1252" s="186">
        <f t="shared" si="151"/>
        <v>0.995213228894691</v>
      </c>
      <c r="R1252" s="12"/>
      <c r="S1252" s="12"/>
      <c r="T1252" s="12">
        <v>0</v>
      </c>
      <c r="U1252" s="12"/>
      <c r="V1252" s="12"/>
      <c r="W1252" s="32">
        <f t="shared" si="150"/>
        <v>0</v>
      </c>
    </row>
    <row r="1253" spans="1:23" ht="36" hidden="1">
      <c r="A1253" s="8"/>
      <c r="B1253" s="8"/>
      <c r="C1253" s="26">
        <v>4378</v>
      </c>
      <c r="D1253" s="27" t="s">
        <v>135</v>
      </c>
      <c r="E1253" s="11"/>
      <c r="F1253" s="11"/>
      <c r="G1253" s="12"/>
      <c r="H1253" s="12"/>
      <c r="I1253" s="12"/>
      <c r="J1253" s="12">
        <v>0</v>
      </c>
      <c r="K1253" s="12">
        <v>740</v>
      </c>
      <c r="L1253" s="12">
        <v>740</v>
      </c>
      <c r="M1253" s="12">
        <v>1109</v>
      </c>
      <c r="N1253" s="12">
        <v>0</v>
      </c>
      <c r="O1253" s="12">
        <v>1109</v>
      </c>
      <c r="P1253" s="12">
        <v>1110</v>
      </c>
      <c r="Q1253" s="186">
        <f t="shared" si="151"/>
        <v>1.000901713255185</v>
      </c>
      <c r="R1253" s="12"/>
      <c r="S1253" s="12"/>
      <c r="T1253" s="12">
        <v>0</v>
      </c>
      <c r="U1253" s="12"/>
      <c r="V1253" s="12"/>
      <c r="W1253" s="32">
        <f t="shared" si="150"/>
        <v>0</v>
      </c>
    </row>
    <row r="1254" spans="1:23" ht="36" hidden="1">
      <c r="A1254" s="8"/>
      <c r="B1254" s="8"/>
      <c r="C1254" s="26">
        <v>4379</v>
      </c>
      <c r="D1254" s="27" t="s">
        <v>135</v>
      </c>
      <c r="E1254" s="11"/>
      <c r="F1254" s="11"/>
      <c r="G1254" s="12"/>
      <c r="H1254" s="12"/>
      <c r="I1254" s="12"/>
      <c r="J1254" s="12">
        <v>0</v>
      </c>
      <c r="K1254" s="12">
        <v>131</v>
      </c>
      <c r="L1254" s="12">
        <v>131</v>
      </c>
      <c r="M1254" s="12">
        <v>196</v>
      </c>
      <c r="N1254" s="12">
        <v>0</v>
      </c>
      <c r="O1254" s="12">
        <v>196</v>
      </c>
      <c r="P1254" s="12">
        <v>196</v>
      </c>
      <c r="Q1254" s="186">
        <f t="shared" si="151"/>
        <v>1</v>
      </c>
      <c r="R1254" s="12"/>
      <c r="S1254" s="12"/>
      <c r="T1254" s="12">
        <v>0</v>
      </c>
      <c r="U1254" s="12"/>
      <c r="V1254" s="12"/>
      <c r="W1254" s="32">
        <f t="shared" si="150"/>
        <v>0</v>
      </c>
    </row>
    <row r="1255" spans="1:23" ht="24" hidden="1">
      <c r="A1255" s="8"/>
      <c r="B1255" s="8"/>
      <c r="C1255" s="26">
        <v>4758</v>
      </c>
      <c r="D1255" s="27" t="s">
        <v>118</v>
      </c>
      <c r="E1255" s="11"/>
      <c r="F1255" s="11"/>
      <c r="G1255" s="12"/>
      <c r="H1255" s="12"/>
      <c r="I1255" s="12"/>
      <c r="J1255" s="12">
        <v>0</v>
      </c>
      <c r="K1255" s="12">
        <v>340</v>
      </c>
      <c r="L1255" s="12">
        <v>340</v>
      </c>
      <c r="M1255" s="12">
        <v>340</v>
      </c>
      <c r="N1255" s="12">
        <v>0</v>
      </c>
      <c r="O1255" s="12">
        <v>340</v>
      </c>
      <c r="P1255" s="12">
        <v>323</v>
      </c>
      <c r="Q1255" s="186">
        <f t="shared" si="151"/>
        <v>0.95</v>
      </c>
      <c r="R1255" s="12"/>
      <c r="S1255" s="12"/>
      <c r="T1255" s="12">
        <v>0</v>
      </c>
      <c r="U1255" s="12"/>
      <c r="V1255" s="12"/>
      <c r="W1255" s="32">
        <f t="shared" si="150"/>
        <v>0</v>
      </c>
    </row>
    <row r="1256" spans="1:23" ht="24" hidden="1">
      <c r="A1256" s="8"/>
      <c r="B1256" s="8"/>
      <c r="C1256" s="26">
        <v>4759</v>
      </c>
      <c r="D1256" s="27" t="s">
        <v>118</v>
      </c>
      <c r="E1256" s="11"/>
      <c r="F1256" s="11"/>
      <c r="G1256" s="12"/>
      <c r="H1256" s="12"/>
      <c r="I1256" s="12"/>
      <c r="J1256" s="15">
        <v>0</v>
      </c>
      <c r="K1256" s="15">
        <v>60</v>
      </c>
      <c r="L1256" s="15">
        <v>60</v>
      </c>
      <c r="M1256" s="12">
        <v>60</v>
      </c>
      <c r="N1256" s="12">
        <v>0</v>
      </c>
      <c r="O1256" s="12">
        <v>60</v>
      </c>
      <c r="P1256" s="12">
        <v>57</v>
      </c>
      <c r="Q1256" s="186">
        <f t="shared" si="151"/>
        <v>0.95</v>
      </c>
      <c r="R1256" s="12"/>
      <c r="S1256" s="12"/>
      <c r="T1256" s="12">
        <v>0</v>
      </c>
      <c r="U1256" s="12"/>
      <c r="V1256" s="12"/>
      <c r="W1256" s="32">
        <f t="shared" si="150"/>
        <v>0</v>
      </c>
    </row>
    <row r="1257" spans="1:23" ht="48">
      <c r="A1257" s="8"/>
      <c r="B1257" s="8"/>
      <c r="C1257" s="36"/>
      <c r="D1257" s="89" t="s">
        <v>165</v>
      </c>
      <c r="E1257" s="35"/>
      <c r="F1257" s="35"/>
      <c r="G1257" s="37"/>
      <c r="H1257" s="37"/>
      <c r="I1257" s="37"/>
      <c r="J1257" s="37">
        <f>SUM(J1260:J1273)</f>
        <v>2800</v>
      </c>
      <c r="K1257" s="37">
        <f>SUM(K1260:K1273)</f>
        <v>51748</v>
      </c>
      <c r="L1257" s="37">
        <f>SUM(L1260:L1273)</f>
        <v>51812</v>
      </c>
      <c r="M1257" s="37">
        <f>SUM(M1260:M1273)</f>
        <v>151846</v>
      </c>
      <c r="N1257" s="37">
        <v>0</v>
      </c>
      <c r="O1257" s="37">
        <v>154952</v>
      </c>
      <c r="P1257" s="37">
        <f>SUM(P1258:P1277)</f>
        <v>57028</v>
      </c>
      <c r="Q1257" s="186">
        <f t="shared" si="151"/>
        <v>0.3680365532552016</v>
      </c>
      <c r="R1257" s="37">
        <f>SUM(R1258:R1277)</f>
        <v>158752</v>
      </c>
      <c r="S1257" s="37">
        <f>SUM(S1258:S1277)</f>
        <v>114287</v>
      </c>
      <c r="T1257" s="37">
        <v>110487</v>
      </c>
      <c r="U1257" s="37">
        <f>SUM(U1258:U1277)</f>
        <v>16466</v>
      </c>
      <c r="V1257" s="37">
        <f>SUM(V1258:V1277)</f>
        <v>0</v>
      </c>
      <c r="W1257" s="32">
        <f t="shared" si="150"/>
        <v>126953</v>
      </c>
    </row>
    <row r="1258" spans="1:23" ht="24">
      <c r="A1258" s="88"/>
      <c r="B1258" s="88"/>
      <c r="C1258" s="26">
        <v>4018</v>
      </c>
      <c r="D1258" s="10" t="s">
        <v>314</v>
      </c>
      <c r="E1258" s="11"/>
      <c r="F1258" s="11"/>
      <c r="G1258" s="12"/>
      <c r="H1258" s="12"/>
      <c r="I1258" s="12"/>
      <c r="J1258" s="12"/>
      <c r="K1258" s="12"/>
      <c r="L1258" s="12"/>
      <c r="M1258" s="12"/>
      <c r="N1258" s="12">
        <v>0</v>
      </c>
      <c r="O1258" s="12">
        <v>7140</v>
      </c>
      <c r="P1258" s="12">
        <v>1785</v>
      </c>
      <c r="Q1258" s="186">
        <f t="shared" si="151"/>
        <v>0.25</v>
      </c>
      <c r="R1258" s="12">
        <v>7140</v>
      </c>
      <c r="S1258" s="12">
        <v>5355</v>
      </c>
      <c r="T1258" s="12">
        <v>5355</v>
      </c>
      <c r="U1258" s="12"/>
      <c r="V1258" s="12"/>
      <c r="W1258" s="32">
        <f t="shared" si="150"/>
        <v>5355</v>
      </c>
    </row>
    <row r="1259" spans="1:23" ht="24">
      <c r="A1259" s="88"/>
      <c r="B1259" s="88"/>
      <c r="C1259" s="26">
        <v>4019</v>
      </c>
      <c r="D1259" s="10" t="s">
        <v>314</v>
      </c>
      <c r="E1259" s="11"/>
      <c r="F1259" s="11"/>
      <c r="G1259" s="12"/>
      <c r="H1259" s="12"/>
      <c r="I1259" s="12"/>
      <c r="J1259" s="12"/>
      <c r="K1259" s="12"/>
      <c r="L1259" s="12"/>
      <c r="M1259" s="12"/>
      <c r="N1259" s="12">
        <v>0</v>
      </c>
      <c r="O1259" s="12">
        <v>1260</v>
      </c>
      <c r="P1259" s="12">
        <v>315</v>
      </c>
      <c r="Q1259" s="186">
        <f t="shared" si="151"/>
        <v>0.25</v>
      </c>
      <c r="R1259" s="12">
        <v>1260</v>
      </c>
      <c r="S1259" s="12">
        <v>945</v>
      </c>
      <c r="T1259" s="12">
        <v>945</v>
      </c>
      <c r="U1259" s="12"/>
      <c r="V1259" s="12"/>
      <c r="W1259" s="32">
        <f t="shared" si="150"/>
        <v>945</v>
      </c>
    </row>
    <row r="1260" spans="1:23" ht="24">
      <c r="A1260" s="8"/>
      <c r="B1260" s="8"/>
      <c r="C1260" s="26">
        <v>4118</v>
      </c>
      <c r="D1260" s="27" t="s">
        <v>113</v>
      </c>
      <c r="E1260" s="11"/>
      <c r="F1260" s="11"/>
      <c r="G1260" s="12"/>
      <c r="H1260" s="12"/>
      <c r="I1260" s="12"/>
      <c r="J1260" s="12">
        <v>0</v>
      </c>
      <c r="K1260" s="12">
        <v>3605</v>
      </c>
      <c r="L1260" s="12">
        <v>3605</v>
      </c>
      <c r="M1260" s="12">
        <v>12207</v>
      </c>
      <c r="N1260" s="12">
        <v>0</v>
      </c>
      <c r="O1260" s="12">
        <v>12904</v>
      </c>
      <c r="P1260" s="12">
        <v>3692</v>
      </c>
      <c r="Q1260" s="186">
        <f t="shared" si="151"/>
        <v>0.2861128332300062</v>
      </c>
      <c r="R1260" s="12">
        <v>12904</v>
      </c>
      <c r="S1260" s="12">
        <v>9155</v>
      </c>
      <c r="T1260" s="12">
        <v>9155</v>
      </c>
      <c r="U1260" s="12">
        <v>1547</v>
      </c>
      <c r="V1260" s="12"/>
      <c r="W1260" s="32">
        <f t="shared" si="150"/>
        <v>10702</v>
      </c>
    </row>
    <row r="1261" spans="1:23" ht="24">
      <c r="A1261" s="8"/>
      <c r="B1261" s="8"/>
      <c r="C1261" s="26">
        <v>4119</v>
      </c>
      <c r="D1261" s="27" t="s">
        <v>113</v>
      </c>
      <c r="E1261" s="11"/>
      <c r="F1261" s="11"/>
      <c r="G1261" s="12"/>
      <c r="H1261" s="12"/>
      <c r="I1261" s="12"/>
      <c r="J1261" s="12">
        <v>0</v>
      </c>
      <c r="K1261" s="12">
        <v>636</v>
      </c>
      <c r="L1261" s="12">
        <v>636</v>
      </c>
      <c r="M1261" s="12">
        <v>2154</v>
      </c>
      <c r="N1261" s="12">
        <v>0</v>
      </c>
      <c r="O1261" s="12">
        <v>2277</v>
      </c>
      <c r="P1261" s="12">
        <v>652</v>
      </c>
      <c r="Q1261" s="186">
        <f t="shared" si="151"/>
        <v>0.28634167764602547</v>
      </c>
      <c r="R1261" s="12">
        <v>2277</v>
      </c>
      <c r="S1261" s="12">
        <v>1616</v>
      </c>
      <c r="T1261" s="12">
        <v>1616</v>
      </c>
      <c r="U1261" s="12">
        <v>273</v>
      </c>
      <c r="V1261" s="12"/>
      <c r="W1261" s="32">
        <f t="shared" si="150"/>
        <v>1889</v>
      </c>
    </row>
    <row r="1262" spans="1:23" ht="12">
      <c r="A1262" s="8"/>
      <c r="B1262" s="8"/>
      <c r="C1262" s="26">
        <v>4128</v>
      </c>
      <c r="D1262" s="27" t="s">
        <v>32</v>
      </c>
      <c r="E1262" s="11"/>
      <c r="F1262" s="11"/>
      <c r="G1262" s="12"/>
      <c r="H1262" s="12"/>
      <c r="I1262" s="12"/>
      <c r="J1262" s="12">
        <v>0</v>
      </c>
      <c r="K1262" s="12">
        <v>576</v>
      </c>
      <c r="L1262" s="12">
        <v>576</v>
      </c>
      <c r="M1262" s="12">
        <v>1950</v>
      </c>
      <c r="N1262" s="12">
        <v>0</v>
      </c>
      <c r="O1262" s="12">
        <v>2061</v>
      </c>
      <c r="P1262" s="12">
        <v>595</v>
      </c>
      <c r="Q1262" s="186">
        <f t="shared" si="151"/>
        <v>0.28869480834546335</v>
      </c>
      <c r="R1262" s="12">
        <v>2061</v>
      </c>
      <c r="S1262" s="12">
        <v>1462</v>
      </c>
      <c r="T1262" s="12">
        <v>1462</v>
      </c>
      <c r="U1262" s="12">
        <v>250</v>
      </c>
      <c r="V1262" s="12"/>
      <c r="W1262" s="32">
        <f t="shared" si="150"/>
        <v>1712</v>
      </c>
    </row>
    <row r="1263" spans="1:23" ht="12">
      <c r="A1263" s="8"/>
      <c r="B1263" s="8"/>
      <c r="C1263" s="26">
        <v>4129</v>
      </c>
      <c r="D1263" s="27" t="s">
        <v>32</v>
      </c>
      <c r="E1263" s="11"/>
      <c r="F1263" s="11"/>
      <c r="G1263" s="12"/>
      <c r="H1263" s="12"/>
      <c r="I1263" s="12"/>
      <c r="J1263" s="12">
        <v>0</v>
      </c>
      <c r="K1263" s="12">
        <v>102</v>
      </c>
      <c r="L1263" s="12">
        <v>102</v>
      </c>
      <c r="M1263" s="12">
        <v>344</v>
      </c>
      <c r="N1263" s="12">
        <v>0</v>
      </c>
      <c r="O1263" s="12">
        <v>364</v>
      </c>
      <c r="P1263" s="12">
        <v>105</v>
      </c>
      <c r="Q1263" s="186">
        <f t="shared" si="151"/>
        <v>0.28846153846153844</v>
      </c>
      <c r="R1263" s="12">
        <v>364</v>
      </c>
      <c r="S1263" s="12">
        <v>258</v>
      </c>
      <c r="T1263" s="12">
        <v>258</v>
      </c>
      <c r="U1263" s="12">
        <v>44</v>
      </c>
      <c r="V1263" s="12"/>
      <c r="W1263" s="32">
        <f t="shared" si="150"/>
        <v>302</v>
      </c>
    </row>
    <row r="1264" spans="1:23" ht="12">
      <c r="A1264" s="8"/>
      <c r="B1264" s="8"/>
      <c r="C1264" s="26">
        <v>4178</v>
      </c>
      <c r="D1264" s="27" t="s">
        <v>69</v>
      </c>
      <c r="E1264" s="11"/>
      <c r="F1264" s="11"/>
      <c r="G1264" s="12"/>
      <c r="H1264" s="12"/>
      <c r="I1264" s="12"/>
      <c r="J1264" s="12">
        <v>0</v>
      </c>
      <c r="K1264" s="12">
        <v>23502</v>
      </c>
      <c r="L1264" s="12">
        <v>23502</v>
      </c>
      <c r="M1264" s="12">
        <v>79575</v>
      </c>
      <c r="N1264" s="12">
        <v>0</v>
      </c>
      <c r="O1264" s="12">
        <v>76978</v>
      </c>
      <c r="P1264" s="12">
        <v>30256</v>
      </c>
      <c r="Q1264" s="186">
        <f t="shared" si="151"/>
        <v>0.39304736418197406</v>
      </c>
      <c r="R1264" s="12">
        <v>76978</v>
      </c>
      <c r="S1264" s="12">
        <v>54327</v>
      </c>
      <c r="T1264" s="12">
        <v>54327</v>
      </c>
      <c r="U1264" s="12">
        <v>10200</v>
      </c>
      <c r="V1264" s="12"/>
      <c r="W1264" s="32">
        <f t="shared" si="150"/>
        <v>64527</v>
      </c>
    </row>
    <row r="1265" spans="1:23" ht="12">
      <c r="A1265" s="8"/>
      <c r="B1265" s="8"/>
      <c r="C1265" s="26">
        <v>4179</v>
      </c>
      <c r="D1265" s="27" t="s">
        <v>69</v>
      </c>
      <c r="E1265" s="11"/>
      <c r="F1265" s="11"/>
      <c r="G1265" s="12"/>
      <c r="H1265" s="12"/>
      <c r="I1265" s="12"/>
      <c r="J1265" s="12">
        <v>0</v>
      </c>
      <c r="K1265" s="12">
        <v>4147</v>
      </c>
      <c r="L1265" s="12">
        <v>4147</v>
      </c>
      <c r="M1265" s="12">
        <v>14043</v>
      </c>
      <c r="N1265" s="12">
        <v>0</v>
      </c>
      <c r="O1265" s="12">
        <v>13585</v>
      </c>
      <c r="P1265" s="12">
        <v>5339</v>
      </c>
      <c r="Q1265" s="186">
        <f t="shared" si="151"/>
        <v>0.393006993006993</v>
      </c>
      <c r="R1265" s="12">
        <v>13585</v>
      </c>
      <c r="S1265" s="12">
        <v>9587</v>
      </c>
      <c r="T1265" s="12">
        <v>9587</v>
      </c>
      <c r="U1265" s="12">
        <v>1800</v>
      </c>
      <c r="V1265" s="12"/>
      <c r="W1265" s="32">
        <f t="shared" si="150"/>
        <v>11387</v>
      </c>
    </row>
    <row r="1266" spans="1:23" ht="12">
      <c r="A1266" s="8"/>
      <c r="B1266" s="8"/>
      <c r="C1266" s="26">
        <v>4218</v>
      </c>
      <c r="D1266" s="27" t="s">
        <v>34</v>
      </c>
      <c r="E1266" s="11"/>
      <c r="F1266" s="11"/>
      <c r="G1266" s="12"/>
      <c r="H1266" s="12"/>
      <c r="I1266" s="12"/>
      <c r="J1266" s="12">
        <v>0</v>
      </c>
      <c r="K1266" s="12">
        <v>8681</v>
      </c>
      <c r="L1266" s="12">
        <v>8681</v>
      </c>
      <c r="M1266" s="12">
        <v>10409</v>
      </c>
      <c r="N1266" s="12">
        <v>0</v>
      </c>
      <c r="O1266" s="12">
        <v>7859</v>
      </c>
      <c r="P1266" s="12">
        <v>901</v>
      </c>
      <c r="Q1266" s="186">
        <f t="shared" si="151"/>
        <v>0.11464562921491284</v>
      </c>
      <c r="R1266" s="12">
        <v>7859</v>
      </c>
      <c r="S1266" s="12">
        <v>6306</v>
      </c>
      <c r="T1266" s="12">
        <v>6306</v>
      </c>
      <c r="U1266" s="12"/>
      <c r="V1266" s="12"/>
      <c r="W1266" s="32">
        <f t="shared" si="150"/>
        <v>6306</v>
      </c>
    </row>
    <row r="1267" spans="1:23" ht="12">
      <c r="A1267" s="8"/>
      <c r="B1267" s="8"/>
      <c r="C1267" s="26">
        <v>4219</v>
      </c>
      <c r="D1267" s="27" t="s">
        <v>34</v>
      </c>
      <c r="E1267" s="11"/>
      <c r="F1267" s="11"/>
      <c r="G1267" s="12"/>
      <c r="H1267" s="12"/>
      <c r="I1267" s="12"/>
      <c r="J1267" s="12">
        <v>0</v>
      </c>
      <c r="K1267" s="12">
        <v>1532</v>
      </c>
      <c r="L1267" s="12">
        <v>1532</v>
      </c>
      <c r="M1267" s="12">
        <v>1837</v>
      </c>
      <c r="N1267" s="12">
        <v>0</v>
      </c>
      <c r="O1267" s="12">
        <v>1387</v>
      </c>
      <c r="P1267" s="12">
        <v>159</v>
      </c>
      <c r="Q1267" s="186">
        <f t="shared" si="151"/>
        <v>0.11463590483056957</v>
      </c>
      <c r="R1267" s="12">
        <v>1387</v>
      </c>
      <c r="S1267" s="12">
        <v>1113</v>
      </c>
      <c r="T1267" s="12">
        <v>1113</v>
      </c>
      <c r="U1267" s="12"/>
      <c r="V1267" s="12"/>
      <c r="W1267" s="32">
        <f t="shared" si="150"/>
        <v>1113</v>
      </c>
    </row>
    <row r="1268" spans="1:23" ht="12">
      <c r="A1268" s="8"/>
      <c r="B1268" s="8"/>
      <c r="C1268" s="26">
        <v>4308</v>
      </c>
      <c r="D1268" s="27" t="s">
        <v>154</v>
      </c>
      <c r="E1268" s="11"/>
      <c r="F1268" s="11"/>
      <c r="G1268" s="12"/>
      <c r="H1268" s="12"/>
      <c r="I1268" s="12"/>
      <c r="J1268" s="12">
        <v>0</v>
      </c>
      <c r="K1268" s="12">
        <v>4249</v>
      </c>
      <c r="L1268" s="12">
        <v>4249</v>
      </c>
      <c r="M1268" s="12">
        <v>19549</v>
      </c>
      <c r="N1268" s="12">
        <v>0</v>
      </c>
      <c r="O1268" s="12">
        <v>19728</v>
      </c>
      <c r="P1268" s="12">
        <v>9003</v>
      </c>
      <c r="Q1268" s="186">
        <f t="shared" si="151"/>
        <v>0.4563564476885645</v>
      </c>
      <c r="R1268" s="12">
        <v>19728</v>
      </c>
      <c r="S1268" s="12">
        <v>13742</v>
      </c>
      <c r="T1268" s="12">
        <v>13742</v>
      </c>
      <c r="U1268" s="12">
        <v>1999</v>
      </c>
      <c r="V1268" s="12"/>
      <c r="W1268" s="32">
        <f t="shared" si="150"/>
        <v>15741</v>
      </c>
    </row>
    <row r="1269" spans="1:23" ht="12">
      <c r="A1269" s="8"/>
      <c r="B1269" s="8"/>
      <c r="C1269" s="26">
        <v>4309</v>
      </c>
      <c r="D1269" s="27" t="s">
        <v>154</v>
      </c>
      <c r="E1269" s="11"/>
      <c r="F1269" s="11"/>
      <c r="G1269" s="12"/>
      <c r="H1269" s="12"/>
      <c r="I1269" s="12"/>
      <c r="J1269" s="12">
        <v>0</v>
      </c>
      <c r="K1269" s="12">
        <v>750</v>
      </c>
      <c r="L1269" s="12">
        <v>750</v>
      </c>
      <c r="M1269" s="12">
        <v>3450</v>
      </c>
      <c r="N1269" s="12">
        <v>0</v>
      </c>
      <c r="O1269" s="12">
        <v>3481</v>
      </c>
      <c r="P1269" s="12">
        <v>1589</v>
      </c>
      <c r="Q1269" s="186">
        <f t="shared" si="151"/>
        <v>0.4564780235564493</v>
      </c>
      <c r="R1269" s="12">
        <v>3481</v>
      </c>
      <c r="S1269" s="12">
        <v>2425</v>
      </c>
      <c r="T1269" s="12">
        <v>2425</v>
      </c>
      <c r="U1269" s="12">
        <v>353</v>
      </c>
      <c r="V1269" s="12"/>
      <c r="W1269" s="32">
        <f t="shared" si="150"/>
        <v>2778</v>
      </c>
    </row>
    <row r="1270" spans="1:23" ht="36">
      <c r="A1270" s="25"/>
      <c r="B1270" s="25"/>
      <c r="C1270" s="26">
        <v>4368</v>
      </c>
      <c r="D1270" s="27" t="s">
        <v>130</v>
      </c>
      <c r="E1270" s="85">
        <v>1400</v>
      </c>
      <c r="F1270" s="85">
        <v>1400</v>
      </c>
      <c r="G1270" s="1">
        <v>1400</v>
      </c>
      <c r="H1270" s="1">
        <v>1400</v>
      </c>
      <c r="I1270" s="1"/>
      <c r="J1270" s="1">
        <v>1400</v>
      </c>
      <c r="K1270" s="1">
        <v>1618</v>
      </c>
      <c r="L1270" s="1">
        <v>1650</v>
      </c>
      <c r="M1270" s="1">
        <v>1700</v>
      </c>
      <c r="N1270" s="1">
        <v>1700</v>
      </c>
      <c r="O1270" s="1">
        <v>1700</v>
      </c>
      <c r="P1270" s="1">
        <v>717</v>
      </c>
      <c r="Q1270" s="186">
        <f t="shared" si="151"/>
        <v>0.42176470588235293</v>
      </c>
      <c r="R1270" s="156">
        <v>1900</v>
      </c>
      <c r="S1270" s="156">
        <v>1900</v>
      </c>
      <c r="T1270" s="1">
        <v>1867</v>
      </c>
      <c r="U1270" s="1"/>
      <c r="V1270" s="1"/>
      <c r="W1270" s="32">
        <f t="shared" si="150"/>
        <v>1867</v>
      </c>
    </row>
    <row r="1271" spans="1:23" ht="36">
      <c r="A1271" s="25"/>
      <c r="B1271" s="25"/>
      <c r="C1271" s="26">
        <v>4368</v>
      </c>
      <c r="D1271" s="27" t="s">
        <v>130</v>
      </c>
      <c r="E1271" s="85">
        <v>1400</v>
      </c>
      <c r="F1271" s="85">
        <v>1400</v>
      </c>
      <c r="G1271" s="1">
        <v>1400</v>
      </c>
      <c r="H1271" s="1">
        <v>1400</v>
      </c>
      <c r="I1271" s="1"/>
      <c r="J1271" s="1">
        <v>1400</v>
      </c>
      <c r="K1271" s="1">
        <v>1618</v>
      </c>
      <c r="L1271" s="1">
        <v>1650</v>
      </c>
      <c r="M1271" s="1">
        <v>1700</v>
      </c>
      <c r="N1271" s="1">
        <v>1700</v>
      </c>
      <c r="O1271" s="1">
        <v>1700</v>
      </c>
      <c r="P1271" s="1">
        <v>717</v>
      </c>
      <c r="Q1271" s="186">
        <f>P1271/O1271</f>
        <v>0.42176470588235293</v>
      </c>
      <c r="R1271" s="156">
        <v>1900</v>
      </c>
      <c r="S1271" s="156">
        <v>1900</v>
      </c>
      <c r="T1271" s="1">
        <v>329</v>
      </c>
      <c r="U1271" s="1"/>
      <c r="V1271" s="1"/>
      <c r="W1271" s="32">
        <f t="shared" si="150"/>
        <v>329</v>
      </c>
    </row>
    <row r="1272" spans="1:23" ht="36" hidden="1">
      <c r="A1272" s="8"/>
      <c r="B1272" s="8"/>
      <c r="C1272" s="26">
        <v>4378</v>
      </c>
      <c r="D1272" s="27" t="s">
        <v>135</v>
      </c>
      <c r="E1272" s="11"/>
      <c r="F1272" s="11"/>
      <c r="G1272" s="12"/>
      <c r="H1272" s="12"/>
      <c r="I1272" s="12"/>
      <c r="J1272" s="12">
        <v>0</v>
      </c>
      <c r="K1272" s="12">
        <v>622</v>
      </c>
      <c r="L1272" s="12">
        <v>622</v>
      </c>
      <c r="M1272" s="12">
        <v>2489</v>
      </c>
      <c r="N1272" s="12">
        <v>0</v>
      </c>
      <c r="O1272" s="12">
        <v>2489</v>
      </c>
      <c r="P1272" s="12">
        <v>1023</v>
      </c>
      <c r="Q1272" s="186">
        <f t="shared" si="151"/>
        <v>0.41100843712334273</v>
      </c>
      <c r="R1272" s="12">
        <v>2489</v>
      </c>
      <c r="S1272" s="12">
        <v>1867</v>
      </c>
      <c r="T1272" s="12">
        <v>0</v>
      </c>
      <c r="U1272" s="12"/>
      <c r="V1272" s="12"/>
      <c r="W1272" s="32">
        <f t="shared" si="150"/>
        <v>0</v>
      </c>
    </row>
    <row r="1273" spans="1:23" ht="36" hidden="1">
      <c r="A1273" s="8"/>
      <c r="B1273" s="8"/>
      <c r="C1273" s="26">
        <v>4379</v>
      </c>
      <c r="D1273" s="27" t="s">
        <v>135</v>
      </c>
      <c r="E1273" s="11"/>
      <c r="F1273" s="11"/>
      <c r="G1273" s="12"/>
      <c r="H1273" s="12"/>
      <c r="I1273" s="12"/>
      <c r="J1273" s="12">
        <v>0</v>
      </c>
      <c r="K1273" s="12">
        <v>110</v>
      </c>
      <c r="L1273" s="12">
        <v>110</v>
      </c>
      <c r="M1273" s="12">
        <v>439</v>
      </c>
      <c r="N1273" s="12">
        <v>0</v>
      </c>
      <c r="O1273" s="12">
        <v>439</v>
      </c>
      <c r="P1273" s="12">
        <v>180</v>
      </c>
      <c r="Q1273" s="186">
        <f t="shared" si="151"/>
        <v>0.41002277904328016</v>
      </c>
      <c r="R1273" s="12">
        <v>439</v>
      </c>
      <c r="S1273" s="12">
        <v>329</v>
      </c>
      <c r="T1273" s="12">
        <v>0</v>
      </c>
      <c r="U1273" s="12"/>
      <c r="V1273" s="12"/>
      <c r="W1273" s="32">
        <f t="shared" si="150"/>
        <v>0</v>
      </c>
    </row>
    <row r="1274" spans="1:23" ht="36">
      <c r="A1274" s="8"/>
      <c r="B1274" s="8"/>
      <c r="C1274" s="26">
        <v>4748</v>
      </c>
      <c r="D1274" s="27" t="s">
        <v>73</v>
      </c>
      <c r="E1274" s="11"/>
      <c r="F1274" s="11"/>
      <c r="G1274" s="12"/>
      <c r="H1274" s="12"/>
      <c r="I1274" s="12"/>
      <c r="J1274" s="12">
        <v>0</v>
      </c>
      <c r="K1274" s="12">
        <v>0</v>
      </c>
      <c r="L1274" s="12">
        <v>0</v>
      </c>
      <c r="M1274" s="12">
        <v>5663</v>
      </c>
      <c r="N1274" s="12">
        <v>0</v>
      </c>
      <c r="O1274" s="12">
        <v>1020</v>
      </c>
      <c r="P1274" s="12"/>
      <c r="Q1274" s="186">
        <f t="shared" si="151"/>
        <v>0</v>
      </c>
      <c r="R1274" s="12">
        <v>1020</v>
      </c>
      <c r="S1274" s="12">
        <v>850</v>
      </c>
      <c r="T1274" s="12">
        <v>850</v>
      </c>
      <c r="U1274" s="12"/>
      <c r="V1274" s="12"/>
      <c r="W1274" s="32">
        <f t="shared" si="150"/>
        <v>850</v>
      </c>
    </row>
    <row r="1275" spans="1:23" ht="36">
      <c r="A1275" s="8"/>
      <c r="B1275" s="8"/>
      <c r="C1275" s="26">
        <v>4749</v>
      </c>
      <c r="D1275" s="27" t="s">
        <v>73</v>
      </c>
      <c r="E1275" s="11"/>
      <c r="F1275" s="11"/>
      <c r="G1275" s="12"/>
      <c r="H1275" s="12"/>
      <c r="I1275" s="12"/>
      <c r="J1275" s="12">
        <v>0</v>
      </c>
      <c r="K1275" s="12">
        <v>0</v>
      </c>
      <c r="L1275" s="12">
        <v>0</v>
      </c>
      <c r="M1275" s="12">
        <v>999</v>
      </c>
      <c r="N1275" s="12">
        <v>0</v>
      </c>
      <c r="O1275" s="12">
        <v>180</v>
      </c>
      <c r="P1275" s="12"/>
      <c r="Q1275" s="186">
        <f t="shared" si="151"/>
        <v>0</v>
      </c>
      <c r="R1275" s="12">
        <v>180</v>
      </c>
      <c r="S1275" s="12">
        <v>150</v>
      </c>
      <c r="T1275" s="12">
        <v>150</v>
      </c>
      <c r="U1275" s="12"/>
      <c r="V1275" s="12"/>
      <c r="W1275" s="32">
        <f t="shared" si="150"/>
        <v>150</v>
      </c>
    </row>
    <row r="1276" spans="1:23" ht="24">
      <c r="A1276" s="8"/>
      <c r="B1276" s="8"/>
      <c r="C1276" s="26">
        <v>4758</v>
      </c>
      <c r="D1276" s="27" t="s">
        <v>118</v>
      </c>
      <c r="E1276" s="11"/>
      <c r="F1276" s="11"/>
      <c r="G1276" s="12"/>
      <c r="H1276" s="12"/>
      <c r="I1276" s="12"/>
      <c r="J1276" s="12">
        <v>0</v>
      </c>
      <c r="K1276" s="12">
        <v>0</v>
      </c>
      <c r="L1276" s="12">
        <v>0</v>
      </c>
      <c r="M1276" s="12">
        <v>3655</v>
      </c>
      <c r="N1276" s="12">
        <v>0</v>
      </c>
      <c r="O1276" s="12">
        <v>1530</v>
      </c>
      <c r="P1276" s="12"/>
      <c r="Q1276" s="186">
        <f t="shared" si="151"/>
        <v>0</v>
      </c>
      <c r="R1276" s="12">
        <v>1530</v>
      </c>
      <c r="S1276" s="12">
        <v>850</v>
      </c>
      <c r="T1276" s="12">
        <v>850</v>
      </c>
      <c r="U1276" s="12"/>
      <c r="V1276" s="12"/>
      <c r="W1276" s="32">
        <f t="shared" si="150"/>
        <v>850</v>
      </c>
    </row>
    <row r="1277" spans="1:23" ht="24">
      <c r="A1277" s="8"/>
      <c r="B1277" s="8"/>
      <c r="C1277" s="26">
        <v>4759</v>
      </c>
      <c r="D1277" s="27" t="s">
        <v>118</v>
      </c>
      <c r="E1277" s="11"/>
      <c r="F1277" s="11"/>
      <c r="G1277" s="12"/>
      <c r="H1277" s="12"/>
      <c r="I1277" s="12"/>
      <c r="J1277" s="12">
        <v>0</v>
      </c>
      <c r="K1277" s="12">
        <v>0</v>
      </c>
      <c r="L1277" s="12">
        <v>0</v>
      </c>
      <c r="M1277" s="12">
        <v>645</v>
      </c>
      <c r="N1277" s="12">
        <v>0</v>
      </c>
      <c r="O1277" s="12">
        <v>270</v>
      </c>
      <c r="P1277" s="12"/>
      <c r="Q1277" s="186">
        <f t="shared" si="151"/>
        <v>0</v>
      </c>
      <c r="R1277" s="12">
        <v>270</v>
      </c>
      <c r="S1277" s="12">
        <v>150</v>
      </c>
      <c r="T1277" s="12">
        <v>150</v>
      </c>
      <c r="U1277" s="12"/>
      <c r="V1277" s="12"/>
      <c r="W1277" s="32">
        <f t="shared" si="150"/>
        <v>150</v>
      </c>
    </row>
    <row r="1278" spans="1:23" ht="24">
      <c r="A1278" s="8"/>
      <c r="B1278" s="8"/>
      <c r="C1278" s="36"/>
      <c r="D1278" s="89" t="s">
        <v>166</v>
      </c>
      <c r="E1278" s="35"/>
      <c r="F1278" s="35"/>
      <c r="G1278" s="37"/>
      <c r="H1278" s="37"/>
      <c r="I1278" s="37"/>
      <c r="J1278" s="37">
        <f>SUM(J1281:J1294)</f>
        <v>0</v>
      </c>
      <c r="K1278" s="37">
        <f>SUM(K1281:K1294)</f>
        <v>0</v>
      </c>
      <c r="L1278" s="37">
        <f>SUM(L1281:L1296)</f>
        <v>0</v>
      </c>
      <c r="M1278" s="37">
        <f>SUM(M1281:M1296)</f>
        <v>382862</v>
      </c>
      <c r="N1278" s="37">
        <v>0</v>
      </c>
      <c r="O1278" s="37">
        <v>361670</v>
      </c>
      <c r="P1278" s="37">
        <f>SUM(P1279:P1296)</f>
        <v>168314</v>
      </c>
      <c r="Q1278" s="186">
        <f t="shared" si="151"/>
        <v>0.46538004258025273</v>
      </c>
      <c r="R1278" s="37">
        <f>SUM(R1279:R1296)</f>
        <v>361670</v>
      </c>
      <c r="S1278" s="37">
        <f>SUM(S1279:S1296)</f>
        <v>157956</v>
      </c>
      <c r="T1278" s="37">
        <f>SUM(T1279:T1296)</f>
        <v>165551</v>
      </c>
      <c r="U1278" s="37">
        <f>SUM(U1279:U1296)</f>
        <v>1170</v>
      </c>
      <c r="V1278" s="37">
        <f>SUM(V1279:V1296)</f>
        <v>1170</v>
      </c>
      <c r="W1278" s="32">
        <f t="shared" si="150"/>
        <v>165551</v>
      </c>
    </row>
    <row r="1279" spans="1:23" ht="24">
      <c r="A1279" s="8"/>
      <c r="B1279" s="88"/>
      <c r="C1279" s="26">
        <v>4018</v>
      </c>
      <c r="D1279" s="10" t="s">
        <v>315</v>
      </c>
      <c r="E1279" s="11"/>
      <c r="F1279" s="11"/>
      <c r="G1279" s="12"/>
      <c r="H1279" s="12"/>
      <c r="I1279" s="12"/>
      <c r="J1279" s="12"/>
      <c r="K1279" s="12"/>
      <c r="L1279" s="12"/>
      <c r="M1279" s="12"/>
      <c r="N1279" s="12">
        <v>0</v>
      </c>
      <c r="O1279" s="12">
        <v>10200</v>
      </c>
      <c r="P1279" s="12">
        <v>2550</v>
      </c>
      <c r="Q1279" s="186">
        <f t="shared" si="151"/>
        <v>0.25</v>
      </c>
      <c r="R1279" s="12">
        <v>10200</v>
      </c>
      <c r="S1279" s="12">
        <v>5100</v>
      </c>
      <c r="T1279" s="12">
        <v>4250</v>
      </c>
      <c r="U1279" s="12"/>
      <c r="V1279" s="12"/>
      <c r="W1279" s="32">
        <f t="shared" si="150"/>
        <v>4250</v>
      </c>
    </row>
    <row r="1280" spans="1:23" ht="24">
      <c r="A1280" s="8"/>
      <c r="B1280" s="88"/>
      <c r="C1280" s="26">
        <v>4019</v>
      </c>
      <c r="D1280" s="10" t="s">
        <v>315</v>
      </c>
      <c r="E1280" s="11"/>
      <c r="F1280" s="11"/>
      <c r="G1280" s="12"/>
      <c r="H1280" s="12"/>
      <c r="I1280" s="12"/>
      <c r="J1280" s="12"/>
      <c r="K1280" s="12"/>
      <c r="L1280" s="12"/>
      <c r="M1280" s="12"/>
      <c r="N1280" s="12">
        <v>0</v>
      </c>
      <c r="O1280" s="12">
        <v>1800</v>
      </c>
      <c r="P1280" s="12">
        <v>450</v>
      </c>
      <c r="Q1280" s="186">
        <f t="shared" si="151"/>
        <v>0.25</v>
      </c>
      <c r="R1280" s="12">
        <v>1800</v>
      </c>
      <c r="S1280" s="12">
        <v>900</v>
      </c>
      <c r="T1280" s="12">
        <v>750</v>
      </c>
      <c r="U1280" s="12"/>
      <c r="V1280" s="12"/>
      <c r="W1280" s="32">
        <f t="shared" si="150"/>
        <v>750</v>
      </c>
    </row>
    <row r="1281" spans="1:23" ht="24">
      <c r="A1281" s="8"/>
      <c r="B1281" s="8"/>
      <c r="C1281" s="26">
        <v>4118</v>
      </c>
      <c r="D1281" s="27" t="s">
        <v>113</v>
      </c>
      <c r="E1281" s="11"/>
      <c r="F1281" s="11"/>
      <c r="G1281" s="12"/>
      <c r="H1281" s="12"/>
      <c r="I1281" s="12"/>
      <c r="J1281" s="12">
        <v>0</v>
      </c>
      <c r="K1281" s="12">
        <v>0</v>
      </c>
      <c r="L1281" s="12">
        <v>0</v>
      </c>
      <c r="M1281" s="12">
        <v>24719</v>
      </c>
      <c r="N1281" s="12">
        <v>0</v>
      </c>
      <c r="O1281" s="12">
        <v>24719</v>
      </c>
      <c r="P1281" s="12">
        <v>8429</v>
      </c>
      <c r="Q1281" s="186">
        <f t="shared" si="151"/>
        <v>0.3409927586067398</v>
      </c>
      <c r="R1281" s="12">
        <v>24719</v>
      </c>
      <c r="S1281" s="12">
        <v>11472</v>
      </c>
      <c r="T1281" s="12">
        <v>11747</v>
      </c>
      <c r="U1281" s="12"/>
      <c r="V1281" s="12"/>
      <c r="W1281" s="32">
        <f t="shared" si="150"/>
        <v>11747</v>
      </c>
    </row>
    <row r="1282" spans="1:23" ht="24">
      <c r="A1282" s="8"/>
      <c r="B1282" s="8"/>
      <c r="C1282" s="26">
        <v>4119</v>
      </c>
      <c r="D1282" s="27" t="s">
        <v>113</v>
      </c>
      <c r="E1282" s="11"/>
      <c r="F1282" s="11"/>
      <c r="G1282" s="12"/>
      <c r="H1282" s="12"/>
      <c r="I1282" s="12"/>
      <c r="J1282" s="12">
        <v>0</v>
      </c>
      <c r="K1282" s="12">
        <v>0</v>
      </c>
      <c r="L1282" s="12">
        <v>0</v>
      </c>
      <c r="M1282" s="12">
        <v>4362</v>
      </c>
      <c r="N1282" s="12">
        <v>0</v>
      </c>
      <c r="O1282" s="12">
        <v>4362</v>
      </c>
      <c r="P1282" s="12">
        <v>1487</v>
      </c>
      <c r="Q1282" s="186">
        <f t="shared" si="151"/>
        <v>0.34089867033470883</v>
      </c>
      <c r="R1282" s="12">
        <v>4362</v>
      </c>
      <c r="S1282" s="12">
        <v>2025</v>
      </c>
      <c r="T1282" s="12">
        <v>2073</v>
      </c>
      <c r="U1282" s="12"/>
      <c r="V1282" s="12"/>
      <c r="W1282" s="32">
        <f t="shared" si="150"/>
        <v>2073</v>
      </c>
    </row>
    <row r="1283" spans="1:23" ht="12">
      <c r="A1283" s="8"/>
      <c r="B1283" s="8"/>
      <c r="C1283" s="26">
        <v>4128</v>
      </c>
      <c r="D1283" s="27" t="s">
        <v>32</v>
      </c>
      <c r="E1283" s="11"/>
      <c r="F1283" s="11"/>
      <c r="G1283" s="12"/>
      <c r="H1283" s="12"/>
      <c r="I1283" s="12"/>
      <c r="J1283" s="12">
        <v>0</v>
      </c>
      <c r="K1283" s="12">
        <v>0</v>
      </c>
      <c r="L1283" s="12">
        <v>0</v>
      </c>
      <c r="M1283" s="12">
        <v>3948</v>
      </c>
      <c r="N1283" s="12">
        <v>0</v>
      </c>
      <c r="O1283" s="12">
        <v>3948</v>
      </c>
      <c r="P1283" s="12">
        <v>1351</v>
      </c>
      <c r="Q1283" s="186">
        <f t="shared" si="151"/>
        <v>0.3421985815602837</v>
      </c>
      <c r="R1283" s="12">
        <v>3948</v>
      </c>
      <c r="S1283" s="12">
        <v>1832</v>
      </c>
      <c r="T1283" s="12">
        <v>1895</v>
      </c>
      <c r="U1283" s="12"/>
      <c r="V1283" s="12"/>
      <c r="W1283" s="32">
        <f t="shared" si="150"/>
        <v>1895</v>
      </c>
    </row>
    <row r="1284" spans="1:23" ht="12">
      <c r="A1284" s="8"/>
      <c r="B1284" s="8"/>
      <c r="C1284" s="26">
        <v>4129</v>
      </c>
      <c r="D1284" s="27" t="s">
        <v>32</v>
      </c>
      <c r="E1284" s="11"/>
      <c r="F1284" s="11"/>
      <c r="G1284" s="12"/>
      <c r="H1284" s="12"/>
      <c r="I1284" s="12"/>
      <c r="J1284" s="12">
        <v>0</v>
      </c>
      <c r="K1284" s="12">
        <v>0</v>
      </c>
      <c r="L1284" s="12">
        <v>0</v>
      </c>
      <c r="M1284" s="12">
        <v>697</v>
      </c>
      <c r="N1284" s="12">
        <v>0</v>
      </c>
      <c r="O1284" s="12">
        <v>697</v>
      </c>
      <c r="P1284" s="12">
        <v>238</v>
      </c>
      <c r="Q1284" s="186">
        <f t="shared" si="151"/>
        <v>0.34146341463414637</v>
      </c>
      <c r="R1284" s="12">
        <v>697</v>
      </c>
      <c r="S1284" s="12">
        <v>323</v>
      </c>
      <c r="T1284" s="12">
        <v>334</v>
      </c>
      <c r="U1284" s="12"/>
      <c r="V1284" s="12"/>
      <c r="W1284" s="32">
        <f t="shared" si="150"/>
        <v>334</v>
      </c>
    </row>
    <row r="1285" spans="1:23" ht="12">
      <c r="A1285" s="8"/>
      <c r="B1285" s="8"/>
      <c r="C1285" s="26">
        <v>4178</v>
      </c>
      <c r="D1285" s="27" t="s">
        <v>69</v>
      </c>
      <c r="E1285" s="11"/>
      <c r="F1285" s="11"/>
      <c r="G1285" s="12"/>
      <c r="H1285" s="12"/>
      <c r="I1285" s="12"/>
      <c r="J1285" s="12">
        <v>0</v>
      </c>
      <c r="K1285" s="12">
        <v>0</v>
      </c>
      <c r="L1285" s="12">
        <v>0</v>
      </c>
      <c r="M1285" s="12">
        <v>161140</v>
      </c>
      <c r="N1285" s="12">
        <v>0</v>
      </c>
      <c r="O1285" s="12">
        <v>159815</v>
      </c>
      <c r="P1285" s="12">
        <v>64933</v>
      </c>
      <c r="Q1285" s="186">
        <f t="shared" si="151"/>
        <v>0.40630103557238056</v>
      </c>
      <c r="R1285" s="12">
        <v>159815</v>
      </c>
      <c r="S1285" s="12">
        <v>72650</v>
      </c>
      <c r="T1285" s="12">
        <v>76050</v>
      </c>
      <c r="U1285" s="12"/>
      <c r="V1285" s="12"/>
      <c r="W1285" s="32">
        <f t="shared" si="150"/>
        <v>76050</v>
      </c>
    </row>
    <row r="1286" spans="1:23" ht="12">
      <c r="A1286" s="8"/>
      <c r="B1286" s="8"/>
      <c r="C1286" s="26">
        <v>4179</v>
      </c>
      <c r="D1286" s="27" t="s">
        <v>69</v>
      </c>
      <c r="E1286" s="11"/>
      <c r="F1286" s="11"/>
      <c r="G1286" s="12"/>
      <c r="H1286" s="12"/>
      <c r="I1286" s="12"/>
      <c r="J1286" s="12">
        <v>0</v>
      </c>
      <c r="K1286" s="12">
        <v>0</v>
      </c>
      <c r="L1286" s="12">
        <v>0</v>
      </c>
      <c r="M1286" s="12">
        <v>28436</v>
      </c>
      <c r="N1286" s="12">
        <v>0</v>
      </c>
      <c r="O1286" s="12">
        <v>17761</v>
      </c>
      <c r="P1286" s="12">
        <v>11459</v>
      </c>
      <c r="Q1286" s="186">
        <f t="shared" si="151"/>
        <v>0.6451776363943472</v>
      </c>
      <c r="R1286" s="12">
        <v>17761</v>
      </c>
      <c r="S1286" s="12">
        <v>9329</v>
      </c>
      <c r="T1286" s="12">
        <v>9929</v>
      </c>
      <c r="U1286" s="12"/>
      <c r="V1286" s="12"/>
      <c r="W1286" s="32">
        <f t="shared" si="150"/>
        <v>9929</v>
      </c>
    </row>
    <row r="1287" spans="1:23" ht="12">
      <c r="A1287" s="8"/>
      <c r="B1287" s="8"/>
      <c r="C1287" s="26">
        <v>4218</v>
      </c>
      <c r="D1287" s="27" t="s">
        <v>34</v>
      </c>
      <c r="E1287" s="11"/>
      <c r="F1287" s="11"/>
      <c r="G1287" s="12"/>
      <c r="H1287" s="12"/>
      <c r="I1287" s="12"/>
      <c r="J1287" s="12">
        <v>0</v>
      </c>
      <c r="K1287" s="12">
        <v>0</v>
      </c>
      <c r="L1287" s="12">
        <v>0</v>
      </c>
      <c r="M1287" s="12">
        <v>38322</v>
      </c>
      <c r="N1287" s="12">
        <v>0</v>
      </c>
      <c r="O1287" s="12">
        <v>38322</v>
      </c>
      <c r="P1287" s="12">
        <v>26250</v>
      </c>
      <c r="Q1287" s="186">
        <f t="shared" si="151"/>
        <v>0.6849851260372631</v>
      </c>
      <c r="R1287" s="12">
        <v>38322</v>
      </c>
      <c r="S1287" s="12">
        <v>7344</v>
      </c>
      <c r="T1287" s="12">
        <v>10087</v>
      </c>
      <c r="U1287" s="12"/>
      <c r="V1287" s="12">
        <v>1170</v>
      </c>
      <c r="W1287" s="32">
        <f t="shared" si="150"/>
        <v>8917</v>
      </c>
    </row>
    <row r="1288" spans="1:23" ht="12">
      <c r="A1288" s="8"/>
      <c r="B1288" s="8"/>
      <c r="C1288" s="26">
        <v>4219</v>
      </c>
      <c r="D1288" s="27" t="s">
        <v>34</v>
      </c>
      <c r="E1288" s="11"/>
      <c r="F1288" s="11"/>
      <c r="G1288" s="12"/>
      <c r="H1288" s="12"/>
      <c r="I1288" s="12"/>
      <c r="J1288" s="12">
        <v>0</v>
      </c>
      <c r="K1288" s="12">
        <v>0</v>
      </c>
      <c r="L1288" s="12">
        <v>0</v>
      </c>
      <c r="M1288" s="12">
        <v>6763</v>
      </c>
      <c r="N1288" s="12">
        <v>0</v>
      </c>
      <c r="O1288" s="12">
        <v>6763</v>
      </c>
      <c r="P1288" s="12">
        <v>4632</v>
      </c>
      <c r="Q1288" s="186">
        <f t="shared" si="151"/>
        <v>0.6849031494898714</v>
      </c>
      <c r="R1288" s="12">
        <v>6763</v>
      </c>
      <c r="S1288" s="12">
        <v>1296</v>
      </c>
      <c r="T1288" s="12">
        <v>1780</v>
      </c>
      <c r="U1288" s="12">
        <v>1170</v>
      </c>
      <c r="V1288" s="12"/>
      <c r="W1288" s="32">
        <f t="shared" si="150"/>
        <v>2950</v>
      </c>
    </row>
    <row r="1289" spans="1:23" ht="12">
      <c r="A1289" s="8"/>
      <c r="B1289" s="8"/>
      <c r="C1289" s="26">
        <v>4308</v>
      </c>
      <c r="D1289" s="27" t="s">
        <v>154</v>
      </c>
      <c r="E1289" s="11"/>
      <c r="F1289" s="11"/>
      <c r="G1289" s="12"/>
      <c r="H1289" s="12"/>
      <c r="I1289" s="12"/>
      <c r="J1289" s="12">
        <v>0</v>
      </c>
      <c r="K1289" s="12">
        <v>0</v>
      </c>
      <c r="L1289" s="12">
        <v>0</v>
      </c>
      <c r="M1289" s="12">
        <v>87247</v>
      </c>
      <c r="N1289" s="12">
        <v>0</v>
      </c>
      <c r="O1289" s="12">
        <v>78372</v>
      </c>
      <c r="P1289" s="12">
        <v>44599</v>
      </c>
      <c r="Q1289" s="186">
        <f t="shared" si="151"/>
        <v>0.5690680345021181</v>
      </c>
      <c r="R1289" s="12">
        <v>78372</v>
      </c>
      <c r="S1289" s="12">
        <v>38551</v>
      </c>
      <c r="T1289" s="12">
        <v>39461</v>
      </c>
      <c r="U1289" s="12"/>
      <c r="V1289" s="12"/>
      <c r="W1289" s="32">
        <f t="shared" si="150"/>
        <v>39461</v>
      </c>
    </row>
    <row r="1290" spans="1:23" ht="12">
      <c r="A1290" s="8"/>
      <c r="B1290" s="8"/>
      <c r="C1290" s="26">
        <v>4309</v>
      </c>
      <c r="D1290" s="27" t="s">
        <v>154</v>
      </c>
      <c r="E1290" s="11"/>
      <c r="F1290" s="11"/>
      <c r="G1290" s="12"/>
      <c r="H1290" s="12"/>
      <c r="I1290" s="12"/>
      <c r="J1290" s="12">
        <v>0</v>
      </c>
      <c r="K1290" s="12">
        <v>0</v>
      </c>
      <c r="L1290" s="12">
        <v>0</v>
      </c>
      <c r="M1290" s="12">
        <v>15397</v>
      </c>
      <c r="N1290" s="12">
        <v>0</v>
      </c>
      <c r="O1290" s="12">
        <v>3080</v>
      </c>
      <c r="P1290" s="12">
        <v>1574</v>
      </c>
      <c r="Q1290" s="186">
        <f t="shared" si="151"/>
        <v>0.5110389610389611</v>
      </c>
      <c r="R1290" s="12">
        <v>3080</v>
      </c>
      <c r="S1290" s="12">
        <v>1465</v>
      </c>
      <c r="T1290" s="12">
        <v>4753</v>
      </c>
      <c r="U1290" s="12"/>
      <c r="V1290" s="12"/>
      <c r="W1290" s="32">
        <f t="shared" si="150"/>
        <v>4753</v>
      </c>
    </row>
    <row r="1291" spans="1:23" ht="24">
      <c r="A1291" s="8"/>
      <c r="B1291" s="8"/>
      <c r="C1291" s="26">
        <v>4358</v>
      </c>
      <c r="D1291" s="27" t="s">
        <v>38</v>
      </c>
      <c r="E1291" s="11"/>
      <c r="F1291" s="11"/>
      <c r="G1291" s="12"/>
      <c r="H1291" s="12"/>
      <c r="I1291" s="12"/>
      <c r="J1291" s="12">
        <v>0</v>
      </c>
      <c r="K1291" s="12">
        <v>0</v>
      </c>
      <c r="L1291" s="12">
        <v>0</v>
      </c>
      <c r="M1291" s="12">
        <v>739</v>
      </c>
      <c r="N1291" s="12">
        <v>0</v>
      </c>
      <c r="O1291" s="12">
        <v>739</v>
      </c>
      <c r="P1291" s="12">
        <v>308</v>
      </c>
      <c r="Q1291" s="186">
        <f t="shared" si="151"/>
        <v>0.4167794316644114</v>
      </c>
      <c r="R1291" s="12">
        <v>739</v>
      </c>
      <c r="S1291" s="12">
        <v>308</v>
      </c>
      <c r="T1291" s="12">
        <v>308</v>
      </c>
      <c r="U1291" s="12"/>
      <c r="V1291" s="12"/>
      <c r="W1291" s="32">
        <f t="shared" si="150"/>
        <v>308</v>
      </c>
    </row>
    <row r="1292" spans="1:23" ht="24">
      <c r="A1292" s="8"/>
      <c r="B1292" s="8"/>
      <c r="C1292" s="26">
        <v>4359</v>
      </c>
      <c r="D1292" s="27" t="s">
        <v>38</v>
      </c>
      <c r="E1292" s="11"/>
      <c r="F1292" s="11"/>
      <c r="G1292" s="12"/>
      <c r="H1292" s="12"/>
      <c r="I1292" s="12"/>
      <c r="J1292" s="12">
        <v>0</v>
      </c>
      <c r="K1292" s="12">
        <v>0</v>
      </c>
      <c r="L1292" s="12">
        <v>0</v>
      </c>
      <c r="M1292" s="12">
        <v>130</v>
      </c>
      <c r="N1292" s="12">
        <v>0</v>
      </c>
      <c r="O1292" s="12">
        <v>130</v>
      </c>
      <c r="P1292" s="12">
        <v>54</v>
      </c>
      <c r="Q1292" s="186">
        <f t="shared" si="151"/>
        <v>0.4153846153846154</v>
      </c>
      <c r="R1292" s="12">
        <v>130</v>
      </c>
      <c r="S1292" s="12">
        <v>54</v>
      </c>
      <c r="T1292" s="12">
        <v>54</v>
      </c>
      <c r="U1292" s="12"/>
      <c r="V1292" s="12"/>
      <c r="W1292" s="32">
        <f t="shared" si="150"/>
        <v>54</v>
      </c>
    </row>
    <row r="1293" spans="1:23" ht="36">
      <c r="A1293" s="8"/>
      <c r="B1293" s="8"/>
      <c r="C1293" s="26">
        <v>4748</v>
      </c>
      <c r="D1293" s="27" t="s">
        <v>73</v>
      </c>
      <c r="E1293" s="11"/>
      <c r="F1293" s="11"/>
      <c r="G1293" s="12"/>
      <c r="H1293" s="12"/>
      <c r="I1293" s="12"/>
      <c r="J1293" s="12">
        <v>0</v>
      </c>
      <c r="K1293" s="12">
        <v>0</v>
      </c>
      <c r="L1293" s="12">
        <v>0</v>
      </c>
      <c r="M1293" s="12">
        <v>5663</v>
      </c>
      <c r="N1293" s="12">
        <v>0</v>
      </c>
      <c r="O1293" s="12">
        <v>5663</v>
      </c>
      <c r="P1293" s="12"/>
      <c r="Q1293" s="186">
        <f t="shared" si="151"/>
        <v>0</v>
      </c>
      <c r="R1293" s="12">
        <v>5663</v>
      </c>
      <c r="S1293" s="12">
        <v>2743</v>
      </c>
      <c r="T1293" s="12">
        <v>0</v>
      </c>
      <c r="U1293" s="12"/>
      <c r="V1293" s="12"/>
      <c r="W1293" s="32">
        <f t="shared" si="150"/>
        <v>0</v>
      </c>
    </row>
    <row r="1294" spans="1:23" ht="36">
      <c r="A1294" s="8"/>
      <c r="B1294" s="8"/>
      <c r="C1294" s="26">
        <v>4749</v>
      </c>
      <c r="D1294" s="27" t="s">
        <v>73</v>
      </c>
      <c r="E1294" s="11"/>
      <c r="F1294" s="11"/>
      <c r="G1294" s="12"/>
      <c r="H1294" s="12"/>
      <c r="I1294" s="12"/>
      <c r="J1294" s="12">
        <v>0</v>
      </c>
      <c r="K1294" s="12">
        <v>0</v>
      </c>
      <c r="L1294" s="12">
        <v>0</v>
      </c>
      <c r="M1294" s="12">
        <v>999</v>
      </c>
      <c r="N1294" s="12">
        <v>0</v>
      </c>
      <c r="O1294" s="12">
        <v>999</v>
      </c>
      <c r="P1294" s="12"/>
      <c r="Q1294" s="186">
        <f t="shared" si="151"/>
        <v>0</v>
      </c>
      <c r="R1294" s="12">
        <v>999</v>
      </c>
      <c r="S1294" s="12">
        <v>484</v>
      </c>
      <c r="T1294" s="12">
        <v>0</v>
      </c>
      <c r="U1294" s="12"/>
      <c r="V1294" s="12"/>
      <c r="W1294" s="32">
        <f t="shared" si="150"/>
        <v>0</v>
      </c>
    </row>
    <row r="1295" spans="1:23" ht="24">
      <c r="A1295" s="8"/>
      <c r="B1295" s="8"/>
      <c r="C1295" s="26">
        <v>4758</v>
      </c>
      <c r="D1295" s="27" t="s">
        <v>118</v>
      </c>
      <c r="E1295" s="11"/>
      <c r="F1295" s="11"/>
      <c r="G1295" s="12"/>
      <c r="H1295" s="12"/>
      <c r="I1295" s="12"/>
      <c r="J1295" s="12">
        <v>0</v>
      </c>
      <c r="K1295" s="12">
        <v>0</v>
      </c>
      <c r="L1295" s="12">
        <v>0</v>
      </c>
      <c r="M1295" s="12">
        <v>3655</v>
      </c>
      <c r="N1295" s="12">
        <v>0</v>
      </c>
      <c r="O1295" s="12">
        <v>3655</v>
      </c>
      <c r="P1295" s="12"/>
      <c r="Q1295" s="186">
        <f t="shared" si="151"/>
        <v>0</v>
      </c>
      <c r="R1295" s="12">
        <v>3655</v>
      </c>
      <c r="S1295" s="12">
        <v>1768</v>
      </c>
      <c r="T1295" s="12">
        <v>1768</v>
      </c>
      <c r="U1295" s="12"/>
      <c r="V1295" s="12"/>
      <c r="W1295" s="32">
        <f t="shared" si="150"/>
        <v>1768</v>
      </c>
    </row>
    <row r="1296" spans="1:23" ht="24">
      <c r="A1296" s="8"/>
      <c r="B1296" s="8"/>
      <c r="C1296" s="26">
        <v>4759</v>
      </c>
      <c r="D1296" s="27" t="s">
        <v>118</v>
      </c>
      <c r="E1296" s="11"/>
      <c r="F1296" s="11"/>
      <c r="G1296" s="12"/>
      <c r="H1296" s="12"/>
      <c r="I1296" s="12"/>
      <c r="J1296" s="12">
        <v>0</v>
      </c>
      <c r="K1296" s="12">
        <v>0</v>
      </c>
      <c r="L1296" s="12">
        <v>0</v>
      </c>
      <c r="M1296" s="12">
        <v>645</v>
      </c>
      <c r="N1296" s="12">
        <v>0</v>
      </c>
      <c r="O1296" s="12">
        <v>645</v>
      </c>
      <c r="P1296" s="12"/>
      <c r="Q1296" s="186">
        <f t="shared" si="151"/>
        <v>0</v>
      </c>
      <c r="R1296" s="12">
        <v>645</v>
      </c>
      <c r="S1296" s="12">
        <v>312</v>
      </c>
      <c r="T1296" s="12">
        <v>312</v>
      </c>
      <c r="U1296" s="12"/>
      <c r="V1296" s="12"/>
      <c r="W1296" s="32">
        <f t="shared" si="150"/>
        <v>312</v>
      </c>
    </row>
    <row r="1297" spans="1:23" ht="18" customHeight="1" hidden="1">
      <c r="A1297" s="8"/>
      <c r="B1297" s="8"/>
      <c r="C1297" s="26"/>
      <c r="D1297" s="27"/>
      <c r="E1297" s="11"/>
      <c r="F1297" s="11"/>
      <c r="G1297" s="12"/>
      <c r="H1297" s="12"/>
      <c r="I1297" s="12"/>
      <c r="J1297" s="12"/>
      <c r="K1297" s="12"/>
      <c r="L1297" s="12"/>
      <c r="M1297" s="12"/>
      <c r="N1297" s="12">
        <v>0</v>
      </c>
      <c r="O1297" s="12">
        <v>0</v>
      </c>
      <c r="P1297" s="12"/>
      <c r="Q1297" s="186"/>
      <c r="R1297" s="12"/>
      <c r="S1297" s="12"/>
      <c r="T1297" s="12">
        <v>0</v>
      </c>
      <c r="U1297" s="12"/>
      <c r="V1297" s="12"/>
      <c r="W1297" s="32">
        <f t="shared" si="150"/>
        <v>0</v>
      </c>
    </row>
    <row r="1298" spans="1:23" ht="36" hidden="1">
      <c r="A1298" s="8"/>
      <c r="B1298" s="8"/>
      <c r="C1298" s="36"/>
      <c r="D1298" s="89" t="s">
        <v>294</v>
      </c>
      <c r="E1298" s="35"/>
      <c r="F1298" s="35"/>
      <c r="G1298" s="37"/>
      <c r="H1298" s="37"/>
      <c r="I1298" s="37"/>
      <c r="J1298" s="37">
        <f>SUM(J1301:J1316)</f>
        <v>0</v>
      </c>
      <c r="K1298" s="37">
        <f>SUM(K1301:K1316)</f>
        <v>0</v>
      </c>
      <c r="L1298" s="37">
        <f>SUM(L1301:L1318)</f>
        <v>0</v>
      </c>
      <c r="M1298" s="37">
        <f>SUM(M1301:M1318)</f>
        <v>0</v>
      </c>
      <c r="N1298" s="37">
        <v>0</v>
      </c>
      <c r="O1298" s="37">
        <v>125130</v>
      </c>
      <c r="P1298" s="37">
        <f>SUM(P1299:P1318)</f>
        <v>61537</v>
      </c>
      <c r="Q1298" s="186">
        <f t="shared" si="151"/>
        <v>0.4917845440741629</v>
      </c>
      <c r="R1298" s="37">
        <f>SUM(R1299:R1318)</f>
        <v>0</v>
      </c>
      <c r="S1298" s="37">
        <f>SUM(S1299:S1318)</f>
        <v>0</v>
      </c>
      <c r="T1298" s="37">
        <v>0</v>
      </c>
      <c r="U1298" s="37">
        <f>SUM(U1299:U1318)</f>
        <v>0</v>
      </c>
      <c r="V1298" s="37">
        <f>SUM(V1299:V1318)</f>
        <v>0</v>
      </c>
      <c r="W1298" s="32">
        <f t="shared" si="150"/>
        <v>0</v>
      </c>
    </row>
    <row r="1299" spans="1:23" ht="24" hidden="1">
      <c r="A1299" s="88"/>
      <c r="B1299" s="88"/>
      <c r="C1299" s="26">
        <v>4018</v>
      </c>
      <c r="D1299" s="10" t="s">
        <v>314</v>
      </c>
      <c r="E1299" s="11"/>
      <c r="F1299" s="11"/>
      <c r="G1299" s="12"/>
      <c r="H1299" s="12"/>
      <c r="I1299" s="12"/>
      <c r="J1299" s="12"/>
      <c r="K1299" s="12"/>
      <c r="L1299" s="12"/>
      <c r="M1299" s="12"/>
      <c r="N1299" s="12">
        <v>0</v>
      </c>
      <c r="O1299" s="12">
        <v>7140</v>
      </c>
      <c r="P1299" s="12">
        <v>1785</v>
      </c>
      <c r="Q1299" s="186">
        <f t="shared" si="151"/>
        <v>0.25</v>
      </c>
      <c r="R1299" s="12"/>
      <c r="S1299" s="12"/>
      <c r="T1299" s="12">
        <v>0</v>
      </c>
      <c r="U1299" s="12"/>
      <c r="V1299" s="12"/>
      <c r="W1299" s="32">
        <f t="shared" si="150"/>
        <v>0</v>
      </c>
    </row>
    <row r="1300" spans="1:23" ht="24" hidden="1">
      <c r="A1300" s="88"/>
      <c r="B1300" s="88"/>
      <c r="C1300" s="26">
        <v>4019</v>
      </c>
      <c r="D1300" s="10" t="s">
        <v>314</v>
      </c>
      <c r="E1300" s="11"/>
      <c r="F1300" s="11"/>
      <c r="G1300" s="12"/>
      <c r="H1300" s="12"/>
      <c r="I1300" s="12"/>
      <c r="J1300" s="12"/>
      <c r="K1300" s="12"/>
      <c r="L1300" s="12"/>
      <c r="M1300" s="12"/>
      <c r="N1300" s="12">
        <v>0</v>
      </c>
      <c r="O1300" s="12">
        <v>1260</v>
      </c>
      <c r="P1300" s="12">
        <v>315</v>
      </c>
      <c r="Q1300" s="186">
        <f t="shared" si="151"/>
        <v>0.25</v>
      </c>
      <c r="R1300" s="12"/>
      <c r="S1300" s="12"/>
      <c r="T1300" s="12">
        <v>0</v>
      </c>
      <c r="U1300" s="12"/>
      <c r="V1300" s="12"/>
      <c r="W1300" s="32">
        <f t="shared" si="150"/>
        <v>0</v>
      </c>
    </row>
    <row r="1301" spans="1:23" ht="24" hidden="1">
      <c r="A1301" s="8"/>
      <c r="B1301" s="8"/>
      <c r="C1301" s="26">
        <v>4118</v>
      </c>
      <c r="D1301" s="27" t="s">
        <v>113</v>
      </c>
      <c r="E1301" s="11"/>
      <c r="F1301" s="11"/>
      <c r="G1301" s="12"/>
      <c r="H1301" s="12"/>
      <c r="I1301" s="12"/>
      <c r="J1301" s="12">
        <v>0</v>
      </c>
      <c r="K1301" s="12">
        <v>0</v>
      </c>
      <c r="L1301" s="12">
        <v>0</v>
      </c>
      <c r="M1301" s="12"/>
      <c r="N1301" s="12">
        <v>0</v>
      </c>
      <c r="O1301" s="12">
        <v>9718</v>
      </c>
      <c r="P1301" s="12">
        <v>3391</v>
      </c>
      <c r="Q1301" s="186">
        <f t="shared" si="151"/>
        <v>0.34894011113397816</v>
      </c>
      <c r="R1301" s="12"/>
      <c r="S1301" s="12"/>
      <c r="T1301" s="12">
        <v>0</v>
      </c>
      <c r="U1301" s="12"/>
      <c r="V1301" s="12"/>
      <c r="W1301" s="32">
        <f t="shared" si="150"/>
        <v>0</v>
      </c>
    </row>
    <row r="1302" spans="1:23" ht="24" hidden="1">
      <c r="A1302" s="8"/>
      <c r="B1302" s="8"/>
      <c r="C1302" s="26">
        <v>4119</v>
      </c>
      <c r="D1302" s="27" t="s">
        <v>113</v>
      </c>
      <c r="E1302" s="11"/>
      <c r="F1302" s="11"/>
      <c r="G1302" s="12"/>
      <c r="H1302" s="12"/>
      <c r="I1302" s="12"/>
      <c r="J1302" s="12">
        <v>0</v>
      </c>
      <c r="K1302" s="12">
        <v>0</v>
      </c>
      <c r="L1302" s="12">
        <v>0</v>
      </c>
      <c r="M1302" s="12"/>
      <c r="N1302" s="12">
        <v>0</v>
      </c>
      <c r="O1302" s="12">
        <v>1715</v>
      </c>
      <c r="P1302" s="12">
        <v>598</v>
      </c>
      <c r="Q1302" s="186">
        <f t="shared" si="151"/>
        <v>0.3486880466472303</v>
      </c>
      <c r="R1302" s="12"/>
      <c r="S1302" s="12"/>
      <c r="T1302" s="12">
        <v>0</v>
      </c>
      <c r="U1302" s="12"/>
      <c r="V1302" s="12"/>
      <c r="W1302" s="32">
        <f t="shared" si="150"/>
        <v>0</v>
      </c>
    </row>
    <row r="1303" spans="1:23" ht="12" hidden="1">
      <c r="A1303" s="8"/>
      <c r="B1303" s="8"/>
      <c r="C1303" s="26">
        <v>4128</v>
      </c>
      <c r="D1303" s="27" t="s">
        <v>32</v>
      </c>
      <c r="E1303" s="11"/>
      <c r="F1303" s="11"/>
      <c r="G1303" s="12"/>
      <c r="H1303" s="12"/>
      <c r="I1303" s="12"/>
      <c r="J1303" s="12">
        <v>0</v>
      </c>
      <c r="K1303" s="12">
        <v>0</v>
      </c>
      <c r="L1303" s="12">
        <v>0</v>
      </c>
      <c r="M1303" s="12"/>
      <c r="N1303" s="12">
        <v>0</v>
      </c>
      <c r="O1303" s="12">
        <v>1552</v>
      </c>
      <c r="P1303" s="12">
        <v>547</v>
      </c>
      <c r="Q1303" s="186">
        <f t="shared" si="151"/>
        <v>0.35244845360824745</v>
      </c>
      <c r="R1303" s="12"/>
      <c r="S1303" s="12"/>
      <c r="T1303" s="12">
        <v>0</v>
      </c>
      <c r="U1303" s="12"/>
      <c r="V1303" s="12"/>
      <c r="W1303" s="32">
        <f t="shared" si="150"/>
        <v>0</v>
      </c>
    </row>
    <row r="1304" spans="1:23" ht="12" hidden="1">
      <c r="A1304" s="8"/>
      <c r="B1304" s="8"/>
      <c r="C1304" s="26">
        <v>4129</v>
      </c>
      <c r="D1304" s="27" t="s">
        <v>32</v>
      </c>
      <c r="E1304" s="11"/>
      <c r="F1304" s="11"/>
      <c r="G1304" s="12"/>
      <c r="H1304" s="12"/>
      <c r="I1304" s="12"/>
      <c r="J1304" s="12">
        <v>0</v>
      </c>
      <c r="K1304" s="12">
        <v>0</v>
      </c>
      <c r="L1304" s="12">
        <v>0</v>
      </c>
      <c r="M1304" s="12"/>
      <c r="N1304" s="12">
        <v>0</v>
      </c>
      <c r="O1304" s="12">
        <v>274</v>
      </c>
      <c r="P1304" s="12">
        <v>96</v>
      </c>
      <c r="Q1304" s="186">
        <f t="shared" si="151"/>
        <v>0.35036496350364965</v>
      </c>
      <c r="R1304" s="12"/>
      <c r="S1304" s="12"/>
      <c r="T1304" s="12">
        <v>0</v>
      </c>
      <c r="U1304" s="12"/>
      <c r="V1304" s="12"/>
      <c r="W1304" s="32">
        <f t="shared" si="150"/>
        <v>0</v>
      </c>
    </row>
    <row r="1305" spans="1:23" ht="12" hidden="1">
      <c r="A1305" s="8"/>
      <c r="B1305" s="8"/>
      <c r="C1305" s="26">
        <v>4178</v>
      </c>
      <c r="D1305" s="27" t="s">
        <v>69</v>
      </c>
      <c r="E1305" s="11"/>
      <c r="F1305" s="11"/>
      <c r="G1305" s="12"/>
      <c r="H1305" s="12"/>
      <c r="I1305" s="12"/>
      <c r="J1305" s="12">
        <v>0</v>
      </c>
      <c r="K1305" s="12">
        <v>0</v>
      </c>
      <c r="L1305" s="12">
        <v>0</v>
      </c>
      <c r="M1305" s="12"/>
      <c r="N1305" s="12">
        <v>0</v>
      </c>
      <c r="O1305" s="12">
        <v>56213</v>
      </c>
      <c r="P1305" s="12">
        <v>20523</v>
      </c>
      <c r="Q1305" s="186">
        <f t="shared" si="151"/>
        <v>0.3650934837137317</v>
      </c>
      <c r="R1305" s="12"/>
      <c r="S1305" s="12"/>
      <c r="T1305" s="12">
        <v>0</v>
      </c>
      <c r="U1305" s="12"/>
      <c r="V1305" s="12"/>
      <c r="W1305" s="32">
        <f t="shared" si="150"/>
        <v>0</v>
      </c>
    </row>
    <row r="1306" spans="1:23" ht="12" hidden="1">
      <c r="A1306" s="8"/>
      <c r="B1306" s="8"/>
      <c r="C1306" s="26">
        <v>4179</v>
      </c>
      <c r="D1306" s="27" t="s">
        <v>69</v>
      </c>
      <c r="E1306" s="11"/>
      <c r="F1306" s="11"/>
      <c r="G1306" s="12"/>
      <c r="H1306" s="12"/>
      <c r="I1306" s="12"/>
      <c r="J1306" s="12">
        <v>0</v>
      </c>
      <c r="K1306" s="12">
        <v>0</v>
      </c>
      <c r="L1306" s="12">
        <v>0</v>
      </c>
      <c r="M1306" s="12"/>
      <c r="N1306" s="12">
        <v>0</v>
      </c>
      <c r="O1306" s="12">
        <v>9920</v>
      </c>
      <c r="P1306" s="12">
        <v>3622</v>
      </c>
      <c r="Q1306" s="186">
        <f t="shared" si="151"/>
        <v>0.3651209677419355</v>
      </c>
      <c r="R1306" s="12"/>
      <c r="S1306" s="12"/>
      <c r="T1306" s="12">
        <v>0</v>
      </c>
      <c r="U1306" s="12"/>
      <c r="V1306" s="12"/>
      <c r="W1306" s="32">
        <f t="shared" si="150"/>
        <v>0</v>
      </c>
    </row>
    <row r="1307" spans="1:23" ht="12" hidden="1">
      <c r="A1307" s="8"/>
      <c r="B1307" s="8"/>
      <c r="C1307" s="26">
        <v>4218</v>
      </c>
      <c r="D1307" s="27" t="s">
        <v>34</v>
      </c>
      <c r="E1307" s="11"/>
      <c r="F1307" s="11"/>
      <c r="G1307" s="12"/>
      <c r="H1307" s="12"/>
      <c r="I1307" s="12"/>
      <c r="J1307" s="12">
        <v>0</v>
      </c>
      <c r="K1307" s="12">
        <v>0</v>
      </c>
      <c r="L1307" s="12">
        <v>0</v>
      </c>
      <c r="M1307" s="12"/>
      <c r="N1307" s="12">
        <v>0</v>
      </c>
      <c r="O1307" s="12">
        <v>9023</v>
      </c>
      <c r="P1307" s="12">
        <v>6745</v>
      </c>
      <c r="Q1307" s="186">
        <f t="shared" si="151"/>
        <v>0.747534079574421</v>
      </c>
      <c r="R1307" s="12"/>
      <c r="S1307" s="12"/>
      <c r="T1307" s="12">
        <v>0</v>
      </c>
      <c r="U1307" s="12"/>
      <c r="V1307" s="12"/>
      <c r="W1307" s="32">
        <f t="shared" si="150"/>
        <v>0</v>
      </c>
    </row>
    <row r="1308" spans="1:23" ht="12" hidden="1">
      <c r="A1308" s="8"/>
      <c r="B1308" s="8"/>
      <c r="C1308" s="26">
        <v>4219</v>
      </c>
      <c r="D1308" s="27" t="s">
        <v>34</v>
      </c>
      <c r="E1308" s="11"/>
      <c r="F1308" s="11"/>
      <c r="G1308" s="12"/>
      <c r="H1308" s="12"/>
      <c r="I1308" s="12"/>
      <c r="J1308" s="12">
        <v>0</v>
      </c>
      <c r="K1308" s="12">
        <v>0</v>
      </c>
      <c r="L1308" s="12">
        <v>0</v>
      </c>
      <c r="M1308" s="12"/>
      <c r="N1308" s="12">
        <v>0</v>
      </c>
      <c r="O1308" s="12">
        <v>1592</v>
      </c>
      <c r="P1308" s="12">
        <v>1190</v>
      </c>
      <c r="Q1308" s="186">
        <f t="shared" si="151"/>
        <v>0.7474874371859297</v>
      </c>
      <c r="R1308" s="12"/>
      <c r="S1308" s="12"/>
      <c r="T1308" s="12">
        <v>0</v>
      </c>
      <c r="U1308" s="12"/>
      <c r="V1308" s="12"/>
      <c r="W1308" s="32">
        <f t="shared" si="150"/>
        <v>0</v>
      </c>
    </row>
    <row r="1309" spans="1:23" ht="12" hidden="1">
      <c r="A1309" s="8"/>
      <c r="B1309" s="8"/>
      <c r="C1309" s="26">
        <v>4268</v>
      </c>
      <c r="D1309" s="27" t="s">
        <v>35</v>
      </c>
      <c r="E1309" s="11"/>
      <c r="F1309" s="11"/>
      <c r="G1309" s="12"/>
      <c r="H1309" s="12"/>
      <c r="I1309" s="12"/>
      <c r="J1309" s="12"/>
      <c r="K1309" s="12"/>
      <c r="L1309" s="12"/>
      <c r="M1309" s="12"/>
      <c r="N1309" s="12">
        <v>0</v>
      </c>
      <c r="O1309" s="12">
        <v>459</v>
      </c>
      <c r="P1309" s="12">
        <v>191</v>
      </c>
      <c r="Q1309" s="186">
        <f t="shared" si="151"/>
        <v>0.41612200435729846</v>
      </c>
      <c r="R1309" s="12"/>
      <c r="S1309" s="12"/>
      <c r="T1309" s="12">
        <v>0</v>
      </c>
      <c r="U1309" s="12"/>
      <c r="V1309" s="12"/>
      <c r="W1309" s="32">
        <f t="shared" si="150"/>
        <v>0</v>
      </c>
    </row>
    <row r="1310" spans="1:23" ht="12" hidden="1">
      <c r="A1310" s="8"/>
      <c r="B1310" s="8"/>
      <c r="C1310" s="26">
        <v>4269</v>
      </c>
      <c r="D1310" s="27" t="s">
        <v>35</v>
      </c>
      <c r="E1310" s="11"/>
      <c r="F1310" s="11"/>
      <c r="G1310" s="12"/>
      <c r="H1310" s="12"/>
      <c r="I1310" s="12"/>
      <c r="J1310" s="12"/>
      <c r="K1310" s="12"/>
      <c r="L1310" s="12"/>
      <c r="M1310" s="12"/>
      <c r="N1310" s="12">
        <v>0</v>
      </c>
      <c r="O1310" s="12">
        <v>81</v>
      </c>
      <c r="P1310" s="12">
        <v>34</v>
      </c>
      <c r="Q1310" s="186">
        <f t="shared" si="151"/>
        <v>0.41975308641975306</v>
      </c>
      <c r="R1310" s="12"/>
      <c r="S1310" s="12"/>
      <c r="T1310" s="12">
        <v>0</v>
      </c>
      <c r="U1310" s="12"/>
      <c r="V1310" s="12"/>
      <c r="W1310" s="32">
        <f aca="true" t="shared" si="152" ref="W1310:W1373">T1310+U1310-V1310</f>
        <v>0</v>
      </c>
    </row>
    <row r="1311" spans="1:23" ht="12" hidden="1">
      <c r="A1311" s="8"/>
      <c r="B1311" s="8"/>
      <c r="C1311" s="26">
        <v>4308</v>
      </c>
      <c r="D1311" s="27" t="s">
        <v>154</v>
      </c>
      <c r="E1311" s="11"/>
      <c r="F1311" s="11"/>
      <c r="G1311" s="12"/>
      <c r="H1311" s="12"/>
      <c r="I1311" s="12"/>
      <c r="J1311" s="12">
        <v>0</v>
      </c>
      <c r="K1311" s="12">
        <v>0</v>
      </c>
      <c r="L1311" s="12">
        <v>0</v>
      </c>
      <c r="M1311" s="12"/>
      <c r="N1311" s="12">
        <v>0</v>
      </c>
      <c r="O1311" s="12">
        <v>22256</v>
      </c>
      <c r="P1311" s="12">
        <v>19125</v>
      </c>
      <c r="Q1311" s="186">
        <f t="shared" si="151"/>
        <v>0.8593188353702372</v>
      </c>
      <c r="R1311" s="12"/>
      <c r="S1311" s="12"/>
      <c r="T1311" s="12">
        <v>0</v>
      </c>
      <c r="U1311" s="12"/>
      <c r="V1311" s="12"/>
      <c r="W1311" s="32">
        <f t="shared" si="152"/>
        <v>0</v>
      </c>
    </row>
    <row r="1312" spans="1:23" ht="12" hidden="1">
      <c r="A1312" s="8"/>
      <c r="B1312" s="8"/>
      <c r="C1312" s="26">
        <v>4309</v>
      </c>
      <c r="D1312" s="27" t="s">
        <v>154</v>
      </c>
      <c r="E1312" s="11"/>
      <c r="F1312" s="11"/>
      <c r="G1312" s="12"/>
      <c r="H1312" s="12"/>
      <c r="I1312" s="12"/>
      <c r="J1312" s="12">
        <v>0</v>
      </c>
      <c r="K1312" s="12">
        <v>0</v>
      </c>
      <c r="L1312" s="12">
        <v>0</v>
      </c>
      <c r="M1312" s="12"/>
      <c r="N1312" s="12">
        <v>0</v>
      </c>
      <c r="O1312" s="12">
        <v>3927</v>
      </c>
      <c r="P1312" s="12">
        <v>3375</v>
      </c>
      <c r="Q1312" s="186">
        <f t="shared" si="151"/>
        <v>0.8594346829640948</v>
      </c>
      <c r="R1312" s="12"/>
      <c r="S1312" s="12"/>
      <c r="T1312" s="12">
        <v>0</v>
      </c>
      <c r="U1312" s="12"/>
      <c r="V1312" s="12"/>
      <c r="W1312" s="32">
        <f t="shared" si="152"/>
        <v>0</v>
      </c>
    </row>
    <row r="1313" spans="1:23" ht="34.5" customHeight="1" hidden="1">
      <c r="A1313" s="8"/>
      <c r="B1313" s="8"/>
      <c r="C1313" s="26">
        <v>4358</v>
      </c>
      <c r="D1313" s="27" t="s">
        <v>118</v>
      </c>
      <c r="E1313" s="11"/>
      <c r="F1313" s="11"/>
      <c r="G1313" s="12"/>
      <c r="H1313" s="12"/>
      <c r="I1313" s="12"/>
      <c r="J1313" s="12">
        <v>0</v>
      </c>
      <c r="K1313" s="12">
        <v>0</v>
      </c>
      <c r="L1313" s="12">
        <v>0</v>
      </c>
      <c r="M1313" s="12"/>
      <c r="N1313" s="12">
        <v>0</v>
      </c>
      <c r="O1313" s="12">
        <v>0</v>
      </c>
      <c r="P1313" s="12"/>
      <c r="Q1313" s="186"/>
      <c r="R1313" s="12"/>
      <c r="S1313" s="12"/>
      <c r="T1313" s="12">
        <v>0</v>
      </c>
      <c r="U1313" s="12"/>
      <c r="V1313" s="12"/>
      <c r="W1313" s="32">
        <f t="shared" si="152"/>
        <v>0</v>
      </c>
    </row>
    <row r="1314" spans="1:23" ht="39.75" customHeight="1" hidden="1">
      <c r="A1314" s="8"/>
      <c r="B1314" s="8"/>
      <c r="C1314" s="26">
        <v>4359</v>
      </c>
      <c r="D1314" s="27" t="s">
        <v>118</v>
      </c>
      <c r="E1314" s="11"/>
      <c r="F1314" s="11"/>
      <c r="G1314" s="12"/>
      <c r="H1314" s="12"/>
      <c r="I1314" s="12"/>
      <c r="J1314" s="12">
        <v>0</v>
      </c>
      <c r="K1314" s="12">
        <v>0</v>
      </c>
      <c r="L1314" s="12">
        <v>0</v>
      </c>
      <c r="M1314" s="12"/>
      <c r="N1314" s="12">
        <v>0</v>
      </c>
      <c r="O1314" s="12">
        <v>0</v>
      </c>
      <c r="P1314" s="12"/>
      <c r="Q1314" s="186"/>
      <c r="R1314" s="12"/>
      <c r="S1314" s="12"/>
      <c r="T1314" s="12">
        <v>0</v>
      </c>
      <c r="U1314" s="12"/>
      <c r="V1314" s="12"/>
      <c r="W1314" s="32">
        <f t="shared" si="152"/>
        <v>0</v>
      </c>
    </row>
    <row r="1315" spans="1:23" ht="35.25" customHeight="1" hidden="1">
      <c r="A1315" s="8"/>
      <c r="B1315" s="8"/>
      <c r="C1315" s="26">
        <v>4748</v>
      </c>
      <c r="D1315" s="27" t="s">
        <v>73</v>
      </c>
      <c r="E1315" s="11"/>
      <c r="F1315" s="11"/>
      <c r="G1315" s="12"/>
      <c r="H1315" s="12"/>
      <c r="I1315" s="12"/>
      <c r="J1315" s="12">
        <v>0</v>
      </c>
      <c r="K1315" s="12">
        <v>0</v>
      </c>
      <c r="L1315" s="12">
        <v>0</v>
      </c>
      <c r="M1315" s="12"/>
      <c r="N1315" s="12">
        <v>0</v>
      </c>
      <c r="O1315" s="12">
        <v>0</v>
      </c>
      <c r="P1315" s="12"/>
      <c r="Q1315" s="186"/>
      <c r="R1315" s="12"/>
      <c r="S1315" s="12"/>
      <c r="T1315" s="12">
        <v>0</v>
      </c>
      <c r="U1315" s="12"/>
      <c r="V1315" s="12"/>
      <c r="W1315" s="32">
        <f t="shared" si="152"/>
        <v>0</v>
      </c>
    </row>
    <row r="1316" spans="1:23" ht="41.25" customHeight="1" hidden="1">
      <c r="A1316" s="8"/>
      <c r="B1316" s="8"/>
      <c r="C1316" s="26">
        <v>4749</v>
      </c>
      <c r="D1316" s="27" t="s">
        <v>73</v>
      </c>
      <c r="E1316" s="11"/>
      <c r="F1316" s="11"/>
      <c r="G1316" s="12"/>
      <c r="H1316" s="12"/>
      <c r="I1316" s="12"/>
      <c r="J1316" s="12">
        <v>0</v>
      </c>
      <c r="K1316" s="12">
        <v>0</v>
      </c>
      <c r="L1316" s="12">
        <v>0</v>
      </c>
      <c r="M1316" s="12"/>
      <c r="N1316" s="12">
        <v>0</v>
      </c>
      <c r="O1316" s="12">
        <v>0</v>
      </c>
      <c r="P1316" s="12"/>
      <c r="Q1316" s="186"/>
      <c r="R1316" s="12"/>
      <c r="S1316" s="12"/>
      <c r="T1316" s="12">
        <v>0</v>
      </c>
      <c r="U1316" s="12"/>
      <c r="V1316" s="12"/>
      <c r="W1316" s="32">
        <f t="shared" si="152"/>
        <v>0</v>
      </c>
    </row>
    <row r="1317" spans="1:23" ht="33" customHeight="1" hidden="1">
      <c r="A1317" s="8"/>
      <c r="B1317" s="8"/>
      <c r="C1317" s="26">
        <v>4758</v>
      </c>
      <c r="D1317" s="27" t="s">
        <v>118</v>
      </c>
      <c r="E1317" s="11"/>
      <c r="F1317" s="11"/>
      <c r="G1317" s="12"/>
      <c r="H1317" s="12"/>
      <c r="I1317" s="12"/>
      <c r="J1317" s="12">
        <v>0</v>
      </c>
      <c r="K1317" s="12">
        <v>0</v>
      </c>
      <c r="L1317" s="12">
        <v>0</v>
      </c>
      <c r="M1317" s="12"/>
      <c r="N1317" s="12">
        <v>0</v>
      </c>
      <c r="O1317" s="12">
        <v>0</v>
      </c>
      <c r="P1317" s="12"/>
      <c r="Q1317" s="186"/>
      <c r="R1317" s="12"/>
      <c r="S1317" s="12"/>
      <c r="T1317" s="12">
        <v>0</v>
      </c>
      <c r="U1317" s="12"/>
      <c r="V1317" s="12"/>
      <c r="W1317" s="32">
        <f t="shared" si="152"/>
        <v>0</v>
      </c>
    </row>
    <row r="1318" spans="1:23" ht="28.5" customHeight="1" hidden="1">
      <c r="A1318" s="8"/>
      <c r="B1318" s="8"/>
      <c r="C1318" s="26">
        <v>4759</v>
      </c>
      <c r="D1318" s="27" t="s">
        <v>118</v>
      </c>
      <c r="E1318" s="11"/>
      <c r="F1318" s="11"/>
      <c r="G1318" s="12"/>
      <c r="H1318" s="12"/>
      <c r="I1318" s="12"/>
      <c r="J1318" s="12">
        <v>0</v>
      </c>
      <c r="K1318" s="12">
        <v>0</v>
      </c>
      <c r="L1318" s="12">
        <v>0</v>
      </c>
      <c r="M1318" s="12"/>
      <c r="N1318" s="12">
        <v>0</v>
      </c>
      <c r="O1318" s="12">
        <v>0</v>
      </c>
      <c r="P1318" s="12"/>
      <c r="Q1318" s="186"/>
      <c r="R1318" s="12"/>
      <c r="S1318" s="12"/>
      <c r="T1318" s="12">
        <v>0</v>
      </c>
      <c r="U1318" s="12"/>
      <c r="V1318" s="12"/>
      <c r="W1318" s="32">
        <f t="shared" si="152"/>
        <v>0</v>
      </c>
    </row>
    <row r="1319" spans="1:23" ht="36">
      <c r="A1319" s="8"/>
      <c r="B1319" s="8"/>
      <c r="C1319" s="36"/>
      <c r="D1319" s="89" t="s">
        <v>303</v>
      </c>
      <c r="E1319" s="35"/>
      <c r="F1319" s="35"/>
      <c r="G1319" s="37"/>
      <c r="H1319" s="37"/>
      <c r="I1319" s="37"/>
      <c r="J1319" s="37">
        <f>SUM(J1322:J1335)</f>
        <v>0</v>
      </c>
      <c r="K1319" s="37">
        <f>SUM(K1322:K1335)</f>
        <v>0</v>
      </c>
      <c r="L1319" s="37">
        <f>SUM(L1322:L1335)</f>
        <v>0</v>
      </c>
      <c r="M1319" s="37">
        <f>SUM(M1322:M1335)</f>
        <v>0</v>
      </c>
      <c r="N1319" s="37">
        <v>0</v>
      </c>
      <c r="O1319" s="37">
        <v>478252</v>
      </c>
      <c r="P1319" s="37">
        <f>SUM(P1320:P1339)</f>
        <v>95000</v>
      </c>
      <c r="Q1319" s="186">
        <f aca="true" t="shared" si="153" ref="Q1319:Q1360">P1319/O1319</f>
        <v>0.19864004750633557</v>
      </c>
      <c r="R1319" s="37">
        <f>SUM(R1320:R1339)</f>
        <v>478252</v>
      </c>
      <c r="S1319" s="37">
        <f>SUM(S1320:S1339)</f>
        <v>57866</v>
      </c>
      <c r="T1319" s="37">
        <v>100118</v>
      </c>
      <c r="U1319" s="37">
        <f>SUM(U1320:U1339)</f>
        <v>0</v>
      </c>
      <c r="V1319" s="37">
        <f>SUM(V1320:V1339)</f>
        <v>0</v>
      </c>
      <c r="W1319" s="32">
        <f t="shared" si="152"/>
        <v>100118</v>
      </c>
    </row>
    <row r="1320" spans="1:23" ht="24">
      <c r="A1320" s="88"/>
      <c r="B1320" s="88"/>
      <c r="C1320" s="26">
        <v>4018</v>
      </c>
      <c r="D1320" s="10" t="s">
        <v>314</v>
      </c>
      <c r="E1320" s="11"/>
      <c r="F1320" s="11"/>
      <c r="G1320" s="12"/>
      <c r="H1320" s="12"/>
      <c r="I1320" s="12"/>
      <c r="J1320" s="12"/>
      <c r="K1320" s="12"/>
      <c r="L1320" s="12"/>
      <c r="M1320" s="12"/>
      <c r="N1320" s="12">
        <v>0</v>
      </c>
      <c r="O1320" s="12">
        <v>12750</v>
      </c>
      <c r="P1320" s="12">
        <v>3825</v>
      </c>
      <c r="Q1320" s="186">
        <f t="shared" si="153"/>
        <v>0.3</v>
      </c>
      <c r="R1320" s="12">
        <v>12750</v>
      </c>
      <c r="S1320" s="12">
        <v>1275</v>
      </c>
      <c r="T1320" s="12">
        <v>1275</v>
      </c>
      <c r="U1320" s="12"/>
      <c r="V1320" s="12"/>
      <c r="W1320" s="32">
        <f t="shared" si="152"/>
        <v>1275</v>
      </c>
    </row>
    <row r="1321" spans="1:23" ht="24">
      <c r="A1321" s="88"/>
      <c r="B1321" s="88"/>
      <c r="C1321" s="26">
        <v>4019</v>
      </c>
      <c r="D1321" s="10" t="s">
        <v>314</v>
      </c>
      <c r="E1321" s="11"/>
      <c r="F1321" s="11"/>
      <c r="G1321" s="12"/>
      <c r="H1321" s="12"/>
      <c r="I1321" s="12"/>
      <c r="J1321" s="12"/>
      <c r="K1321" s="12"/>
      <c r="L1321" s="12"/>
      <c r="M1321" s="12"/>
      <c r="N1321" s="12">
        <v>0</v>
      </c>
      <c r="O1321" s="12">
        <v>2250</v>
      </c>
      <c r="P1321" s="12">
        <v>675</v>
      </c>
      <c r="Q1321" s="186">
        <f t="shared" si="153"/>
        <v>0.3</v>
      </c>
      <c r="R1321" s="12">
        <v>2250</v>
      </c>
      <c r="S1321" s="12">
        <v>225</v>
      </c>
      <c r="T1321" s="12">
        <v>225</v>
      </c>
      <c r="U1321" s="12"/>
      <c r="V1321" s="12"/>
      <c r="W1321" s="32">
        <f t="shared" si="152"/>
        <v>225</v>
      </c>
    </row>
    <row r="1322" spans="1:23" ht="24">
      <c r="A1322" s="8"/>
      <c r="B1322" s="8"/>
      <c r="C1322" s="26">
        <v>4118</v>
      </c>
      <c r="D1322" s="27" t="s">
        <v>113</v>
      </c>
      <c r="E1322" s="11"/>
      <c r="F1322" s="11"/>
      <c r="G1322" s="12"/>
      <c r="H1322" s="12"/>
      <c r="I1322" s="12"/>
      <c r="J1322" s="12">
        <v>0</v>
      </c>
      <c r="K1322" s="12">
        <v>0</v>
      </c>
      <c r="L1322" s="12">
        <v>0</v>
      </c>
      <c r="M1322" s="12"/>
      <c r="N1322" s="12">
        <v>0</v>
      </c>
      <c r="O1322" s="12">
        <v>14527</v>
      </c>
      <c r="P1322" s="12">
        <v>6052</v>
      </c>
      <c r="Q1322" s="186">
        <f t="shared" si="153"/>
        <v>0.41660356577407587</v>
      </c>
      <c r="R1322" s="12">
        <v>14527</v>
      </c>
      <c r="S1322" s="12">
        <v>1453</v>
      </c>
      <c r="T1322" s="12">
        <v>2265</v>
      </c>
      <c r="U1322" s="12"/>
      <c r="V1322" s="12"/>
      <c r="W1322" s="32">
        <f t="shared" si="152"/>
        <v>2265</v>
      </c>
    </row>
    <row r="1323" spans="1:23" ht="24">
      <c r="A1323" s="8"/>
      <c r="B1323" s="8"/>
      <c r="C1323" s="26">
        <v>4119</v>
      </c>
      <c r="D1323" s="27" t="s">
        <v>113</v>
      </c>
      <c r="E1323" s="11"/>
      <c r="F1323" s="11"/>
      <c r="G1323" s="12"/>
      <c r="H1323" s="12"/>
      <c r="I1323" s="12"/>
      <c r="J1323" s="12">
        <v>0</v>
      </c>
      <c r="K1323" s="12">
        <v>0</v>
      </c>
      <c r="L1323" s="12">
        <v>0</v>
      </c>
      <c r="M1323" s="12"/>
      <c r="N1323" s="12">
        <v>0</v>
      </c>
      <c r="O1323" s="12">
        <v>2564</v>
      </c>
      <c r="P1323" s="12">
        <v>1068</v>
      </c>
      <c r="Q1323" s="186">
        <f t="shared" si="153"/>
        <v>0.4165366614664587</v>
      </c>
      <c r="R1323" s="12">
        <v>2564</v>
      </c>
      <c r="S1323" s="12">
        <v>256</v>
      </c>
      <c r="T1323" s="12">
        <v>400</v>
      </c>
      <c r="U1323" s="12"/>
      <c r="V1323" s="12"/>
      <c r="W1323" s="32">
        <f t="shared" si="152"/>
        <v>400</v>
      </c>
    </row>
    <row r="1324" spans="1:23" ht="12">
      <c r="A1324" s="8"/>
      <c r="B1324" s="8"/>
      <c r="C1324" s="26">
        <v>4128</v>
      </c>
      <c r="D1324" s="27" t="s">
        <v>32</v>
      </c>
      <c r="E1324" s="11"/>
      <c r="F1324" s="11"/>
      <c r="G1324" s="12"/>
      <c r="H1324" s="12"/>
      <c r="I1324" s="12"/>
      <c r="J1324" s="12">
        <v>0</v>
      </c>
      <c r="K1324" s="12">
        <v>0</v>
      </c>
      <c r="L1324" s="12">
        <v>0</v>
      </c>
      <c r="M1324" s="12"/>
      <c r="N1324" s="12">
        <v>0</v>
      </c>
      <c r="O1324" s="12">
        <v>2320</v>
      </c>
      <c r="P1324" s="12">
        <v>975</v>
      </c>
      <c r="Q1324" s="186">
        <f t="shared" si="153"/>
        <v>0.4202586206896552</v>
      </c>
      <c r="R1324" s="12">
        <v>2320</v>
      </c>
      <c r="S1324" s="12">
        <v>232</v>
      </c>
      <c r="T1324" s="12">
        <v>363</v>
      </c>
      <c r="U1324" s="12"/>
      <c r="V1324" s="12"/>
      <c r="W1324" s="32">
        <f t="shared" si="152"/>
        <v>363</v>
      </c>
    </row>
    <row r="1325" spans="1:23" ht="12">
      <c r="A1325" s="8"/>
      <c r="B1325" s="8"/>
      <c r="C1325" s="26">
        <v>4129</v>
      </c>
      <c r="D1325" s="27" t="s">
        <v>32</v>
      </c>
      <c r="E1325" s="11"/>
      <c r="F1325" s="11"/>
      <c r="G1325" s="12"/>
      <c r="H1325" s="12"/>
      <c r="I1325" s="12"/>
      <c r="J1325" s="12">
        <v>0</v>
      </c>
      <c r="K1325" s="12">
        <v>0</v>
      </c>
      <c r="L1325" s="12">
        <v>0</v>
      </c>
      <c r="M1325" s="12"/>
      <c r="N1325" s="12">
        <v>0</v>
      </c>
      <c r="O1325" s="12">
        <v>410</v>
      </c>
      <c r="P1325" s="12">
        <v>172</v>
      </c>
      <c r="Q1325" s="186">
        <f t="shared" si="153"/>
        <v>0.4195121951219512</v>
      </c>
      <c r="R1325" s="12">
        <v>410</v>
      </c>
      <c r="S1325" s="12">
        <v>41</v>
      </c>
      <c r="T1325" s="12">
        <v>64</v>
      </c>
      <c r="U1325" s="12"/>
      <c r="V1325" s="12"/>
      <c r="W1325" s="32">
        <f t="shared" si="152"/>
        <v>64</v>
      </c>
    </row>
    <row r="1326" spans="1:23" ht="12">
      <c r="A1326" s="8"/>
      <c r="B1326" s="8"/>
      <c r="C1326" s="26">
        <v>4178</v>
      </c>
      <c r="D1326" s="27" t="s">
        <v>69</v>
      </c>
      <c r="E1326" s="11"/>
      <c r="F1326" s="11"/>
      <c r="G1326" s="12"/>
      <c r="H1326" s="12"/>
      <c r="I1326" s="12"/>
      <c r="J1326" s="12">
        <v>0</v>
      </c>
      <c r="K1326" s="12">
        <v>0</v>
      </c>
      <c r="L1326" s="12">
        <v>0</v>
      </c>
      <c r="M1326" s="12"/>
      <c r="N1326" s="12">
        <v>0</v>
      </c>
      <c r="O1326" s="12">
        <v>91303</v>
      </c>
      <c r="P1326" s="12">
        <v>40239</v>
      </c>
      <c r="Q1326" s="186">
        <f t="shared" si="153"/>
        <v>0.4407193630001205</v>
      </c>
      <c r="R1326" s="12">
        <v>91303</v>
      </c>
      <c r="S1326" s="12">
        <v>8195</v>
      </c>
      <c r="T1326" s="12">
        <v>13550</v>
      </c>
      <c r="U1326" s="12"/>
      <c r="V1326" s="12"/>
      <c r="W1326" s="32">
        <f t="shared" si="152"/>
        <v>13550</v>
      </c>
    </row>
    <row r="1327" spans="1:23" ht="12">
      <c r="A1327" s="8"/>
      <c r="B1327" s="8"/>
      <c r="C1327" s="26">
        <v>4179</v>
      </c>
      <c r="D1327" s="27" t="s">
        <v>69</v>
      </c>
      <c r="E1327" s="11"/>
      <c r="F1327" s="11"/>
      <c r="G1327" s="12"/>
      <c r="H1327" s="12"/>
      <c r="I1327" s="12"/>
      <c r="J1327" s="12">
        <v>0</v>
      </c>
      <c r="K1327" s="12">
        <v>0</v>
      </c>
      <c r="L1327" s="12">
        <v>0</v>
      </c>
      <c r="M1327" s="12"/>
      <c r="N1327" s="12">
        <v>0</v>
      </c>
      <c r="O1327" s="12">
        <v>16112</v>
      </c>
      <c r="P1327" s="12">
        <v>7101</v>
      </c>
      <c r="Q1327" s="186">
        <f t="shared" si="153"/>
        <v>0.440727408142999</v>
      </c>
      <c r="R1327" s="12">
        <v>16112</v>
      </c>
      <c r="S1327" s="12">
        <v>1446</v>
      </c>
      <c r="T1327" s="12">
        <v>2391</v>
      </c>
      <c r="U1327" s="12"/>
      <c r="V1327" s="12"/>
      <c r="W1327" s="32">
        <f t="shared" si="152"/>
        <v>2391</v>
      </c>
    </row>
    <row r="1328" spans="1:23" ht="12">
      <c r="A1328" s="8"/>
      <c r="B1328" s="8"/>
      <c r="C1328" s="26">
        <v>4218</v>
      </c>
      <c r="D1328" s="27" t="s">
        <v>34</v>
      </c>
      <c r="E1328" s="11"/>
      <c r="F1328" s="11"/>
      <c r="G1328" s="12"/>
      <c r="H1328" s="12"/>
      <c r="I1328" s="12"/>
      <c r="J1328" s="12">
        <v>0</v>
      </c>
      <c r="K1328" s="12">
        <v>0</v>
      </c>
      <c r="L1328" s="12">
        <v>0</v>
      </c>
      <c r="M1328" s="12"/>
      <c r="N1328" s="12">
        <v>0</v>
      </c>
      <c r="O1328" s="12">
        <v>4943</v>
      </c>
      <c r="P1328" s="12">
        <v>1126</v>
      </c>
      <c r="Q1328" s="186">
        <f t="shared" si="153"/>
        <v>0.22779688448310742</v>
      </c>
      <c r="R1328" s="12">
        <v>4943</v>
      </c>
      <c r="S1328" s="12">
        <v>885</v>
      </c>
      <c r="T1328" s="12">
        <v>3080</v>
      </c>
      <c r="U1328" s="12"/>
      <c r="V1328" s="12"/>
      <c r="W1328" s="32">
        <f t="shared" si="152"/>
        <v>3080</v>
      </c>
    </row>
    <row r="1329" spans="1:23" ht="12">
      <c r="A1329" s="8"/>
      <c r="B1329" s="8"/>
      <c r="C1329" s="26">
        <v>4219</v>
      </c>
      <c r="D1329" s="27" t="s">
        <v>34</v>
      </c>
      <c r="E1329" s="11"/>
      <c r="F1329" s="11"/>
      <c r="G1329" s="12"/>
      <c r="H1329" s="12"/>
      <c r="I1329" s="12"/>
      <c r="J1329" s="12">
        <v>0</v>
      </c>
      <c r="K1329" s="12">
        <v>0</v>
      </c>
      <c r="L1329" s="12">
        <v>0</v>
      </c>
      <c r="M1329" s="12"/>
      <c r="N1329" s="12">
        <v>0</v>
      </c>
      <c r="O1329" s="12">
        <v>872</v>
      </c>
      <c r="P1329" s="12">
        <v>199</v>
      </c>
      <c r="Q1329" s="186">
        <f t="shared" si="153"/>
        <v>0.22821100917431192</v>
      </c>
      <c r="R1329" s="12">
        <v>872</v>
      </c>
      <c r="S1329" s="12">
        <v>156</v>
      </c>
      <c r="T1329" s="12">
        <v>543</v>
      </c>
      <c r="U1329" s="12"/>
      <c r="V1329" s="12"/>
      <c r="W1329" s="32">
        <f t="shared" si="152"/>
        <v>543</v>
      </c>
    </row>
    <row r="1330" spans="1:23" ht="12">
      <c r="A1330" s="8"/>
      <c r="B1330" s="8"/>
      <c r="C1330" s="26">
        <v>4308</v>
      </c>
      <c r="D1330" s="27" t="s">
        <v>154</v>
      </c>
      <c r="E1330" s="11"/>
      <c r="F1330" s="11"/>
      <c r="G1330" s="12"/>
      <c r="H1330" s="12"/>
      <c r="I1330" s="12"/>
      <c r="J1330" s="12">
        <v>0</v>
      </c>
      <c r="K1330" s="12">
        <v>0</v>
      </c>
      <c r="L1330" s="12">
        <v>0</v>
      </c>
      <c r="M1330" s="12"/>
      <c r="N1330" s="12">
        <v>0</v>
      </c>
      <c r="O1330" s="12">
        <v>274840</v>
      </c>
      <c r="P1330" s="12">
        <v>27978</v>
      </c>
      <c r="Q1330" s="186">
        <f t="shared" si="153"/>
        <v>0.1017974094018338</v>
      </c>
      <c r="R1330" s="12">
        <v>274840</v>
      </c>
      <c r="S1330" s="12">
        <v>36675</v>
      </c>
      <c r="T1330" s="12">
        <v>63875</v>
      </c>
      <c r="U1330" s="12"/>
      <c r="V1330" s="12"/>
      <c r="W1330" s="32">
        <f t="shared" si="152"/>
        <v>63875</v>
      </c>
    </row>
    <row r="1331" spans="1:23" ht="12">
      <c r="A1331" s="8"/>
      <c r="B1331" s="8"/>
      <c r="C1331" s="26">
        <v>4309</v>
      </c>
      <c r="D1331" s="27" t="s">
        <v>154</v>
      </c>
      <c r="E1331" s="11"/>
      <c r="F1331" s="11"/>
      <c r="G1331" s="12"/>
      <c r="H1331" s="12"/>
      <c r="I1331" s="12"/>
      <c r="J1331" s="12">
        <v>0</v>
      </c>
      <c r="K1331" s="12">
        <v>0</v>
      </c>
      <c r="L1331" s="12">
        <v>0</v>
      </c>
      <c r="M1331" s="12"/>
      <c r="N1331" s="12">
        <v>0</v>
      </c>
      <c r="O1331" s="12">
        <v>48501</v>
      </c>
      <c r="P1331" s="12">
        <v>4937</v>
      </c>
      <c r="Q1331" s="186">
        <f t="shared" si="153"/>
        <v>0.10179171563472918</v>
      </c>
      <c r="R1331" s="12">
        <v>48501</v>
      </c>
      <c r="S1331" s="12">
        <v>6472</v>
      </c>
      <c r="T1331" s="12">
        <v>11272</v>
      </c>
      <c r="U1331" s="12"/>
      <c r="V1331" s="12"/>
      <c r="W1331" s="32">
        <f t="shared" si="152"/>
        <v>11272</v>
      </c>
    </row>
    <row r="1332" spans="1:23" ht="36">
      <c r="A1332" s="8"/>
      <c r="B1332" s="8"/>
      <c r="C1332" s="26">
        <v>4378</v>
      </c>
      <c r="D1332" s="27" t="s">
        <v>135</v>
      </c>
      <c r="E1332" s="11"/>
      <c r="F1332" s="11"/>
      <c r="G1332" s="12"/>
      <c r="H1332" s="12"/>
      <c r="I1332" s="12"/>
      <c r="J1332" s="12"/>
      <c r="K1332" s="12"/>
      <c r="L1332" s="12"/>
      <c r="M1332" s="12"/>
      <c r="N1332" s="12">
        <v>0</v>
      </c>
      <c r="O1332" s="12">
        <v>1850</v>
      </c>
      <c r="P1332" s="12">
        <v>555</v>
      </c>
      <c r="Q1332" s="186">
        <f t="shared" si="153"/>
        <v>0.3</v>
      </c>
      <c r="R1332" s="12">
        <v>1850</v>
      </c>
      <c r="S1332" s="12">
        <v>185</v>
      </c>
      <c r="T1332" s="12">
        <v>185</v>
      </c>
      <c r="U1332" s="12"/>
      <c r="V1332" s="12"/>
      <c r="W1332" s="32">
        <f t="shared" si="152"/>
        <v>185</v>
      </c>
    </row>
    <row r="1333" spans="1:23" ht="36">
      <c r="A1333" s="8"/>
      <c r="B1333" s="8"/>
      <c r="C1333" s="26">
        <v>4379</v>
      </c>
      <c r="D1333" s="27" t="s">
        <v>135</v>
      </c>
      <c r="E1333" s="11"/>
      <c r="F1333" s="11"/>
      <c r="G1333" s="12"/>
      <c r="H1333" s="12"/>
      <c r="I1333" s="12"/>
      <c r="J1333" s="12"/>
      <c r="K1333" s="12"/>
      <c r="L1333" s="12"/>
      <c r="M1333" s="12"/>
      <c r="N1333" s="12">
        <v>0</v>
      </c>
      <c r="O1333" s="12">
        <v>326</v>
      </c>
      <c r="P1333" s="12">
        <v>98</v>
      </c>
      <c r="Q1333" s="186">
        <f t="shared" si="153"/>
        <v>0.3006134969325153</v>
      </c>
      <c r="R1333" s="12">
        <v>326</v>
      </c>
      <c r="S1333" s="12">
        <v>33</v>
      </c>
      <c r="T1333" s="12">
        <v>33</v>
      </c>
      <c r="U1333" s="12"/>
      <c r="V1333" s="12"/>
      <c r="W1333" s="32">
        <f t="shared" si="152"/>
        <v>33</v>
      </c>
    </row>
    <row r="1334" spans="1:23" ht="12">
      <c r="A1334" s="8"/>
      <c r="B1334" s="8"/>
      <c r="C1334" s="26">
        <v>4418</v>
      </c>
      <c r="D1334" s="27" t="s">
        <v>42</v>
      </c>
      <c r="E1334" s="11"/>
      <c r="F1334" s="11"/>
      <c r="G1334" s="12"/>
      <c r="H1334" s="12"/>
      <c r="I1334" s="12"/>
      <c r="J1334" s="12"/>
      <c r="K1334" s="12"/>
      <c r="L1334" s="12"/>
      <c r="M1334" s="12"/>
      <c r="N1334" s="12">
        <v>0</v>
      </c>
      <c r="O1334" s="12">
        <v>1856</v>
      </c>
      <c r="P1334" s="12"/>
      <c r="Q1334" s="186">
        <f t="shared" si="153"/>
        <v>0</v>
      </c>
      <c r="R1334" s="12">
        <v>1856</v>
      </c>
      <c r="S1334" s="12">
        <v>286</v>
      </c>
      <c r="T1334" s="12">
        <v>507</v>
      </c>
      <c r="U1334" s="12"/>
      <c r="V1334" s="12"/>
      <c r="W1334" s="32">
        <f t="shared" si="152"/>
        <v>507</v>
      </c>
    </row>
    <row r="1335" spans="1:23" ht="12">
      <c r="A1335" s="8"/>
      <c r="B1335" s="8"/>
      <c r="C1335" s="26">
        <v>4419</v>
      </c>
      <c r="D1335" s="27" t="s">
        <v>42</v>
      </c>
      <c r="E1335" s="11"/>
      <c r="F1335" s="11"/>
      <c r="G1335" s="12"/>
      <c r="H1335" s="12"/>
      <c r="I1335" s="12"/>
      <c r="J1335" s="12"/>
      <c r="K1335" s="12"/>
      <c r="L1335" s="12"/>
      <c r="M1335" s="12"/>
      <c r="N1335" s="12">
        <v>0</v>
      </c>
      <c r="O1335" s="12">
        <v>328</v>
      </c>
      <c r="P1335" s="12"/>
      <c r="Q1335" s="186">
        <f t="shared" si="153"/>
        <v>0</v>
      </c>
      <c r="R1335" s="12">
        <v>328</v>
      </c>
      <c r="S1335" s="12">
        <v>51</v>
      </c>
      <c r="T1335" s="12">
        <v>90</v>
      </c>
      <c r="U1335" s="12"/>
      <c r="V1335" s="12"/>
      <c r="W1335" s="32">
        <f t="shared" si="152"/>
        <v>90</v>
      </c>
    </row>
    <row r="1336" spans="1:23" ht="36" hidden="1">
      <c r="A1336" s="8"/>
      <c r="B1336" s="8"/>
      <c r="C1336" s="26">
        <v>4748</v>
      </c>
      <c r="D1336" s="27" t="s">
        <v>73</v>
      </c>
      <c r="E1336" s="11"/>
      <c r="F1336" s="11"/>
      <c r="G1336" s="12"/>
      <c r="H1336" s="12"/>
      <c r="I1336" s="12"/>
      <c r="J1336" s="12">
        <v>0</v>
      </c>
      <c r="K1336" s="12">
        <v>0</v>
      </c>
      <c r="L1336" s="12">
        <v>0</v>
      </c>
      <c r="M1336" s="12">
        <v>5663</v>
      </c>
      <c r="N1336" s="12">
        <v>0</v>
      </c>
      <c r="O1336" s="12">
        <v>850</v>
      </c>
      <c r="P1336" s="12"/>
      <c r="Q1336" s="186">
        <f t="shared" si="153"/>
        <v>0</v>
      </c>
      <c r="R1336" s="12">
        <v>850</v>
      </c>
      <c r="S1336" s="12"/>
      <c r="T1336" s="12">
        <v>0</v>
      </c>
      <c r="U1336" s="12"/>
      <c r="V1336" s="12"/>
      <c r="W1336" s="32">
        <f t="shared" si="152"/>
        <v>0</v>
      </c>
    </row>
    <row r="1337" spans="1:23" ht="36" hidden="1">
      <c r="A1337" s="8"/>
      <c r="B1337" s="8"/>
      <c r="C1337" s="26">
        <v>4749</v>
      </c>
      <c r="D1337" s="27" t="s">
        <v>73</v>
      </c>
      <c r="E1337" s="11"/>
      <c r="F1337" s="11"/>
      <c r="G1337" s="12"/>
      <c r="H1337" s="12"/>
      <c r="I1337" s="12"/>
      <c r="J1337" s="12">
        <v>0</v>
      </c>
      <c r="K1337" s="12">
        <v>0</v>
      </c>
      <c r="L1337" s="12">
        <v>0</v>
      </c>
      <c r="M1337" s="12">
        <v>999</v>
      </c>
      <c r="N1337" s="12">
        <v>0</v>
      </c>
      <c r="O1337" s="12">
        <v>150</v>
      </c>
      <c r="P1337" s="12"/>
      <c r="Q1337" s="186">
        <f t="shared" si="153"/>
        <v>0</v>
      </c>
      <c r="R1337" s="12">
        <v>150</v>
      </c>
      <c r="S1337" s="12"/>
      <c r="T1337" s="12">
        <v>0</v>
      </c>
      <c r="U1337" s="12"/>
      <c r="V1337" s="12"/>
      <c r="W1337" s="32">
        <f t="shared" si="152"/>
        <v>0</v>
      </c>
    </row>
    <row r="1338" spans="1:23" ht="24" hidden="1">
      <c r="A1338" s="8"/>
      <c r="B1338" s="8"/>
      <c r="C1338" s="26">
        <v>4758</v>
      </c>
      <c r="D1338" s="27" t="s">
        <v>118</v>
      </c>
      <c r="E1338" s="11"/>
      <c r="F1338" s="11"/>
      <c r="G1338" s="12"/>
      <c r="H1338" s="12"/>
      <c r="I1338" s="12"/>
      <c r="J1338" s="12">
        <v>0</v>
      </c>
      <c r="K1338" s="12">
        <v>0</v>
      </c>
      <c r="L1338" s="12">
        <v>0</v>
      </c>
      <c r="M1338" s="12">
        <v>3655</v>
      </c>
      <c r="N1338" s="12">
        <v>0</v>
      </c>
      <c r="O1338" s="12">
        <v>1275</v>
      </c>
      <c r="P1338" s="12"/>
      <c r="Q1338" s="186">
        <f t="shared" si="153"/>
        <v>0</v>
      </c>
      <c r="R1338" s="12">
        <v>1275</v>
      </c>
      <c r="S1338" s="12"/>
      <c r="T1338" s="12">
        <v>0</v>
      </c>
      <c r="U1338" s="12"/>
      <c r="V1338" s="12"/>
      <c r="W1338" s="32">
        <f t="shared" si="152"/>
        <v>0</v>
      </c>
    </row>
    <row r="1339" spans="1:23" ht="24" hidden="1">
      <c r="A1339" s="8"/>
      <c r="B1339" s="8"/>
      <c r="C1339" s="26">
        <v>4759</v>
      </c>
      <c r="D1339" s="27" t="s">
        <v>118</v>
      </c>
      <c r="E1339" s="11"/>
      <c r="F1339" s="11"/>
      <c r="G1339" s="12"/>
      <c r="H1339" s="12"/>
      <c r="I1339" s="12"/>
      <c r="J1339" s="12">
        <v>0</v>
      </c>
      <c r="K1339" s="12">
        <v>0</v>
      </c>
      <c r="L1339" s="12">
        <v>0</v>
      </c>
      <c r="M1339" s="12">
        <v>645</v>
      </c>
      <c r="N1339" s="12">
        <v>0</v>
      </c>
      <c r="O1339" s="12">
        <v>225</v>
      </c>
      <c r="P1339" s="12"/>
      <c r="Q1339" s="186">
        <f t="shared" si="153"/>
        <v>0</v>
      </c>
      <c r="R1339" s="12">
        <v>225</v>
      </c>
      <c r="S1339" s="12"/>
      <c r="T1339" s="12">
        <v>0</v>
      </c>
      <c r="U1339" s="12"/>
      <c r="V1339" s="12"/>
      <c r="W1339" s="32">
        <f t="shared" si="152"/>
        <v>0</v>
      </c>
    </row>
    <row r="1340" spans="1:23" ht="48" hidden="1">
      <c r="A1340" s="8"/>
      <c r="B1340" s="8"/>
      <c r="C1340" s="26"/>
      <c r="D1340" s="261" t="s">
        <v>313</v>
      </c>
      <c r="E1340" s="35"/>
      <c r="F1340" s="35"/>
      <c r="G1340" s="37"/>
      <c r="H1340" s="37"/>
      <c r="I1340" s="37"/>
      <c r="J1340" s="37"/>
      <c r="K1340" s="37"/>
      <c r="L1340" s="37"/>
      <c r="M1340" s="37"/>
      <c r="N1340" s="37">
        <v>0</v>
      </c>
      <c r="O1340" s="37">
        <v>159302</v>
      </c>
      <c r="P1340" s="37">
        <f>SUM(P1341:P1360)</f>
        <v>2596</v>
      </c>
      <c r="Q1340" s="186">
        <f t="shared" si="153"/>
        <v>0.01629609170004143</v>
      </c>
      <c r="R1340" s="37">
        <f>SUM(R1341:R1360)</f>
        <v>0</v>
      </c>
      <c r="S1340" s="37">
        <f>SUM(S1341:S1360)</f>
        <v>0</v>
      </c>
      <c r="T1340" s="37">
        <v>0</v>
      </c>
      <c r="U1340" s="37">
        <f>SUM(U1341:U1360)</f>
        <v>0</v>
      </c>
      <c r="V1340" s="37">
        <f>SUM(V1341:V1360)</f>
        <v>0</v>
      </c>
      <c r="W1340" s="32">
        <f t="shared" si="152"/>
        <v>0</v>
      </c>
    </row>
    <row r="1341" spans="1:23" ht="12" hidden="1">
      <c r="A1341" s="8"/>
      <c r="B1341" s="8"/>
      <c r="C1341" s="262">
        <v>3118</v>
      </c>
      <c r="D1341" s="258" t="s">
        <v>179</v>
      </c>
      <c r="E1341" s="11"/>
      <c r="F1341" s="11"/>
      <c r="G1341" s="12"/>
      <c r="H1341" s="12"/>
      <c r="I1341" s="12"/>
      <c r="J1341" s="12"/>
      <c r="K1341" s="12"/>
      <c r="L1341" s="12"/>
      <c r="M1341" s="12"/>
      <c r="N1341" s="12">
        <v>0</v>
      </c>
      <c r="O1341" s="12">
        <v>14218</v>
      </c>
      <c r="P1341" s="12"/>
      <c r="Q1341" s="186">
        <f t="shared" si="153"/>
        <v>0</v>
      </c>
      <c r="R1341" s="12"/>
      <c r="S1341" s="12"/>
      <c r="T1341" s="12">
        <v>0</v>
      </c>
      <c r="U1341" s="12"/>
      <c r="V1341" s="12"/>
      <c r="W1341" s="32">
        <f t="shared" si="152"/>
        <v>0</v>
      </c>
    </row>
    <row r="1342" spans="1:23" ht="12" hidden="1">
      <c r="A1342" s="8"/>
      <c r="B1342" s="8"/>
      <c r="C1342" s="262">
        <v>3119</v>
      </c>
      <c r="D1342" s="258" t="s">
        <v>179</v>
      </c>
      <c r="E1342" s="11"/>
      <c r="F1342" s="11"/>
      <c r="G1342" s="12"/>
      <c r="H1342" s="12"/>
      <c r="I1342" s="12"/>
      <c r="J1342" s="12"/>
      <c r="K1342" s="12"/>
      <c r="L1342" s="12"/>
      <c r="M1342" s="12"/>
      <c r="N1342" s="12">
        <v>0</v>
      </c>
      <c r="O1342" s="12">
        <v>2509</v>
      </c>
      <c r="P1342" s="12"/>
      <c r="Q1342" s="186">
        <f t="shared" si="153"/>
        <v>0</v>
      </c>
      <c r="R1342" s="12"/>
      <c r="S1342" s="12"/>
      <c r="T1342" s="12">
        <v>0</v>
      </c>
      <c r="U1342" s="12"/>
      <c r="V1342" s="12"/>
      <c r="W1342" s="32">
        <f t="shared" si="152"/>
        <v>0</v>
      </c>
    </row>
    <row r="1343" spans="1:23" ht="24" hidden="1">
      <c r="A1343" s="8"/>
      <c r="B1343" s="8"/>
      <c r="C1343" s="262">
        <v>4018</v>
      </c>
      <c r="D1343" s="258" t="s">
        <v>29</v>
      </c>
      <c r="E1343" s="11"/>
      <c r="F1343" s="11"/>
      <c r="G1343" s="12"/>
      <c r="H1343" s="12"/>
      <c r="I1343" s="12"/>
      <c r="J1343" s="12"/>
      <c r="K1343" s="12"/>
      <c r="L1343" s="12"/>
      <c r="M1343" s="12"/>
      <c r="N1343" s="12">
        <v>0</v>
      </c>
      <c r="O1343" s="12">
        <v>25952</v>
      </c>
      <c r="P1343" s="12">
        <v>2090</v>
      </c>
      <c r="Q1343" s="186">
        <f t="shared" si="153"/>
        <v>0.08053329223181258</v>
      </c>
      <c r="R1343" s="12"/>
      <c r="S1343" s="12"/>
      <c r="T1343" s="12">
        <v>0</v>
      </c>
      <c r="U1343" s="12"/>
      <c r="V1343" s="12"/>
      <c r="W1343" s="32">
        <f t="shared" si="152"/>
        <v>0</v>
      </c>
    </row>
    <row r="1344" spans="1:23" ht="24" hidden="1">
      <c r="A1344" s="8"/>
      <c r="B1344" s="8"/>
      <c r="C1344" s="262">
        <v>4019</v>
      </c>
      <c r="D1344" s="258" t="s">
        <v>29</v>
      </c>
      <c r="E1344" s="11"/>
      <c r="F1344" s="11"/>
      <c r="G1344" s="12"/>
      <c r="H1344" s="12"/>
      <c r="I1344" s="12"/>
      <c r="J1344" s="12"/>
      <c r="K1344" s="12"/>
      <c r="L1344" s="12"/>
      <c r="M1344" s="12"/>
      <c r="N1344" s="12">
        <v>0</v>
      </c>
      <c r="O1344" s="12">
        <v>4580</v>
      </c>
      <c r="P1344" s="12">
        <v>110</v>
      </c>
      <c r="Q1344" s="186">
        <f t="shared" si="153"/>
        <v>0.024017467248908297</v>
      </c>
      <c r="R1344" s="12"/>
      <c r="S1344" s="12"/>
      <c r="T1344" s="12">
        <v>0</v>
      </c>
      <c r="U1344" s="12"/>
      <c r="V1344" s="12"/>
      <c r="W1344" s="32">
        <f t="shared" si="152"/>
        <v>0</v>
      </c>
    </row>
    <row r="1345" spans="1:23" ht="24" hidden="1">
      <c r="A1345" s="8"/>
      <c r="B1345" s="8"/>
      <c r="C1345" s="262">
        <v>4118</v>
      </c>
      <c r="D1345" s="258" t="s">
        <v>31</v>
      </c>
      <c r="E1345" s="11"/>
      <c r="F1345" s="11"/>
      <c r="G1345" s="12"/>
      <c r="H1345" s="12"/>
      <c r="I1345" s="12"/>
      <c r="J1345" s="12"/>
      <c r="K1345" s="12"/>
      <c r="L1345" s="12"/>
      <c r="M1345" s="12"/>
      <c r="N1345" s="12">
        <v>0</v>
      </c>
      <c r="O1345" s="12">
        <v>3968</v>
      </c>
      <c r="P1345" s="12">
        <v>325</v>
      </c>
      <c r="Q1345" s="186">
        <f t="shared" si="153"/>
        <v>0.08190524193548387</v>
      </c>
      <c r="R1345" s="12"/>
      <c r="S1345" s="12"/>
      <c r="T1345" s="12">
        <v>0</v>
      </c>
      <c r="U1345" s="12"/>
      <c r="V1345" s="12"/>
      <c r="W1345" s="32">
        <f t="shared" si="152"/>
        <v>0</v>
      </c>
    </row>
    <row r="1346" spans="1:23" ht="24" hidden="1">
      <c r="A1346" s="8"/>
      <c r="B1346" s="8"/>
      <c r="C1346" s="262">
        <v>4119</v>
      </c>
      <c r="D1346" s="258" t="s">
        <v>31</v>
      </c>
      <c r="E1346" s="11"/>
      <c r="F1346" s="11"/>
      <c r="G1346" s="12"/>
      <c r="H1346" s="12"/>
      <c r="I1346" s="12"/>
      <c r="J1346" s="12"/>
      <c r="K1346" s="12"/>
      <c r="L1346" s="12"/>
      <c r="M1346" s="12"/>
      <c r="N1346" s="12">
        <v>0</v>
      </c>
      <c r="O1346" s="12">
        <v>700</v>
      </c>
      <c r="P1346" s="12">
        <v>17</v>
      </c>
      <c r="Q1346" s="186">
        <f t="shared" si="153"/>
        <v>0.024285714285714285</v>
      </c>
      <c r="R1346" s="12"/>
      <c r="S1346" s="12"/>
      <c r="T1346" s="12">
        <v>0</v>
      </c>
      <c r="U1346" s="12"/>
      <c r="V1346" s="12"/>
      <c r="W1346" s="32">
        <f t="shared" si="152"/>
        <v>0</v>
      </c>
    </row>
    <row r="1347" spans="1:23" ht="12" hidden="1">
      <c r="A1347" s="8"/>
      <c r="B1347" s="8"/>
      <c r="C1347" s="262">
        <v>4128</v>
      </c>
      <c r="D1347" s="258" t="s">
        <v>32</v>
      </c>
      <c r="E1347" s="11"/>
      <c r="F1347" s="11"/>
      <c r="G1347" s="12"/>
      <c r="H1347" s="12"/>
      <c r="I1347" s="12"/>
      <c r="J1347" s="12"/>
      <c r="K1347" s="12"/>
      <c r="L1347" s="12"/>
      <c r="M1347" s="12"/>
      <c r="N1347" s="12">
        <v>0</v>
      </c>
      <c r="O1347" s="12">
        <v>636</v>
      </c>
      <c r="P1347" s="12">
        <v>51</v>
      </c>
      <c r="Q1347" s="186">
        <f t="shared" si="153"/>
        <v>0.08018867924528301</v>
      </c>
      <c r="R1347" s="12"/>
      <c r="S1347" s="12"/>
      <c r="T1347" s="12">
        <v>0</v>
      </c>
      <c r="U1347" s="12"/>
      <c r="V1347" s="12"/>
      <c r="W1347" s="32">
        <f t="shared" si="152"/>
        <v>0</v>
      </c>
    </row>
    <row r="1348" spans="1:23" ht="12" hidden="1">
      <c r="A1348" s="8"/>
      <c r="B1348" s="8"/>
      <c r="C1348" s="262">
        <v>4129</v>
      </c>
      <c r="D1348" s="258" t="s">
        <v>32</v>
      </c>
      <c r="E1348" s="11"/>
      <c r="F1348" s="11"/>
      <c r="G1348" s="12"/>
      <c r="H1348" s="12"/>
      <c r="I1348" s="12"/>
      <c r="J1348" s="12"/>
      <c r="K1348" s="12"/>
      <c r="L1348" s="12"/>
      <c r="M1348" s="12"/>
      <c r="N1348" s="12">
        <v>0</v>
      </c>
      <c r="O1348" s="12">
        <v>112</v>
      </c>
      <c r="P1348" s="12">
        <v>3</v>
      </c>
      <c r="Q1348" s="186">
        <f t="shared" si="153"/>
        <v>0.026785714285714284</v>
      </c>
      <c r="R1348" s="12"/>
      <c r="S1348" s="12"/>
      <c r="T1348" s="12">
        <v>0</v>
      </c>
      <c r="U1348" s="12"/>
      <c r="V1348" s="12"/>
      <c r="W1348" s="32">
        <f t="shared" si="152"/>
        <v>0</v>
      </c>
    </row>
    <row r="1349" spans="1:23" ht="12" hidden="1">
      <c r="A1349" s="8"/>
      <c r="B1349" s="8"/>
      <c r="C1349" s="262">
        <v>4218</v>
      </c>
      <c r="D1349" s="258" t="s">
        <v>34</v>
      </c>
      <c r="E1349" s="11"/>
      <c r="F1349" s="11"/>
      <c r="G1349" s="12"/>
      <c r="H1349" s="12"/>
      <c r="I1349" s="12"/>
      <c r="J1349" s="12"/>
      <c r="K1349" s="12"/>
      <c r="L1349" s="12"/>
      <c r="M1349" s="12"/>
      <c r="N1349" s="12">
        <v>0</v>
      </c>
      <c r="O1349" s="12">
        <v>5202</v>
      </c>
      <c r="P1349" s="12"/>
      <c r="Q1349" s="186">
        <f t="shared" si="153"/>
        <v>0</v>
      </c>
      <c r="R1349" s="12"/>
      <c r="S1349" s="12"/>
      <c r="T1349" s="12">
        <v>0</v>
      </c>
      <c r="U1349" s="12"/>
      <c r="V1349" s="12"/>
      <c r="W1349" s="32">
        <f t="shared" si="152"/>
        <v>0</v>
      </c>
    </row>
    <row r="1350" spans="1:23" ht="12" hidden="1">
      <c r="A1350" s="8"/>
      <c r="B1350" s="8"/>
      <c r="C1350" s="262">
        <v>4219</v>
      </c>
      <c r="D1350" s="258" t="s">
        <v>34</v>
      </c>
      <c r="E1350" s="11"/>
      <c r="F1350" s="11"/>
      <c r="G1350" s="12"/>
      <c r="H1350" s="12"/>
      <c r="I1350" s="12"/>
      <c r="J1350" s="12"/>
      <c r="K1350" s="12"/>
      <c r="L1350" s="12"/>
      <c r="M1350" s="12"/>
      <c r="N1350" s="12">
        <v>0</v>
      </c>
      <c r="O1350" s="12">
        <v>918</v>
      </c>
      <c r="P1350" s="12"/>
      <c r="Q1350" s="186">
        <f t="shared" si="153"/>
        <v>0</v>
      </c>
      <c r="R1350" s="12"/>
      <c r="S1350" s="12"/>
      <c r="T1350" s="12">
        <v>0</v>
      </c>
      <c r="U1350" s="12"/>
      <c r="V1350" s="12"/>
      <c r="W1350" s="32">
        <f t="shared" si="152"/>
        <v>0</v>
      </c>
    </row>
    <row r="1351" spans="1:23" ht="12" hidden="1">
      <c r="A1351" s="8"/>
      <c r="B1351" s="8"/>
      <c r="C1351" s="262">
        <v>4308</v>
      </c>
      <c r="D1351" s="258" t="s">
        <v>258</v>
      </c>
      <c r="E1351" s="11"/>
      <c r="F1351" s="11"/>
      <c r="G1351" s="12"/>
      <c r="H1351" s="12"/>
      <c r="I1351" s="12"/>
      <c r="J1351" s="12"/>
      <c r="K1351" s="12"/>
      <c r="L1351" s="12"/>
      <c r="M1351" s="12"/>
      <c r="N1351" s="12">
        <v>0</v>
      </c>
      <c r="O1351" s="12">
        <v>74491</v>
      </c>
      <c r="P1351" s="12"/>
      <c r="Q1351" s="186">
        <f t="shared" si="153"/>
        <v>0</v>
      </c>
      <c r="R1351" s="12"/>
      <c r="S1351" s="12"/>
      <c r="T1351" s="12">
        <v>0</v>
      </c>
      <c r="U1351" s="12"/>
      <c r="V1351" s="12"/>
      <c r="W1351" s="32">
        <f t="shared" si="152"/>
        <v>0</v>
      </c>
    </row>
    <row r="1352" spans="1:23" ht="12" hidden="1">
      <c r="A1352" s="8"/>
      <c r="B1352" s="8"/>
      <c r="C1352" s="262">
        <v>4309</v>
      </c>
      <c r="D1352" s="258" t="s">
        <v>258</v>
      </c>
      <c r="E1352" s="11"/>
      <c r="F1352" s="11"/>
      <c r="G1352" s="12"/>
      <c r="H1352" s="12"/>
      <c r="I1352" s="12"/>
      <c r="J1352" s="12"/>
      <c r="K1352" s="12"/>
      <c r="L1352" s="12"/>
      <c r="M1352" s="12"/>
      <c r="N1352" s="12">
        <v>0</v>
      </c>
      <c r="O1352" s="12">
        <v>13146</v>
      </c>
      <c r="P1352" s="12"/>
      <c r="Q1352" s="186">
        <f t="shared" si="153"/>
        <v>0</v>
      </c>
      <c r="R1352" s="12"/>
      <c r="S1352" s="12"/>
      <c r="T1352" s="12">
        <v>0</v>
      </c>
      <c r="U1352" s="12"/>
      <c r="V1352" s="12"/>
      <c r="W1352" s="32">
        <f t="shared" si="152"/>
        <v>0</v>
      </c>
    </row>
    <row r="1353" spans="1:23" ht="36" hidden="1">
      <c r="A1353" s="8"/>
      <c r="B1353" s="8"/>
      <c r="C1353" s="262">
        <v>4408</v>
      </c>
      <c r="D1353" s="46" t="s">
        <v>72</v>
      </c>
      <c r="E1353" s="11"/>
      <c r="F1353" s="11"/>
      <c r="G1353" s="12"/>
      <c r="H1353" s="12"/>
      <c r="I1353" s="12"/>
      <c r="J1353" s="12"/>
      <c r="K1353" s="12"/>
      <c r="L1353" s="12"/>
      <c r="M1353" s="12"/>
      <c r="N1353" s="12">
        <v>0</v>
      </c>
      <c r="O1353" s="12">
        <v>5330</v>
      </c>
      <c r="P1353" s="12"/>
      <c r="Q1353" s="186">
        <f t="shared" si="153"/>
        <v>0</v>
      </c>
      <c r="R1353" s="12"/>
      <c r="S1353" s="12"/>
      <c r="T1353" s="12">
        <v>0</v>
      </c>
      <c r="U1353" s="12"/>
      <c r="V1353" s="12"/>
      <c r="W1353" s="32">
        <f t="shared" si="152"/>
        <v>0</v>
      </c>
    </row>
    <row r="1354" spans="1:23" ht="36" hidden="1">
      <c r="A1354" s="8"/>
      <c r="B1354" s="8"/>
      <c r="C1354" s="262">
        <v>4409</v>
      </c>
      <c r="D1354" s="46" t="s">
        <v>72</v>
      </c>
      <c r="E1354" s="11"/>
      <c r="F1354" s="11"/>
      <c r="G1354" s="12"/>
      <c r="H1354" s="12"/>
      <c r="I1354" s="12"/>
      <c r="J1354" s="12"/>
      <c r="K1354" s="12"/>
      <c r="L1354" s="12"/>
      <c r="M1354" s="12"/>
      <c r="N1354" s="12">
        <v>0</v>
      </c>
      <c r="O1354" s="12">
        <v>940</v>
      </c>
      <c r="P1354" s="12"/>
      <c r="Q1354" s="186">
        <f t="shared" si="153"/>
        <v>0</v>
      </c>
      <c r="R1354" s="12"/>
      <c r="S1354" s="12"/>
      <c r="T1354" s="12">
        <v>0</v>
      </c>
      <c r="U1354" s="12"/>
      <c r="V1354" s="12"/>
      <c r="W1354" s="32">
        <f t="shared" si="152"/>
        <v>0</v>
      </c>
    </row>
    <row r="1355" spans="1:23" ht="12" hidden="1">
      <c r="A1355" s="8"/>
      <c r="B1355" s="8"/>
      <c r="C1355" s="262">
        <v>4438</v>
      </c>
      <c r="D1355" s="258" t="s">
        <v>43</v>
      </c>
      <c r="E1355" s="11"/>
      <c r="F1355" s="11"/>
      <c r="G1355" s="12"/>
      <c r="H1355" s="12"/>
      <c r="I1355" s="12"/>
      <c r="J1355" s="12"/>
      <c r="K1355" s="12"/>
      <c r="L1355" s="12"/>
      <c r="M1355" s="12"/>
      <c r="N1355" s="12">
        <v>0</v>
      </c>
      <c r="O1355" s="12">
        <v>510</v>
      </c>
      <c r="P1355" s="12"/>
      <c r="Q1355" s="186">
        <f t="shared" si="153"/>
        <v>0</v>
      </c>
      <c r="R1355" s="12"/>
      <c r="S1355" s="12"/>
      <c r="T1355" s="12">
        <v>0</v>
      </c>
      <c r="U1355" s="12"/>
      <c r="V1355" s="12"/>
      <c r="W1355" s="32">
        <f t="shared" si="152"/>
        <v>0</v>
      </c>
    </row>
    <row r="1356" spans="1:23" ht="12" hidden="1">
      <c r="A1356" s="8"/>
      <c r="B1356" s="8"/>
      <c r="C1356" s="262">
        <v>4439</v>
      </c>
      <c r="D1356" s="258" t="s">
        <v>43</v>
      </c>
      <c r="E1356" s="11"/>
      <c r="F1356" s="11"/>
      <c r="G1356" s="12"/>
      <c r="H1356" s="12"/>
      <c r="I1356" s="12"/>
      <c r="J1356" s="12"/>
      <c r="K1356" s="12"/>
      <c r="L1356" s="12"/>
      <c r="M1356" s="12"/>
      <c r="N1356" s="12">
        <v>0</v>
      </c>
      <c r="O1356" s="12">
        <v>90</v>
      </c>
      <c r="P1356" s="12"/>
      <c r="Q1356" s="186">
        <f t="shared" si="153"/>
        <v>0</v>
      </c>
      <c r="R1356" s="12"/>
      <c r="S1356" s="12"/>
      <c r="T1356" s="12">
        <v>0</v>
      </c>
      <c r="U1356" s="12"/>
      <c r="V1356" s="12"/>
      <c r="W1356" s="32">
        <f t="shared" si="152"/>
        <v>0</v>
      </c>
    </row>
    <row r="1357" spans="1:23" ht="36" hidden="1">
      <c r="A1357" s="8"/>
      <c r="B1357" s="8"/>
      <c r="C1357" s="26">
        <v>4748</v>
      </c>
      <c r="D1357" s="27" t="s">
        <v>73</v>
      </c>
      <c r="E1357" s="11"/>
      <c r="F1357" s="11"/>
      <c r="G1357" s="12"/>
      <c r="H1357" s="12"/>
      <c r="I1357" s="12"/>
      <c r="J1357" s="12">
        <v>0</v>
      </c>
      <c r="K1357" s="12">
        <v>0</v>
      </c>
      <c r="L1357" s="12">
        <v>0</v>
      </c>
      <c r="M1357" s="12">
        <v>5663</v>
      </c>
      <c r="N1357" s="12">
        <v>0</v>
      </c>
      <c r="O1357" s="12">
        <v>1700</v>
      </c>
      <c r="P1357" s="12"/>
      <c r="Q1357" s="186">
        <f t="shared" si="153"/>
        <v>0</v>
      </c>
      <c r="R1357" s="12"/>
      <c r="S1357" s="12"/>
      <c r="T1357" s="12">
        <v>0</v>
      </c>
      <c r="U1357" s="12"/>
      <c r="V1357" s="12"/>
      <c r="W1357" s="32">
        <f t="shared" si="152"/>
        <v>0</v>
      </c>
    </row>
    <row r="1358" spans="1:23" ht="36" hidden="1">
      <c r="A1358" s="8"/>
      <c r="B1358" s="8"/>
      <c r="C1358" s="26">
        <v>4749</v>
      </c>
      <c r="D1358" s="27" t="s">
        <v>73</v>
      </c>
      <c r="E1358" s="11"/>
      <c r="F1358" s="11"/>
      <c r="G1358" s="12"/>
      <c r="H1358" s="12"/>
      <c r="I1358" s="12"/>
      <c r="J1358" s="12">
        <v>0</v>
      </c>
      <c r="K1358" s="12">
        <v>0</v>
      </c>
      <c r="L1358" s="12">
        <v>0</v>
      </c>
      <c r="M1358" s="12">
        <v>999</v>
      </c>
      <c r="N1358" s="12">
        <v>0</v>
      </c>
      <c r="O1358" s="12">
        <v>300</v>
      </c>
      <c r="P1358" s="12"/>
      <c r="Q1358" s="186">
        <f t="shared" si="153"/>
        <v>0</v>
      </c>
      <c r="R1358" s="12"/>
      <c r="S1358" s="12"/>
      <c r="T1358" s="12">
        <v>0</v>
      </c>
      <c r="U1358" s="12"/>
      <c r="V1358" s="12"/>
      <c r="W1358" s="32">
        <f t="shared" si="152"/>
        <v>0</v>
      </c>
    </row>
    <row r="1359" spans="1:23" ht="24" hidden="1">
      <c r="A1359" s="8"/>
      <c r="B1359" s="8"/>
      <c r="C1359" s="262">
        <v>4758</v>
      </c>
      <c r="D1359" s="263" t="s">
        <v>118</v>
      </c>
      <c r="E1359" s="11"/>
      <c r="F1359" s="11"/>
      <c r="G1359" s="12"/>
      <c r="H1359" s="12"/>
      <c r="I1359" s="12"/>
      <c r="J1359" s="12"/>
      <c r="K1359" s="12"/>
      <c r="L1359" s="12"/>
      <c r="M1359" s="12"/>
      <c r="N1359" s="12">
        <v>0</v>
      </c>
      <c r="O1359" s="12">
        <v>3400</v>
      </c>
      <c r="P1359" s="12"/>
      <c r="Q1359" s="186">
        <f t="shared" si="153"/>
        <v>0</v>
      </c>
      <c r="R1359" s="12"/>
      <c r="S1359" s="12"/>
      <c r="T1359" s="12">
        <v>0</v>
      </c>
      <c r="U1359" s="12"/>
      <c r="V1359" s="12"/>
      <c r="W1359" s="32">
        <f t="shared" si="152"/>
        <v>0</v>
      </c>
    </row>
    <row r="1360" spans="1:23" ht="24" hidden="1">
      <c r="A1360" s="8"/>
      <c r="B1360" s="8"/>
      <c r="C1360" s="262">
        <v>4759</v>
      </c>
      <c r="D1360" s="263" t="s">
        <v>118</v>
      </c>
      <c r="E1360" s="11"/>
      <c r="F1360" s="11"/>
      <c r="G1360" s="12"/>
      <c r="H1360" s="12"/>
      <c r="I1360" s="12"/>
      <c r="J1360" s="12"/>
      <c r="K1360" s="12"/>
      <c r="L1360" s="12"/>
      <c r="M1360" s="12"/>
      <c r="N1360" s="12">
        <v>0</v>
      </c>
      <c r="O1360" s="12">
        <v>600</v>
      </c>
      <c r="P1360" s="12"/>
      <c r="Q1360" s="186">
        <f t="shared" si="153"/>
        <v>0</v>
      </c>
      <c r="R1360" s="12"/>
      <c r="S1360" s="12"/>
      <c r="T1360" s="12">
        <v>0</v>
      </c>
      <c r="U1360" s="12"/>
      <c r="V1360" s="12"/>
      <c r="W1360" s="32">
        <f t="shared" si="152"/>
        <v>0</v>
      </c>
    </row>
    <row r="1361" spans="1:23" ht="90" thickBot="1">
      <c r="A1361" s="8"/>
      <c r="B1361" s="8"/>
      <c r="C1361" s="262"/>
      <c r="D1361" s="264" t="s">
        <v>366</v>
      </c>
      <c r="E1361" s="11"/>
      <c r="F1361" s="11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86"/>
      <c r="R1361" s="12">
        <f>SUM(R1362:R1381)</f>
        <v>553613.05</v>
      </c>
      <c r="S1361" s="12">
        <f>SUM(S1362:S1381)</f>
        <v>960845.9899999995</v>
      </c>
      <c r="T1361" s="37">
        <v>1423151</v>
      </c>
      <c r="U1361" s="37">
        <f>SUM(U1362:U1381)</f>
        <v>0</v>
      </c>
      <c r="V1361" s="37">
        <f>SUM(V1362:V1381)</f>
        <v>0</v>
      </c>
      <c r="W1361" s="32">
        <f t="shared" si="152"/>
        <v>1423151</v>
      </c>
    </row>
    <row r="1362" spans="1:23" ht="25.5">
      <c r="A1362" s="8"/>
      <c r="B1362" s="8"/>
      <c r="C1362" s="265">
        <v>4018</v>
      </c>
      <c r="D1362" s="266" t="s">
        <v>29</v>
      </c>
      <c r="E1362" s="11"/>
      <c r="F1362" s="11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86"/>
      <c r="R1362" s="267">
        <v>14212.42774566474</v>
      </c>
      <c r="S1362" s="268">
        <v>40513.00578034682</v>
      </c>
      <c r="T1362" s="268">
        <v>43296</v>
      </c>
      <c r="U1362" s="268"/>
      <c r="V1362" s="268"/>
      <c r="W1362" s="32">
        <f t="shared" si="152"/>
        <v>43296</v>
      </c>
    </row>
    <row r="1363" spans="1:23" ht="25.5">
      <c r="A1363" s="8"/>
      <c r="B1363" s="8"/>
      <c r="C1363" s="269">
        <v>4019</v>
      </c>
      <c r="D1363" s="266" t="s">
        <v>29</v>
      </c>
      <c r="E1363" s="11"/>
      <c r="F1363" s="11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86"/>
      <c r="R1363" s="270">
        <v>2508.0754845290717</v>
      </c>
      <c r="S1363" s="271">
        <v>7149.353961237674</v>
      </c>
      <c r="T1363" s="271">
        <v>7640</v>
      </c>
      <c r="U1363" s="271"/>
      <c r="V1363" s="271"/>
      <c r="W1363" s="32">
        <f t="shared" si="152"/>
        <v>7640</v>
      </c>
    </row>
    <row r="1364" spans="1:23" ht="12.75">
      <c r="A1364" s="8"/>
      <c r="B1364" s="8"/>
      <c r="C1364" s="272">
        <v>4178</v>
      </c>
      <c r="D1364" s="273" t="s">
        <v>210</v>
      </c>
      <c r="E1364" s="11"/>
      <c r="F1364" s="11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86"/>
      <c r="R1364" s="270">
        <v>233063.583815029</v>
      </c>
      <c r="S1364" s="271">
        <v>601018.7861271669</v>
      </c>
      <c r="T1364" s="271">
        <v>944937</v>
      </c>
      <c r="U1364" s="271"/>
      <c r="V1364" s="271"/>
      <c r="W1364" s="32">
        <f t="shared" si="152"/>
        <v>944937</v>
      </c>
    </row>
    <row r="1365" spans="1:23" ht="12.75">
      <c r="A1365" s="8"/>
      <c r="B1365" s="8"/>
      <c r="C1365" s="272">
        <v>4179</v>
      </c>
      <c r="D1365" s="274" t="s">
        <v>210</v>
      </c>
      <c r="E1365" s="11"/>
      <c r="F1365" s="11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86"/>
      <c r="R1365" s="268">
        <v>41128.867732063954</v>
      </c>
      <c r="S1365" s="275">
        <v>106062.13872832358</v>
      </c>
      <c r="T1365" s="275">
        <v>166754</v>
      </c>
      <c r="U1365" s="275"/>
      <c r="V1365" s="275"/>
      <c r="W1365" s="32">
        <f t="shared" si="152"/>
        <v>166754</v>
      </c>
    </row>
    <row r="1366" spans="1:23" ht="25.5">
      <c r="A1366" s="8"/>
      <c r="B1366" s="8"/>
      <c r="C1366" s="272">
        <v>4118</v>
      </c>
      <c r="D1366" s="274" t="s">
        <v>31</v>
      </c>
      <c r="E1366" s="11"/>
      <c r="F1366" s="11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86"/>
      <c r="R1366" s="276">
        <v>37561.22615606934</v>
      </c>
      <c r="S1366" s="277">
        <v>97448.67919075149</v>
      </c>
      <c r="T1366" s="277">
        <v>10118</v>
      </c>
      <c r="U1366" s="277"/>
      <c r="V1366" s="277"/>
      <c r="W1366" s="32">
        <f t="shared" si="152"/>
        <v>10118</v>
      </c>
    </row>
    <row r="1367" spans="1:23" ht="25.5">
      <c r="A1367" s="8"/>
      <c r="B1367" s="8"/>
      <c r="C1367" s="272">
        <v>4119</v>
      </c>
      <c r="D1367" s="274" t="s">
        <v>31</v>
      </c>
      <c r="E1367" s="11"/>
      <c r="F1367" s="11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86"/>
      <c r="R1367" s="276">
        <v>6628.451674600471</v>
      </c>
      <c r="S1367" s="277">
        <v>17196.82573954438</v>
      </c>
      <c r="T1367" s="277">
        <v>1785</v>
      </c>
      <c r="U1367" s="277"/>
      <c r="V1367" s="277"/>
      <c r="W1367" s="32">
        <f t="shared" si="152"/>
        <v>1785</v>
      </c>
    </row>
    <row r="1368" spans="1:23" ht="12.75">
      <c r="A1368" s="8"/>
      <c r="B1368" s="8"/>
      <c r="C1368" s="272">
        <v>4128</v>
      </c>
      <c r="D1368" s="274" t="s">
        <v>32</v>
      </c>
      <c r="E1368" s="11"/>
      <c r="F1368" s="11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86"/>
      <c r="R1368" s="276">
        <v>6058.262283236988</v>
      </c>
      <c r="S1368" s="277">
        <v>15717.52890173411</v>
      </c>
      <c r="T1368" s="277">
        <v>1632</v>
      </c>
      <c r="U1368" s="277"/>
      <c r="V1368" s="277"/>
      <c r="W1368" s="32">
        <f t="shared" si="152"/>
        <v>1632</v>
      </c>
    </row>
    <row r="1369" spans="1:23" ht="13.5" thickBot="1">
      <c r="A1369" s="8"/>
      <c r="B1369" s="8"/>
      <c r="C1369" s="278">
        <v>4129</v>
      </c>
      <c r="D1369" s="279" t="s">
        <v>32</v>
      </c>
      <c r="E1369" s="11"/>
      <c r="F1369" s="11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86"/>
      <c r="R1369" s="280">
        <v>1069.1051088065274</v>
      </c>
      <c r="S1369" s="281">
        <v>2773.6815708942545</v>
      </c>
      <c r="T1369" s="281">
        <v>288</v>
      </c>
      <c r="U1369" s="281"/>
      <c r="V1369" s="281"/>
      <c r="W1369" s="32">
        <f t="shared" si="152"/>
        <v>288</v>
      </c>
    </row>
    <row r="1370" spans="1:23" ht="12.75">
      <c r="A1370" s="8"/>
      <c r="B1370" s="8"/>
      <c r="C1370" s="282">
        <v>4218</v>
      </c>
      <c r="D1370" s="273" t="s">
        <v>34</v>
      </c>
      <c r="E1370" s="11"/>
      <c r="F1370" s="11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86"/>
      <c r="R1370" s="283">
        <v>92703.023</v>
      </c>
      <c r="S1370" s="268">
        <v>10179.5507</v>
      </c>
      <c r="T1370" s="268">
        <v>85719</v>
      </c>
      <c r="U1370" s="268"/>
      <c r="V1370" s="268"/>
      <c r="W1370" s="32">
        <f t="shared" si="152"/>
        <v>85719</v>
      </c>
    </row>
    <row r="1371" spans="1:23" ht="12.75">
      <c r="A1371" s="8"/>
      <c r="B1371" s="8"/>
      <c r="C1371" s="272">
        <v>4219</v>
      </c>
      <c r="D1371" s="274" t="s">
        <v>34</v>
      </c>
      <c r="E1371" s="11"/>
      <c r="F1371" s="11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86"/>
      <c r="R1371" s="268">
        <v>16359.357</v>
      </c>
      <c r="S1371" s="268">
        <v>1796.3912999999998</v>
      </c>
      <c r="T1371" s="268">
        <v>15128</v>
      </c>
      <c r="U1371" s="268"/>
      <c r="V1371" s="268"/>
      <c r="W1371" s="32">
        <f t="shared" si="152"/>
        <v>15128</v>
      </c>
    </row>
    <row r="1372" spans="1:23" ht="25.5">
      <c r="A1372" s="8"/>
      <c r="B1372" s="8"/>
      <c r="C1372" s="272">
        <v>4248</v>
      </c>
      <c r="D1372" s="274" t="s">
        <v>181</v>
      </c>
      <c r="E1372" s="11"/>
      <c r="F1372" s="11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86"/>
      <c r="R1372" s="283">
        <v>30869.832499999997</v>
      </c>
      <c r="S1372" s="268">
        <v>18493.1525</v>
      </c>
      <c r="T1372" s="268">
        <v>49363</v>
      </c>
      <c r="U1372" s="268"/>
      <c r="V1372" s="268"/>
      <c r="W1372" s="32">
        <f t="shared" si="152"/>
        <v>49363</v>
      </c>
    </row>
    <row r="1373" spans="1:23" ht="25.5">
      <c r="A1373" s="8"/>
      <c r="B1373" s="8"/>
      <c r="C1373" s="272">
        <v>4249</v>
      </c>
      <c r="D1373" s="274" t="s">
        <v>181</v>
      </c>
      <c r="E1373" s="11"/>
      <c r="F1373" s="11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86"/>
      <c r="R1373" s="268">
        <v>5447.617499999999</v>
      </c>
      <c r="S1373" s="268">
        <v>3263.4975</v>
      </c>
      <c r="T1373" s="268">
        <v>8711</v>
      </c>
      <c r="U1373" s="268"/>
      <c r="V1373" s="268"/>
      <c r="W1373" s="32">
        <f t="shared" si="152"/>
        <v>8711</v>
      </c>
    </row>
    <row r="1374" spans="1:23" ht="12.75">
      <c r="A1374" s="8"/>
      <c r="B1374" s="8"/>
      <c r="C1374" s="272">
        <v>4308</v>
      </c>
      <c r="D1374" s="274" t="s">
        <v>81</v>
      </c>
      <c r="E1374" s="11"/>
      <c r="F1374" s="11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86"/>
      <c r="R1374" s="283">
        <v>9851.5</v>
      </c>
      <c r="S1374" s="268">
        <v>7181.6075</v>
      </c>
      <c r="T1374" s="268">
        <v>8966</v>
      </c>
      <c r="U1374" s="268"/>
      <c r="V1374" s="268"/>
      <c r="W1374" s="32">
        <f aca="true" t="shared" si="154" ref="W1374:W1416">T1374+U1374-V1374</f>
        <v>8966</v>
      </c>
    </row>
    <row r="1375" spans="1:23" ht="12.75">
      <c r="A1375" s="8"/>
      <c r="B1375" s="8"/>
      <c r="C1375" s="272">
        <v>4309</v>
      </c>
      <c r="D1375" s="274" t="s">
        <v>81</v>
      </c>
      <c r="E1375" s="11"/>
      <c r="F1375" s="11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86"/>
      <c r="R1375" s="268">
        <v>1738.5</v>
      </c>
      <c r="S1375" s="268">
        <v>1267.3425</v>
      </c>
      <c r="T1375" s="268">
        <v>1582</v>
      </c>
      <c r="U1375" s="268"/>
      <c r="V1375" s="268"/>
      <c r="W1375" s="32">
        <f t="shared" si="154"/>
        <v>1582</v>
      </c>
    </row>
    <row r="1376" spans="1:23" ht="38.25">
      <c r="A1376" s="8"/>
      <c r="B1376" s="8"/>
      <c r="C1376" s="272">
        <v>4748</v>
      </c>
      <c r="D1376" s="192" t="s">
        <v>73</v>
      </c>
      <c r="E1376" s="11"/>
      <c r="F1376" s="11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86"/>
      <c r="R1376" s="283">
        <v>9392.891</v>
      </c>
      <c r="S1376" s="268">
        <v>4067.8288500000003</v>
      </c>
      <c r="T1376" s="268">
        <v>13462</v>
      </c>
      <c r="U1376" s="268"/>
      <c r="V1376" s="268"/>
      <c r="W1376" s="32">
        <f t="shared" si="154"/>
        <v>13462</v>
      </c>
    </row>
    <row r="1377" spans="1:23" ht="38.25">
      <c r="A1377" s="8"/>
      <c r="B1377" s="8"/>
      <c r="C1377" s="284">
        <v>4749</v>
      </c>
      <c r="D1377" s="193" t="s">
        <v>73</v>
      </c>
      <c r="E1377" s="11"/>
      <c r="F1377" s="11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86"/>
      <c r="R1377" s="268">
        <v>1657.5689999999997</v>
      </c>
      <c r="S1377" s="268">
        <v>717.85215</v>
      </c>
      <c r="T1377" s="268">
        <v>2376</v>
      </c>
      <c r="U1377" s="268"/>
      <c r="V1377" s="268"/>
      <c r="W1377" s="32">
        <f t="shared" si="154"/>
        <v>2376</v>
      </c>
    </row>
    <row r="1378" spans="1:23" ht="38.25">
      <c r="A1378" s="8"/>
      <c r="B1378" s="8"/>
      <c r="C1378" s="285">
        <v>4758</v>
      </c>
      <c r="D1378" s="194" t="s">
        <v>118</v>
      </c>
      <c r="E1378" s="11"/>
      <c r="F1378" s="11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86"/>
      <c r="R1378" s="283">
        <v>30058.345999999994</v>
      </c>
      <c r="S1378" s="268">
        <v>18698.95195</v>
      </c>
      <c r="T1378" s="268">
        <v>48757</v>
      </c>
      <c r="U1378" s="268"/>
      <c r="V1378" s="268"/>
      <c r="W1378" s="32">
        <f t="shared" si="154"/>
        <v>48757</v>
      </c>
    </row>
    <row r="1379" spans="1:23" ht="38.25">
      <c r="A1379" s="8"/>
      <c r="B1379" s="8"/>
      <c r="C1379" s="285">
        <v>4759</v>
      </c>
      <c r="D1379" s="192" t="s">
        <v>118</v>
      </c>
      <c r="E1379" s="11"/>
      <c r="F1379" s="11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86"/>
      <c r="R1379" s="268">
        <v>5304.413999999999</v>
      </c>
      <c r="S1379" s="268">
        <v>3299.8150499999997</v>
      </c>
      <c r="T1379" s="268">
        <v>8604</v>
      </c>
      <c r="U1379" s="268"/>
      <c r="V1379" s="268"/>
      <c r="W1379" s="32">
        <f t="shared" si="154"/>
        <v>8604</v>
      </c>
    </row>
    <row r="1380" spans="1:23" ht="25.5">
      <c r="A1380" s="8"/>
      <c r="B1380" s="8"/>
      <c r="C1380" s="285">
        <v>6068</v>
      </c>
      <c r="D1380" s="192" t="s">
        <v>50</v>
      </c>
      <c r="E1380" s="11"/>
      <c r="F1380" s="11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86"/>
      <c r="R1380" s="268">
        <v>6800</v>
      </c>
      <c r="S1380" s="268">
        <v>3400</v>
      </c>
      <c r="T1380" s="268">
        <v>3428</v>
      </c>
      <c r="U1380" s="268"/>
      <c r="V1380" s="268"/>
      <c r="W1380" s="32">
        <f t="shared" si="154"/>
        <v>3428</v>
      </c>
    </row>
    <row r="1381" spans="1:23" ht="26.25" thickBot="1">
      <c r="A1381" s="8"/>
      <c r="B1381" s="8"/>
      <c r="C1381" s="278">
        <v>6069</v>
      </c>
      <c r="D1381" s="192" t="s">
        <v>50</v>
      </c>
      <c r="E1381" s="195"/>
      <c r="F1381" s="195"/>
      <c r="G1381" s="196"/>
      <c r="H1381" s="196"/>
      <c r="I1381" s="196"/>
      <c r="J1381" s="196"/>
      <c r="K1381" s="196"/>
      <c r="L1381" s="196"/>
      <c r="M1381" s="196"/>
      <c r="N1381" s="196"/>
      <c r="O1381" s="196"/>
      <c r="P1381" s="196"/>
      <c r="Q1381" s="186"/>
      <c r="R1381" s="283">
        <v>1200</v>
      </c>
      <c r="S1381" s="268">
        <v>600</v>
      </c>
      <c r="T1381" s="268">
        <v>605</v>
      </c>
      <c r="U1381" s="268"/>
      <c r="V1381" s="268"/>
      <c r="W1381" s="32">
        <f t="shared" si="154"/>
        <v>605</v>
      </c>
    </row>
    <row r="1382" spans="1:23" ht="76.5">
      <c r="A1382" s="8"/>
      <c r="B1382" s="8"/>
      <c r="C1382" s="262"/>
      <c r="D1382" s="286" t="s">
        <v>344</v>
      </c>
      <c r="E1382" s="286"/>
      <c r="F1382" s="286"/>
      <c r="G1382" s="286"/>
      <c r="H1382" s="286"/>
      <c r="I1382" s="286"/>
      <c r="J1382" s="286"/>
      <c r="K1382" s="286"/>
      <c r="L1382" s="286"/>
      <c r="M1382" s="286"/>
      <c r="N1382" s="286"/>
      <c r="O1382" s="286"/>
      <c r="P1382" s="286"/>
      <c r="Q1382" s="287"/>
      <c r="R1382" s="12">
        <f>SUM(R1383:R1416)</f>
        <v>136850</v>
      </c>
      <c r="S1382" s="12">
        <f>SUM(S1383:S1416)</f>
        <v>243392</v>
      </c>
      <c r="T1382" s="12">
        <v>270944</v>
      </c>
      <c r="U1382" s="12">
        <f>SUM(U1383:U1416)</f>
        <v>3376</v>
      </c>
      <c r="V1382" s="12">
        <f>SUM(V1383:V1416)</f>
        <v>0</v>
      </c>
      <c r="W1382" s="32">
        <f t="shared" si="154"/>
        <v>274320</v>
      </c>
    </row>
    <row r="1383" spans="1:23" ht="24">
      <c r="A1383" s="8"/>
      <c r="B1383" s="8"/>
      <c r="C1383" s="26">
        <v>4018</v>
      </c>
      <c r="D1383" s="27" t="s">
        <v>312</v>
      </c>
      <c r="E1383" s="11"/>
      <c r="F1383" s="11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86"/>
      <c r="R1383" s="12">
        <v>7940</v>
      </c>
      <c r="S1383" s="12">
        <v>7711</v>
      </c>
      <c r="T1383" s="12">
        <v>7711</v>
      </c>
      <c r="U1383" s="12"/>
      <c r="V1383" s="12"/>
      <c r="W1383" s="32">
        <f t="shared" si="154"/>
        <v>7711</v>
      </c>
    </row>
    <row r="1384" spans="1:23" ht="24">
      <c r="A1384" s="8"/>
      <c r="B1384" s="8"/>
      <c r="C1384" s="26">
        <v>4019</v>
      </c>
      <c r="D1384" s="27" t="s">
        <v>312</v>
      </c>
      <c r="E1384" s="11"/>
      <c r="F1384" s="11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86"/>
      <c r="R1384" s="12">
        <v>926</v>
      </c>
      <c r="S1384" s="12">
        <f>204+951</f>
        <v>1155</v>
      </c>
      <c r="T1384" s="12">
        <v>1155</v>
      </c>
      <c r="U1384" s="12"/>
      <c r="V1384" s="12"/>
      <c r="W1384" s="32">
        <f t="shared" si="154"/>
        <v>1155</v>
      </c>
    </row>
    <row r="1385" spans="1:23" ht="24">
      <c r="A1385" s="8"/>
      <c r="B1385" s="8"/>
      <c r="C1385" s="115">
        <v>4118</v>
      </c>
      <c r="D1385" s="119" t="s">
        <v>113</v>
      </c>
      <c r="E1385" s="11"/>
      <c r="F1385" s="11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86"/>
      <c r="R1385" s="12">
        <v>2835</v>
      </c>
      <c r="S1385" s="12">
        <f>1171+1582</f>
        <v>2753</v>
      </c>
      <c r="T1385" s="12">
        <v>2753</v>
      </c>
      <c r="U1385" s="12">
        <v>390</v>
      </c>
      <c r="V1385" s="12"/>
      <c r="W1385" s="32">
        <f t="shared" si="154"/>
        <v>3143</v>
      </c>
    </row>
    <row r="1386" spans="1:23" ht="24">
      <c r="A1386" s="8"/>
      <c r="B1386" s="8"/>
      <c r="C1386" s="115">
        <v>4119</v>
      </c>
      <c r="D1386" s="119" t="s">
        <v>113</v>
      </c>
      <c r="E1386" s="11"/>
      <c r="F1386" s="11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86"/>
      <c r="R1386" s="12">
        <v>331</v>
      </c>
      <c r="S1386" s="12">
        <f>31+145+42+195</f>
        <v>413</v>
      </c>
      <c r="T1386" s="12">
        <v>413</v>
      </c>
      <c r="U1386" s="12">
        <v>46</v>
      </c>
      <c r="V1386" s="12"/>
      <c r="W1386" s="32">
        <f t="shared" si="154"/>
        <v>459</v>
      </c>
    </row>
    <row r="1387" spans="1:23" ht="12">
      <c r="A1387" s="8"/>
      <c r="B1387" s="8"/>
      <c r="C1387" s="115">
        <v>4128</v>
      </c>
      <c r="D1387" s="119" t="s">
        <v>116</v>
      </c>
      <c r="E1387" s="11"/>
      <c r="F1387" s="11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86"/>
      <c r="R1387" s="12">
        <v>518</v>
      </c>
      <c r="S1387" s="12">
        <f>189+314</f>
        <v>503</v>
      </c>
      <c r="T1387" s="12">
        <v>503</v>
      </c>
      <c r="U1387" s="12">
        <v>63</v>
      </c>
      <c r="V1387" s="12"/>
      <c r="W1387" s="32">
        <f t="shared" si="154"/>
        <v>566</v>
      </c>
    </row>
    <row r="1388" spans="1:23" ht="12">
      <c r="A1388" s="8"/>
      <c r="B1388" s="8"/>
      <c r="C1388" s="115">
        <v>4129</v>
      </c>
      <c r="D1388" s="119" t="s">
        <v>116</v>
      </c>
      <c r="E1388" s="11"/>
      <c r="F1388" s="11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86"/>
      <c r="R1388" s="12">
        <v>61</v>
      </c>
      <c r="S1388" s="12">
        <f>5+23+8+39</f>
        <v>75</v>
      </c>
      <c r="T1388" s="12">
        <v>75</v>
      </c>
      <c r="U1388" s="12">
        <v>7</v>
      </c>
      <c r="V1388" s="12"/>
      <c r="W1388" s="32">
        <f t="shared" si="154"/>
        <v>82</v>
      </c>
    </row>
    <row r="1389" spans="1:23" ht="12">
      <c r="A1389" s="8"/>
      <c r="B1389" s="8"/>
      <c r="C1389" s="115">
        <v>4178</v>
      </c>
      <c r="D1389" s="119" t="s">
        <v>69</v>
      </c>
      <c r="E1389" s="11"/>
      <c r="F1389" s="11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86"/>
      <c r="R1389" s="12">
        <v>17543</v>
      </c>
      <c r="S1389" s="12">
        <f>8697+113909+5323+796</f>
        <v>128725</v>
      </c>
      <c r="T1389" s="12">
        <v>80022</v>
      </c>
      <c r="U1389" s="12">
        <v>1881</v>
      </c>
      <c r="V1389" s="12"/>
      <c r="W1389" s="32">
        <f t="shared" si="154"/>
        <v>81903</v>
      </c>
    </row>
    <row r="1390" spans="1:23" ht="12">
      <c r="A1390" s="8"/>
      <c r="B1390" s="8"/>
      <c r="C1390" s="115">
        <v>4179</v>
      </c>
      <c r="D1390" s="119" t="s">
        <v>69</v>
      </c>
      <c r="E1390" s="11"/>
      <c r="F1390" s="11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86"/>
      <c r="R1390" s="12">
        <v>2047</v>
      </c>
      <c r="S1390" s="12">
        <f>230+1073+3179+14802+141+657-799</f>
        <v>19283</v>
      </c>
      <c r="T1390" s="12">
        <v>11954</v>
      </c>
      <c r="U1390" s="12">
        <v>989</v>
      </c>
      <c r="V1390" s="12"/>
      <c r="W1390" s="32">
        <f t="shared" si="154"/>
        <v>12943</v>
      </c>
    </row>
    <row r="1391" spans="1:23" ht="12">
      <c r="A1391" s="8"/>
      <c r="B1391" s="8"/>
      <c r="C1391" s="115">
        <v>4218</v>
      </c>
      <c r="D1391" s="119" t="s">
        <v>34</v>
      </c>
      <c r="E1391" s="11"/>
      <c r="F1391" s="11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86"/>
      <c r="R1391" s="12">
        <v>52293</v>
      </c>
      <c r="S1391" s="12">
        <f>23017+3310</f>
        <v>26327</v>
      </c>
      <c r="T1391" s="12">
        <v>26327</v>
      </c>
      <c r="U1391" s="12"/>
      <c r="V1391" s="12"/>
      <c r="W1391" s="32">
        <f t="shared" si="154"/>
        <v>26327</v>
      </c>
    </row>
    <row r="1392" spans="1:23" ht="12">
      <c r="A1392" s="8"/>
      <c r="B1392" s="8"/>
      <c r="C1392" s="115">
        <v>4219</v>
      </c>
      <c r="D1392" s="119" t="s">
        <v>34</v>
      </c>
      <c r="E1392" s="11"/>
      <c r="F1392" s="11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86"/>
      <c r="R1392" s="12">
        <v>6106</v>
      </c>
      <c r="S1392" s="12">
        <f>609+2840+88+408</f>
        <v>3945</v>
      </c>
      <c r="T1392" s="12">
        <v>3945</v>
      </c>
      <c r="U1392" s="12"/>
      <c r="V1392" s="12"/>
      <c r="W1392" s="32">
        <f t="shared" si="154"/>
        <v>3945</v>
      </c>
    </row>
    <row r="1393" spans="1:23" ht="24" hidden="1">
      <c r="A1393" s="8"/>
      <c r="B1393" s="8"/>
      <c r="C1393" s="115">
        <v>4248</v>
      </c>
      <c r="D1393" s="119" t="s">
        <v>117</v>
      </c>
      <c r="E1393" s="11"/>
      <c r="F1393" s="11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86"/>
      <c r="R1393" s="12">
        <v>21349</v>
      </c>
      <c r="S1393" s="12"/>
      <c r="T1393" s="12">
        <v>0</v>
      </c>
      <c r="U1393" s="12"/>
      <c r="V1393" s="12"/>
      <c r="W1393" s="32">
        <f t="shared" si="154"/>
        <v>0</v>
      </c>
    </row>
    <row r="1394" spans="1:23" ht="24" hidden="1">
      <c r="A1394" s="8"/>
      <c r="B1394" s="8"/>
      <c r="C1394" s="115">
        <v>4249</v>
      </c>
      <c r="D1394" s="119" t="s">
        <v>117</v>
      </c>
      <c r="E1394" s="11"/>
      <c r="F1394" s="11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86"/>
      <c r="R1394" s="12">
        <v>2491</v>
      </c>
      <c r="S1394" s="12"/>
      <c r="T1394" s="12">
        <v>0</v>
      </c>
      <c r="U1394" s="12"/>
      <c r="V1394" s="12"/>
      <c r="W1394" s="32">
        <f t="shared" si="154"/>
        <v>0</v>
      </c>
    </row>
    <row r="1395" spans="1:23" ht="12">
      <c r="A1395" s="8"/>
      <c r="B1395" s="8"/>
      <c r="C1395" s="26">
        <v>4268</v>
      </c>
      <c r="D1395" s="27" t="s">
        <v>35</v>
      </c>
      <c r="E1395" s="11"/>
      <c r="F1395" s="11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86"/>
      <c r="R1395" s="12">
        <v>4255</v>
      </c>
      <c r="S1395" s="1">
        <v>4133</v>
      </c>
      <c r="T1395" s="1">
        <v>0</v>
      </c>
      <c r="U1395" s="1"/>
      <c r="V1395" s="1"/>
      <c r="W1395" s="32">
        <f t="shared" si="154"/>
        <v>0</v>
      </c>
    </row>
    <row r="1396" spans="1:23" ht="12">
      <c r="A1396" s="8"/>
      <c r="B1396" s="8"/>
      <c r="C1396" s="26">
        <v>4269</v>
      </c>
      <c r="D1396" s="27" t="s">
        <v>35</v>
      </c>
      <c r="E1396" s="11"/>
      <c r="F1396" s="11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86"/>
      <c r="R1396" s="12">
        <v>497</v>
      </c>
      <c r="S1396" s="1">
        <f>109+510</f>
        <v>619</v>
      </c>
      <c r="T1396" s="1">
        <v>0</v>
      </c>
      <c r="U1396" s="1"/>
      <c r="V1396" s="1"/>
      <c r="W1396" s="32">
        <f t="shared" si="154"/>
        <v>0</v>
      </c>
    </row>
    <row r="1397" spans="1:23" ht="12">
      <c r="A1397" s="8"/>
      <c r="B1397" s="8"/>
      <c r="C1397" s="115">
        <v>4308</v>
      </c>
      <c r="D1397" s="119" t="s">
        <v>17</v>
      </c>
      <c r="E1397" s="11"/>
      <c r="F1397" s="11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86"/>
      <c r="R1397" s="12">
        <v>2758</v>
      </c>
      <c r="S1397" s="12">
        <f>35432</f>
        <v>35432</v>
      </c>
      <c r="T1397" s="12">
        <v>112230</v>
      </c>
      <c r="U1397" s="12"/>
      <c r="V1397" s="12"/>
      <c r="W1397" s="32">
        <f t="shared" si="154"/>
        <v>112230</v>
      </c>
    </row>
    <row r="1398" spans="1:23" ht="12">
      <c r="A1398" s="8"/>
      <c r="B1398" s="8"/>
      <c r="C1398" s="115">
        <v>4309</v>
      </c>
      <c r="D1398" s="119" t="s">
        <v>17</v>
      </c>
      <c r="E1398" s="11"/>
      <c r="F1398" s="11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86"/>
      <c r="R1398" s="12">
        <v>322</v>
      </c>
      <c r="S1398" s="12">
        <f>937+4371</f>
        <v>5308</v>
      </c>
      <c r="T1398" s="12">
        <v>16846</v>
      </c>
      <c r="U1398" s="12"/>
      <c r="V1398" s="12"/>
      <c r="W1398" s="32">
        <f t="shared" si="154"/>
        <v>16846</v>
      </c>
    </row>
    <row r="1399" spans="1:23" ht="36" hidden="1">
      <c r="A1399" s="8"/>
      <c r="B1399" s="8"/>
      <c r="C1399" s="115">
        <v>4378</v>
      </c>
      <c r="D1399" s="119" t="s">
        <v>135</v>
      </c>
      <c r="E1399" s="11"/>
      <c r="F1399" s="11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86"/>
      <c r="R1399" s="12">
        <v>0</v>
      </c>
      <c r="S1399" s="12"/>
      <c r="T1399" s="12">
        <v>0</v>
      </c>
      <c r="U1399" s="12"/>
      <c r="V1399" s="12"/>
      <c r="W1399" s="32">
        <f t="shared" si="154"/>
        <v>0</v>
      </c>
    </row>
    <row r="1400" spans="1:23" ht="36" hidden="1">
      <c r="A1400" s="8"/>
      <c r="B1400" s="8"/>
      <c r="C1400" s="115">
        <v>4379</v>
      </c>
      <c r="D1400" s="119" t="s">
        <v>135</v>
      </c>
      <c r="E1400" s="11"/>
      <c r="F1400" s="11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86"/>
      <c r="R1400" s="12">
        <v>0</v>
      </c>
      <c r="S1400" s="12"/>
      <c r="T1400" s="12">
        <v>0</v>
      </c>
      <c r="U1400" s="12"/>
      <c r="V1400" s="12"/>
      <c r="W1400" s="32">
        <f t="shared" si="154"/>
        <v>0</v>
      </c>
    </row>
    <row r="1401" spans="1:23" ht="24" hidden="1">
      <c r="A1401" s="8"/>
      <c r="B1401" s="8"/>
      <c r="C1401" s="26">
        <v>4358</v>
      </c>
      <c r="D1401" s="27" t="s">
        <v>38</v>
      </c>
      <c r="E1401" s="11"/>
      <c r="F1401" s="11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86"/>
      <c r="R1401" s="12">
        <v>0</v>
      </c>
      <c r="S1401" s="12"/>
      <c r="T1401" s="12">
        <v>0</v>
      </c>
      <c r="U1401" s="12"/>
      <c r="V1401" s="12"/>
      <c r="W1401" s="32">
        <f t="shared" si="154"/>
        <v>0</v>
      </c>
    </row>
    <row r="1402" spans="1:23" ht="24" hidden="1">
      <c r="A1402" s="8"/>
      <c r="B1402" s="8"/>
      <c r="C1402" s="26">
        <v>4359</v>
      </c>
      <c r="D1402" s="27" t="s">
        <v>38</v>
      </c>
      <c r="E1402" s="11"/>
      <c r="F1402" s="11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86"/>
      <c r="R1402" s="12">
        <v>0</v>
      </c>
      <c r="S1402" s="12"/>
      <c r="T1402" s="12">
        <v>0</v>
      </c>
      <c r="U1402" s="12"/>
      <c r="V1402" s="12"/>
      <c r="W1402" s="32">
        <f t="shared" si="154"/>
        <v>0</v>
      </c>
    </row>
    <row r="1403" spans="1:23" ht="36" hidden="1">
      <c r="A1403" s="8"/>
      <c r="B1403" s="8"/>
      <c r="C1403" s="26">
        <v>4368</v>
      </c>
      <c r="D1403" s="27" t="s">
        <v>130</v>
      </c>
      <c r="E1403" s="11"/>
      <c r="F1403" s="11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86"/>
      <c r="R1403" s="12">
        <v>0</v>
      </c>
      <c r="S1403" s="1"/>
      <c r="T1403" s="1">
        <v>0</v>
      </c>
      <c r="U1403" s="1"/>
      <c r="V1403" s="1"/>
      <c r="W1403" s="32">
        <f t="shared" si="154"/>
        <v>0</v>
      </c>
    </row>
    <row r="1404" spans="1:23" ht="36" hidden="1">
      <c r="A1404" s="8"/>
      <c r="B1404" s="8"/>
      <c r="C1404" s="26">
        <v>4369</v>
      </c>
      <c r="D1404" s="27" t="s">
        <v>130</v>
      </c>
      <c r="E1404" s="11"/>
      <c r="F1404" s="11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86"/>
      <c r="R1404" s="12">
        <v>0</v>
      </c>
      <c r="S1404" s="1"/>
      <c r="T1404" s="1">
        <v>0</v>
      </c>
      <c r="U1404" s="1"/>
      <c r="V1404" s="1"/>
      <c r="W1404" s="32">
        <f t="shared" si="154"/>
        <v>0</v>
      </c>
    </row>
    <row r="1405" spans="1:23" ht="36" hidden="1">
      <c r="A1405" s="8"/>
      <c r="B1405" s="8"/>
      <c r="C1405" s="26">
        <v>4378</v>
      </c>
      <c r="D1405" s="27" t="s">
        <v>135</v>
      </c>
      <c r="E1405" s="11"/>
      <c r="F1405" s="11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86"/>
      <c r="R1405" s="12">
        <v>0</v>
      </c>
      <c r="S1405" s="1"/>
      <c r="T1405" s="1">
        <v>0</v>
      </c>
      <c r="U1405" s="1"/>
      <c r="V1405" s="1"/>
      <c r="W1405" s="32">
        <f t="shared" si="154"/>
        <v>0</v>
      </c>
    </row>
    <row r="1406" spans="1:23" ht="36" hidden="1">
      <c r="A1406" s="8"/>
      <c r="B1406" s="8"/>
      <c r="C1406" s="26">
        <v>4379</v>
      </c>
      <c r="D1406" s="27" t="s">
        <v>135</v>
      </c>
      <c r="E1406" s="11"/>
      <c r="F1406" s="11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86"/>
      <c r="R1406" s="12">
        <v>0</v>
      </c>
      <c r="S1406" s="1"/>
      <c r="T1406" s="1">
        <v>0</v>
      </c>
      <c r="U1406" s="1"/>
      <c r="V1406" s="1"/>
      <c r="W1406" s="32">
        <f t="shared" si="154"/>
        <v>0</v>
      </c>
    </row>
    <row r="1407" spans="1:23" ht="12" hidden="1">
      <c r="A1407" s="8"/>
      <c r="B1407" s="8"/>
      <c r="C1407" s="26">
        <v>4408</v>
      </c>
      <c r="D1407" s="27" t="s">
        <v>43</v>
      </c>
      <c r="E1407" s="11"/>
      <c r="F1407" s="11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86"/>
      <c r="R1407" s="12"/>
      <c r="S1407" s="1"/>
      <c r="T1407" s="1">
        <v>0</v>
      </c>
      <c r="U1407" s="1"/>
      <c r="V1407" s="1"/>
      <c r="W1407" s="32">
        <f t="shared" si="154"/>
        <v>0</v>
      </c>
    </row>
    <row r="1408" spans="1:23" ht="12" hidden="1">
      <c r="A1408" s="8"/>
      <c r="B1408" s="8"/>
      <c r="C1408" s="26">
        <v>4409</v>
      </c>
      <c r="D1408" s="27" t="s">
        <v>43</v>
      </c>
      <c r="E1408" s="11"/>
      <c r="F1408" s="11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86"/>
      <c r="R1408" s="12"/>
      <c r="S1408" s="1"/>
      <c r="T1408" s="1">
        <v>0</v>
      </c>
      <c r="U1408" s="1"/>
      <c r="V1408" s="1"/>
      <c r="W1408" s="32">
        <f t="shared" si="154"/>
        <v>0</v>
      </c>
    </row>
    <row r="1409" spans="1:23" ht="12" hidden="1">
      <c r="A1409" s="8"/>
      <c r="B1409" s="8"/>
      <c r="C1409" s="115">
        <v>4418</v>
      </c>
      <c r="D1409" s="27" t="s">
        <v>42</v>
      </c>
      <c r="E1409" s="11"/>
      <c r="F1409" s="11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86"/>
      <c r="R1409" s="12">
        <v>0</v>
      </c>
      <c r="S1409" s="257"/>
      <c r="T1409" s="257">
        <v>0</v>
      </c>
      <c r="U1409" s="257"/>
      <c r="V1409" s="257"/>
      <c r="W1409" s="32">
        <f t="shared" si="154"/>
        <v>0</v>
      </c>
    </row>
    <row r="1410" spans="1:23" ht="12" hidden="1">
      <c r="A1410" s="8"/>
      <c r="B1410" s="8"/>
      <c r="C1410" s="115">
        <v>4419</v>
      </c>
      <c r="D1410" s="27" t="s">
        <v>42</v>
      </c>
      <c r="E1410" s="11"/>
      <c r="F1410" s="11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86"/>
      <c r="R1410" s="12">
        <v>0</v>
      </c>
      <c r="S1410" s="257"/>
      <c r="T1410" s="257">
        <v>0</v>
      </c>
      <c r="U1410" s="257"/>
      <c r="V1410" s="257"/>
      <c r="W1410" s="32">
        <f t="shared" si="154"/>
        <v>0</v>
      </c>
    </row>
    <row r="1411" spans="1:23" ht="12.75" hidden="1">
      <c r="A1411" s="8"/>
      <c r="B1411" s="8"/>
      <c r="C1411" s="115">
        <v>4708</v>
      </c>
      <c r="D1411" s="288" t="s">
        <v>343</v>
      </c>
      <c r="E1411" s="11"/>
      <c r="F1411" s="11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86"/>
      <c r="R1411" s="12">
        <v>5373</v>
      </c>
      <c r="S1411" s="257"/>
      <c r="T1411" s="257">
        <v>0</v>
      </c>
      <c r="U1411" s="257"/>
      <c r="V1411" s="257"/>
      <c r="W1411" s="32">
        <f t="shared" si="154"/>
        <v>0</v>
      </c>
    </row>
    <row r="1412" spans="1:23" ht="12.75" hidden="1">
      <c r="A1412" s="8"/>
      <c r="B1412" s="8"/>
      <c r="C1412" s="115">
        <v>4709</v>
      </c>
      <c r="D1412" s="288" t="s">
        <v>343</v>
      </c>
      <c r="E1412" s="11"/>
      <c r="F1412" s="11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86"/>
      <c r="R1412" s="12">
        <v>627</v>
      </c>
      <c r="S1412" s="257"/>
      <c r="T1412" s="257">
        <v>0</v>
      </c>
      <c r="U1412" s="257"/>
      <c r="V1412" s="257"/>
      <c r="W1412" s="32">
        <f t="shared" si="154"/>
        <v>0</v>
      </c>
    </row>
    <row r="1413" spans="1:23" ht="36">
      <c r="A1413" s="8"/>
      <c r="B1413" s="8"/>
      <c r="C1413" s="115">
        <v>4748</v>
      </c>
      <c r="D1413" s="119" t="s">
        <v>73</v>
      </c>
      <c r="E1413" s="11"/>
      <c r="F1413" s="11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86"/>
      <c r="R1413" s="12">
        <v>135</v>
      </c>
      <c r="S1413" s="12">
        <v>2443</v>
      </c>
      <c r="T1413" s="12">
        <v>2443</v>
      </c>
      <c r="U1413" s="12"/>
      <c r="V1413" s="12"/>
      <c r="W1413" s="32">
        <f t="shared" si="154"/>
        <v>2443</v>
      </c>
    </row>
    <row r="1414" spans="1:23" ht="36">
      <c r="A1414" s="8"/>
      <c r="B1414" s="8"/>
      <c r="C1414" s="115">
        <v>4749</v>
      </c>
      <c r="D1414" s="119" t="s">
        <v>73</v>
      </c>
      <c r="E1414" s="11"/>
      <c r="F1414" s="11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86"/>
      <c r="R1414" s="12">
        <v>7183</v>
      </c>
      <c r="S1414" s="12">
        <f>65+301</f>
        <v>366</v>
      </c>
      <c r="T1414" s="12">
        <v>366</v>
      </c>
      <c r="U1414" s="12"/>
      <c r="V1414" s="12"/>
      <c r="W1414" s="32">
        <f t="shared" si="154"/>
        <v>366</v>
      </c>
    </row>
    <row r="1415" spans="1:23" ht="24">
      <c r="A1415" s="8"/>
      <c r="B1415" s="8"/>
      <c r="C1415" s="115">
        <v>4758</v>
      </c>
      <c r="D1415" s="119" t="s">
        <v>118</v>
      </c>
      <c r="E1415" s="11"/>
      <c r="F1415" s="11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86"/>
      <c r="R1415" s="12">
        <v>1128</v>
      </c>
      <c r="S1415" s="12">
        <v>3653</v>
      </c>
      <c r="T1415" s="12">
        <v>3653</v>
      </c>
      <c r="U1415" s="12"/>
      <c r="V1415" s="12"/>
      <c r="W1415" s="32">
        <f t="shared" si="154"/>
        <v>3653</v>
      </c>
    </row>
    <row r="1416" spans="1:23" ht="24">
      <c r="A1416" s="8"/>
      <c r="B1416" s="8"/>
      <c r="C1416" s="115">
        <v>4759</v>
      </c>
      <c r="D1416" s="119" t="s">
        <v>118</v>
      </c>
      <c r="E1416" s="11"/>
      <c r="F1416" s="11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86"/>
      <c r="R1416" s="12">
        <v>132</v>
      </c>
      <c r="S1416" s="12">
        <f>97+451</f>
        <v>548</v>
      </c>
      <c r="T1416" s="12">
        <v>548</v>
      </c>
      <c r="U1416" s="12"/>
      <c r="V1416" s="12"/>
      <c r="W1416" s="32">
        <f t="shared" si="154"/>
        <v>548</v>
      </c>
    </row>
    <row r="1417" spans="1:23" ht="25.5">
      <c r="A1417" s="8"/>
      <c r="B1417" s="8"/>
      <c r="C1417" s="262"/>
      <c r="D1417" s="286" t="s">
        <v>364</v>
      </c>
      <c r="E1417" s="286"/>
      <c r="F1417" s="286"/>
      <c r="G1417" s="286"/>
      <c r="H1417" s="286"/>
      <c r="I1417" s="286"/>
      <c r="J1417" s="286"/>
      <c r="K1417" s="286"/>
      <c r="L1417" s="286"/>
      <c r="M1417" s="286"/>
      <c r="N1417" s="286"/>
      <c r="O1417" s="286"/>
      <c r="P1417" s="286"/>
      <c r="Q1417" s="287"/>
      <c r="R1417" s="12">
        <f>SUM(R1418:R1435)</f>
        <v>113308.46</v>
      </c>
      <c r="S1417" s="12">
        <f>SUM(S1418:S1435)</f>
        <v>243425.68099999998</v>
      </c>
      <c r="T1417" s="12">
        <v>49994</v>
      </c>
      <c r="U1417" s="12">
        <f>SUM(U1418:U1435)</f>
        <v>150</v>
      </c>
      <c r="V1417" s="12">
        <f>SUM(V1418:V1435)</f>
        <v>150</v>
      </c>
      <c r="W1417" s="32">
        <f aca="true" t="shared" si="155" ref="W1417:W1464">T1417+U1417-V1417</f>
        <v>49994</v>
      </c>
    </row>
    <row r="1418" spans="1:23" ht="24">
      <c r="A1418" s="8"/>
      <c r="B1418" s="8"/>
      <c r="C1418" s="26">
        <v>4017</v>
      </c>
      <c r="D1418" s="27" t="s">
        <v>312</v>
      </c>
      <c r="E1418" s="11"/>
      <c r="F1418" s="11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86"/>
      <c r="R1418" s="12">
        <v>7940</v>
      </c>
      <c r="S1418" s="12">
        <v>7711</v>
      </c>
      <c r="T1418" s="12">
        <v>7168</v>
      </c>
      <c r="U1418" s="12"/>
      <c r="V1418" s="12"/>
      <c r="W1418" s="32">
        <f t="shared" si="155"/>
        <v>7168</v>
      </c>
    </row>
    <row r="1419" spans="1:23" ht="24">
      <c r="A1419" s="8"/>
      <c r="B1419" s="8"/>
      <c r="C1419" s="26">
        <v>4019</v>
      </c>
      <c r="D1419" s="27" t="s">
        <v>312</v>
      </c>
      <c r="E1419" s="11"/>
      <c r="F1419" s="11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86"/>
      <c r="R1419" s="12">
        <v>926</v>
      </c>
      <c r="S1419" s="12">
        <f>204+951</f>
        <v>1155</v>
      </c>
      <c r="T1419" s="12">
        <v>1265</v>
      </c>
      <c r="U1419" s="12"/>
      <c r="V1419" s="12"/>
      <c r="W1419" s="32">
        <f t="shared" si="155"/>
        <v>1265</v>
      </c>
    </row>
    <row r="1420" spans="1:23" ht="24">
      <c r="A1420" s="8"/>
      <c r="B1420" s="8"/>
      <c r="C1420" s="115">
        <v>4117</v>
      </c>
      <c r="D1420" s="119" t="s">
        <v>113</v>
      </c>
      <c r="E1420" s="11"/>
      <c r="F1420" s="11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86"/>
      <c r="R1420" s="12">
        <v>2835</v>
      </c>
      <c r="S1420" s="12">
        <f>1171+1582</f>
        <v>2753</v>
      </c>
      <c r="T1420" s="12">
        <v>1716</v>
      </c>
      <c r="U1420" s="12"/>
      <c r="V1420" s="12"/>
      <c r="W1420" s="32">
        <f t="shared" si="155"/>
        <v>1716</v>
      </c>
    </row>
    <row r="1421" spans="1:23" ht="24">
      <c r="A1421" s="8"/>
      <c r="B1421" s="8"/>
      <c r="C1421" s="115">
        <v>4119</v>
      </c>
      <c r="D1421" s="119" t="s">
        <v>113</v>
      </c>
      <c r="E1421" s="11"/>
      <c r="F1421" s="11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86"/>
      <c r="R1421" s="12">
        <v>331</v>
      </c>
      <c r="S1421" s="12">
        <f>31+145+42+195</f>
        <v>413</v>
      </c>
      <c r="T1421" s="12">
        <v>303</v>
      </c>
      <c r="U1421" s="12"/>
      <c r="V1421" s="12"/>
      <c r="W1421" s="32">
        <f t="shared" si="155"/>
        <v>303</v>
      </c>
    </row>
    <row r="1422" spans="1:23" ht="12">
      <c r="A1422" s="8"/>
      <c r="B1422" s="8"/>
      <c r="C1422" s="115">
        <v>4127</v>
      </c>
      <c r="D1422" s="119" t="s">
        <v>116</v>
      </c>
      <c r="E1422" s="11"/>
      <c r="F1422" s="11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86"/>
      <c r="R1422" s="12">
        <v>518</v>
      </c>
      <c r="S1422" s="12">
        <f>189+314</f>
        <v>503</v>
      </c>
      <c r="T1422" s="12">
        <v>211</v>
      </c>
      <c r="U1422" s="12"/>
      <c r="V1422" s="12"/>
      <c r="W1422" s="32">
        <f t="shared" si="155"/>
        <v>211</v>
      </c>
    </row>
    <row r="1423" spans="1:23" ht="12">
      <c r="A1423" s="8"/>
      <c r="B1423" s="8"/>
      <c r="C1423" s="115">
        <v>4129</v>
      </c>
      <c r="D1423" s="119" t="s">
        <v>116</v>
      </c>
      <c r="E1423" s="11"/>
      <c r="F1423" s="11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86"/>
      <c r="R1423" s="12">
        <v>61</v>
      </c>
      <c r="S1423" s="12">
        <f>5+23+8+39</f>
        <v>75</v>
      </c>
      <c r="T1423" s="12">
        <v>37</v>
      </c>
      <c r="U1423" s="12"/>
      <c r="V1423" s="12"/>
      <c r="W1423" s="32">
        <f t="shared" si="155"/>
        <v>37</v>
      </c>
    </row>
    <row r="1424" spans="1:23" ht="12">
      <c r="A1424" s="8"/>
      <c r="B1424" s="8"/>
      <c r="C1424" s="115">
        <v>4177</v>
      </c>
      <c r="D1424" s="119" t="s">
        <v>69</v>
      </c>
      <c r="E1424" s="11"/>
      <c r="F1424" s="11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86"/>
      <c r="R1424" s="12">
        <v>17543</v>
      </c>
      <c r="S1424" s="12">
        <f>8697+113909+5323+796</f>
        <v>128725</v>
      </c>
      <c r="T1424" s="12">
        <v>27166</v>
      </c>
      <c r="U1424" s="12"/>
      <c r="V1424" s="12">
        <v>1</v>
      </c>
      <c r="W1424" s="32">
        <f t="shared" si="155"/>
        <v>27165</v>
      </c>
    </row>
    <row r="1425" spans="1:23" ht="16.5" customHeight="1">
      <c r="A1425" s="8"/>
      <c r="B1425" s="8"/>
      <c r="C1425" s="115">
        <v>4179</v>
      </c>
      <c r="D1425" s="119" t="s">
        <v>69</v>
      </c>
      <c r="E1425" s="11"/>
      <c r="F1425" s="11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86"/>
      <c r="R1425" s="12">
        <v>2047</v>
      </c>
      <c r="S1425" s="12">
        <f>230+1073+3179+14802+141+657-799</f>
        <v>19283</v>
      </c>
      <c r="T1425" s="12">
        <v>4794</v>
      </c>
      <c r="U1425" s="12">
        <v>1</v>
      </c>
      <c r="V1425" s="12"/>
      <c r="W1425" s="32">
        <f t="shared" si="155"/>
        <v>4795</v>
      </c>
    </row>
    <row r="1426" spans="1:23" ht="12">
      <c r="A1426" s="8"/>
      <c r="B1426" s="8"/>
      <c r="C1426" s="115">
        <v>4217</v>
      </c>
      <c r="D1426" s="119" t="s">
        <v>34</v>
      </c>
      <c r="E1426" s="11"/>
      <c r="F1426" s="11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86"/>
      <c r="R1426" s="12">
        <v>52293</v>
      </c>
      <c r="S1426" s="12">
        <f>23017+3310</f>
        <v>26327</v>
      </c>
      <c r="T1426" s="12">
        <v>4955</v>
      </c>
      <c r="U1426" s="12"/>
      <c r="V1426" s="12">
        <v>127</v>
      </c>
      <c r="W1426" s="32">
        <f t="shared" si="155"/>
        <v>4828</v>
      </c>
    </row>
    <row r="1427" spans="1:23" ht="12">
      <c r="A1427" s="8"/>
      <c r="B1427" s="8"/>
      <c r="C1427" s="115">
        <v>4219</v>
      </c>
      <c r="D1427" s="119" t="s">
        <v>34</v>
      </c>
      <c r="E1427" s="11"/>
      <c r="F1427" s="11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86"/>
      <c r="R1427" s="12">
        <v>6106</v>
      </c>
      <c r="S1427" s="12">
        <f>609+2840+88+408</f>
        <v>3945</v>
      </c>
      <c r="T1427" s="12">
        <v>874</v>
      </c>
      <c r="U1427" s="12"/>
      <c r="V1427" s="12">
        <v>22</v>
      </c>
      <c r="W1427" s="32">
        <f t="shared" si="155"/>
        <v>852</v>
      </c>
    </row>
    <row r="1428" spans="1:23" ht="12">
      <c r="A1428" s="8"/>
      <c r="B1428" s="8"/>
      <c r="C1428" s="115">
        <v>4307</v>
      </c>
      <c r="D1428" s="119" t="s">
        <v>17</v>
      </c>
      <c r="E1428" s="11"/>
      <c r="F1428" s="11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86"/>
      <c r="R1428" s="12">
        <v>2758</v>
      </c>
      <c r="S1428" s="12">
        <f>35432</f>
        <v>35432</v>
      </c>
      <c r="T1428" s="12">
        <v>897</v>
      </c>
      <c r="U1428" s="12"/>
      <c r="V1428" s="12"/>
      <c r="W1428" s="32">
        <f t="shared" si="155"/>
        <v>897</v>
      </c>
    </row>
    <row r="1429" spans="1:23" ht="12">
      <c r="A1429" s="8"/>
      <c r="B1429" s="8"/>
      <c r="C1429" s="115">
        <v>4309</v>
      </c>
      <c r="D1429" s="119" t="s">
        <v>17</v>
      </c>
      <c r="E1429" s="11"/>
      <c r="F1429" s="11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86"/>
      <c r="R1429" s="12">
        <v>322</v>
      </c>
      <c r="S1429" s="12">
        <f>937+4371</f>
        <v>5308</v>
      </c>
      <c r="T1429" s="12">
        <v>158</v>
      </c>
      <c r="U1429" s="12"/>
      <c r="V1429" s="12"/>
      <c r="W1429" s="32">
        <f t="shared" si="155"/>
        <v>158</v>
      </c>
    </row>
    <row r="1430" spans="1:23" ht="36">
      <c r="A1430" s="8"/>
      <c r="B1430" s="8"/>
      <c r="C1430" s="115">
        <v>4367</v>
      </c>
      <c r="D1430" s="27" t="s">
        <v>130</v>
      </c>
      <c r="E1430" s="11"/>
      <c r="F1430" s="11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86"/>
      <c r="R1430" s="12">
        <v>135</v>
      </c>
      <c r="S1430" s="12">
        <v>2443</v>
      </c>
      <c r="T1430" s="12">
        <v>170</v>
      </c>
      <c r="U1430" s="12"/>
      <c r="V1430" s="12"/>
      <c r="W1430" s="32">
        <f t="shared" si="155"/>
        <v>170</v>
      </c>
    </row>
    <row r="1431" spans="1:23" ht="36">
      <c r="A1431" s="8"/>
      <c r="B1431" s="8"/>
      <c r="C1431" s="115">
        <v>4369</v>
      </c>
      <c r="D1431" s="27" t="s">
        <v>130</v>
      </c>
      <c r="E1431" s="11"/>
      <c r="F1431" s="11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86"/>
      <c r="R1431" s="12">
        <v>7183</v>
      </c>
      <c r="S1431" s="12">
        <f>65+301</f>
        <v>366</v>
      </c>
      <c r="T1431" s="12">
        <v>30</v>
      </c>
      <c r="U1431" s="12"/>
      <c r="V1431" s="12"/>
      <c r="W1431" s="32">
        <f t="shared" si="155"/>
        <v>30</v>
      </c>
    </row>
    <row r="1432" spans="1:23" ht="38.25">
      <c r="A1432" s="8"/>
      <c r="B1432" s="8"/>
      <c r="C1432" s="272">
        <v>4747</v>
      </c>
      <c r="D1432" s="192" t="s">
        <v>73</v>
      </c>
      <c r="E1432" s="11"/>
      <c r="F1432" s="11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86"/>
      <c r="R1432" s="283">
        <v>9392.891</v>
      </c>
      <c r="S1432" s="268">
        <v>4067.8288500000003</v>
      </c>
      <c r="T1432" s="268"/>
      <c r="U1432" s="268">
        <v>127</v>
      </c>
      <c r="V1432" s="268"/>
      <c r="W1432" s="32">
        <f t="shared" si="155"/>
        <v>127</v>
      </c>
    </row>
    <row r="1433" spans="1:23" ht="38.25">
      <c r="A1433" s="8"/>
      <c r="B1433" s="8"/>
      <c r="C1433" s="284">
        <v>4749</v>
      </c>
      <c r="D1433" s="193" t="s">
        <v>73</v>
      </c>
      <c r="E1433" s="11"/>
      <c r="F1433" s="11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86"/>
      <c r="R1433" s="268">
        <v>1657.5689999999997</v>
      </c>
      <c r="S1433" s="268">
        <v>717.85215</v>
      </c>
      <c r="T1433" s="268"/>
      <c r="U1433" s="268">
        <v>22</v>
      </c>
      <c r="V1433" s="268"/>
      <c r="W1433" s="32">
        <f t="shared" si="155"/>
        <v>22</v>
      </c>
    </row>
    <row r="1434" spans="1:23" ht="24">
      <c r="A1434" s="8"/>
      <c r="B1434" s="8"/>
      <c r="C1434" s="115">
        <v>4757</v>
      </c>
      <c r="D1434" s="119" t="s">
        <v>118</v>
      </c>
      <c r="E1434" s="11"/>
      <c r="F1434" s="11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86"/>
      <c r="R1434" s="12">
        <v>1128</v>
      </c>
      <c r="S1434" s="12">
        <v>3653</v>
      </c>
      <c r="T1434" s="12">
        <v>213</v>
      </c>
      <c r="U1434" s="12"/>
      <c r="V1434" s="12"/>
      <c r="W1434" s="32">
        <f t="shared" si="155"/>
        <v>213</v>
      </c>
    </row>
    <row r="1435" spans="1:23" ht="24">
      <c r="A1435" s="8"/>
      <c r="B1435" s="8"/>
      <c r="C1435" s="115">
        <v>4759</v>
      </c>
      <c r="D1435" s="119" t="s">
        <v>118</v>
      </c>
      <c r="E1435" s="11"/>
      <c r="F1435" s="11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86"/>
      <c r="R1435" s="12">
        <v>132</v>
      </c>
      <c r="S1435" s="12">
        <f>97+451</f>
        <v>548</v>
      </c>
      <c r="T1435" s="12">
        <v>37</v>
      </c>
      <c r="U1435" s="12"/>
      <c r="V1435" s="12"/>
      <c r="W1435" s="32">
        <f t="shared" si="155"/>
        <v>37</v>
      </c>
    </row>
    <row r="1436" spans="1:23" ht="24">
      <c r="A1436" s="8"/>
      <c r="B1436" s="8"/>
      <c r="C1436" s="36"/>
      <c r="D1436" s="89" t="s">
        <v>373</v>
      </c>
      <c r="E1436" s="35"/>
      <c r="F1436" s="35"/>
      <c r="G1436" s="37"/>
      <c r="H1436" s="37"/>
      <c r="I1436" s="37"/>
      <c r="J1436" s="37">
        <f>SUM(J1443:J1462)</f>
        <v>0</v>
      </c>
      <c r="K1436" s="37">
        <f>SUM(K1443:K1462)</f>
        <v>0</v>
      </c>
      <c r="L1436" s="37">
        <f>SUM(L1443:L1464)</f>
        <v>0</v>
      </c>
      <c r="M1436" s="37">
        <f>SUM(M1443:M1464)</f>
        <v>382862</v>
      </c>
      <c r="N1436" s="37">
        <v>0</v>
      </c>
      <c r="O1436" s="37">
        <v>361670</v>
      </c>
      <c r="P1436" s="37">
        <f>SUM(P1439:P1464)</f>
        <v>168314</v>
      </c>
      <c r="Q1436" s="186">
        <f aca="true" t="shared" si="156" ref="Q1436:Q1464">P1436/O1436</f>
        <v>0.46538004258025273</v>
      </c>
      <c r="R1436" s="37">
        <f>SUM(R1439:R1464)</f>
        <v>361670</v>
      </c>
      <c r="S1436" s="37">
        <f>SUM(S1439:S1464)</f>
        <v>157956</v>
      </c>
      <c r="T1436" s="37">
        <v>175766</v>
      </c>
      <c r="U1436" s="37">
        <f>SUM(U1437:U1468)</f>
        <v>492</v>
      </c>
      <c r="V1436" s="37">
        <f>SUM(V1437:V1468)</f>
        <v>492</v>
      </c>
      <c r="W1436" s="32">
        <f t="shared" si="155"/>
        <v>175766</v>
      </c>
    </row>
    <row r="1437" spans="1:23" ht="12">
      <c r="A1437" s="88"/>
      <c r="B1437" s="88"/>
      <c r="C1437" s="26">
        <v>3117</v>
      </c>
      <c r="D1437" s="10" t="s">
        <v>179</v>
      </c>
      <c r="E1437" s="11"/>
      <c r="F1437" s="11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223"/>
      <c r="R1437" s="12"/>
      <c r="S1437" s="12"/>
      <c r="T1437" s="12"/>
      <c r="U1437" s="12"/>
      <c r="V1437" s="12"/>
      <c r="W1437" s="214"/>
    </row>
    <row r="1438" spans="1:23" ht="12">
      <c r="A1438" s="88"/>
      <c r="B1438" s="88"/>
      <c r="C1438" s="26">
        <v>3119</v>
      </c>
      <c r="D1438" s="10" t="s">
        <v>179</v>
      </c>
      <c r="E1438" s="11"/>
      <c r="F1438" s="11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223"/>
      <c r="R1438" s="12"/>
      <c r="S1438" s="12"/>
      <c r="T1438" s="12"/>
      <c r="U1438" s="12"/>
      <c r="V1438" s="12"/>
      <c r="W1438" s="214"/>
    </row>
    <row r="1439" spans="1:23" ht="24">
      <c r="A1439" s="8"/>
      <c r="B1439" s="88"/>
      <c r="C1439" s="26">
        <v>4017</v>
      </c>
      <c r="D1439" s="10" t="s">
        <v>315</v>
      </c>
      <c r="E1439" s="11"/>
      <c r="F1439" s="11"/>
      <c r="G1439" s="12"/>
      <c r="H1439" s="12"/>
      <c r="I1439" s="12"/>
      <c r="J1439" s="12"/>
      <c r="K1439" s="12"/>
      <c r="L1439" s="12"/>
      <c r="M1439" s="12"/>
      <c r="N1439" s="12">
        <v>0</v>
      </c>
      <c r="O1439" s="12">
        <v>10200</v>
      </c>
      <c r="P1439" s="12">
        <v>2550</v>
      </c>
      <c r="Q1439" s="186">
        <f t="shared" si="156"/>
        <v>0.25</v>
      </c>
      <c r="R1439" s="12">
        <v>10200</v>
      </c>
      <c r="S1439" s="12">
        <v>5100</v>
      </c>
      <c r="T1439" s="12">
        <v>26972</v>
      </c>
      <c r="U1439" s="12"/>
      <c r="V1439" s="12"/>
      <c r="W1439" s="32">
        <f t="shared" si="155"/>
        <v>26972</v>
      </c>
    </row>
    <row r="1440" spans="1:23" ht="24">
      <c r="A1440" s="8"/>
      <c r="B1440" s="88"/>
      <c r="C1440" s="26">
        <v>4019</v>
      </c>
      <c r="D1440" s="10" t="s">
        <v>315</v>
      </c>
      <c r="E1440" s="11"/>
      <c r="F1440" s="11"/>
      <c r="G1440" s="12"/>
      <c r="H1440" s="12"/>
      <c r="I1440" s="12"/>
      <c r="J1440" s="12"/>
      <c r="K1440" s="12"/>
      <c r="L1440" s="12"/>
      <c r="M1440" s="12"/>
      <c r="N1440" s="12">
        <v>0</v>
      </c>
      <c r="O1440" s="12">
        <v>1800</v>
      </c>
      <c r="P1440" s="12">
        <v>450</v>
      </c>
      <c r="Q1440" s="186">
        <f t="shared" si="156"/>
        <v>0.25</v>
      </c>
      <c r="R1440" s="12">
        <v>1800</v>
      </c>
      <c r="S1440" s="12">
        <v>900</v>
      </c>
      <c r="T1440" s="12">
        <v>1428</v>
      </c>
      <c r="U1440" s="12"/>
      <c r="V1440" s="12"/>
      <c r="W1440" s="32">
        <f t="shared" si="155"/>
        <v>1428</v>
      </c>
    </row>
    <row r="1441" spans="1:23" ht="12">
      <c r="A1441" s="8"/>
      <c r="B1441" s="88"/>
      <c r="C1441" s="26">
        <v>4047</v>
      </c>
      <c r="D1441" s="10" t="s">
        <v>374</v>
      </c>
      <c r="E1441" s="11"/>
      <c r="F1441" s="11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86"/>
      <c r="R1441" s="12"/>
      <c r="S1441" s="12"/>
      <c r="T1441" s="12">
        <v>1102</v>
      </c>
      <c r="U1441" s="12">
        <v>141</v>
      </c>
      <c r="V1441" s="12"/>
      <c r="W1441" s="32">
        <f t="shared" si="155"/>
        <v>1243</v>
      </c>
    </row>
    <row r="1442" spans="1:23" ht="12">
      <c r="A1442" s="8"/>
      <c r="B1442" s="88"/>
      <c r="C1442" s="26">
        <v>4049</v>
      </c>
      <c r="D1442" s="10" t="s">
        <v>374</v>
      </c>
      <c r="E1442" s="11"/>
      <c r="F1442" s="11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86"/>
      <c r="R1442" s="12"/>
      <c r="S1442" s="12"/>
      <c r="T1442" s="12">
        <v>58</v>
      </c>
      <c r="U1442" s="12">
        <v>8</v>
      </c>
      <c r="V1442" s="12"/>
      <c r="W1442" s="32">
        <f t="shared" si="155"/>
        <v>66</v>
      </c>
    </row>
    <row r="1443" spans="1:23" ht="24">
      <c r="A1443" s="8"/>
      <c r="B1443" s="8"/>
      <c r="C1443" s="26">
        <v>4117</v>
      </c>
      <c r="D1443" s="27" t="s">
        <v>113</v>
      </c>
      <c r="E1443" s="11"/>
      <c r="F1443" s="11"/>
      <c r="G1443" s="12"/>
      <c r="H1443" s="12"/>
      <c r="I1443" s="12"/>
      <c r="J1443" s="12">
        <v>0</v>
      </c>
      <c r="K1443" s="12">
        <v>0</v>
      </c>
      <c r="L1443" s="12">
        <v>0</v>
      </c>
      <c r="M1443" s="12">
        <v>24719</v>
      </c>
      <c r="N1443" s="12">
        <v>0</v>
      </c>
      <c r="O1443" s="12">
        <v>24719</v>
      </c>
      <c r="P1443" s="12">
        <v>8429</v>
      </c>
      <c r="Q1443" s="186">
        <f t="shared" si="156"/>
        <v>0.3409927586067398</v>
      </c>
      <c r="R1443" s="12">
        <v>24719</v>
      </c>
      <c r="S1443" s="12">
        <v>11472</v>
      </c>
      <c r="T1443" s="12">
        <v>4301</v>
      </c>
      <c r="U1443" s="12">
        <v>190</v>
      </c>
      <c r="V1443" s="12"/>
      <c r="W1443" s="32">
        <f t="shared" si="155"/>
        <v>4491</v>
      </c>
    </row>
    <row r="1444" spans="1:23" ht="24">
      <c r="A1444" s="8"/>
      <c r="B1444" s="8"/>
      <c r="C1444" s="26">
        <v>4119</v>
      </c>
      <c r="D1444" s="27" t="s">
        <v>113</v>
      </c>
      <c r="E1444" s="11"/>
      <c r="F1444" s="11"/>
      <c r="G1444" s="12"/>
      <c r="H1444" s="12"/>
      <c r="I1444" s="12"/>
      <c r="J1444" s="12">
        <v>0</v>
      </c>
      <c r="K1444" s="12">
        <v>0</v>
      </c>
      <c r="L1444" s="12">
        <v>0</v>
      </c>
      <c r="M1444" s="12">
        <v>4362</v>
      </c>
      <c r="N1444" s="12">
        <v>0</v>
      </c>
      <c r="O1444" s="12">
        <v>4362</v>
      </c>
      <c r="P1444" s="12">
        <v>1487</v>
      </c>
      <c r="Q1444" s="186">
        <f t="shared" si="156"/>
        <v>0.34089867033470883</v>
      </c>
      <c r="R1444" s="12">
        <v>4362</v>
      </c>
      <c r="S1444" s="12">
        <v>2025</v>
      </c>
      <c r="T1444" s="12">
        <v>228</v>
      </c>
      <c r="U1444" s="12">
        <v>10</v>
      </c>
      <c r="V1444" s="12"/>
      <c r="W1444" s="32">
        <f t="shared" si="155"/>
        <v>238</v>
      </c>
    </row>
    <row r="1445" spans="1:23" ht="12">
      <c r="A1445" s="8"/>
      <c r="B1445" s="8"/>
      <c r="C1445" s="26">
        <v>4127</v>
      </c>
      <c r="D1445" s="27" t="s">
        <v>32</v>
      </c>
      <c r="E1445" s="11"/>
      <c r="F1445" s="11"/>
      <c r="G1445" s="12"/>
      <c r="H1445" s="12"/>
      <c r="I1445" s="12"/>
      <c r="J1445" s="12">
        <v>0</v>
      </c>
      <c r="K1445" s="12">
        <v>0</v>
      </c>
      <c r="L1445" s="12">
        <v>0</v>
      </c>
      <c r="M1445" s="12">
        <v>3948</v>
      </c>
      <c r="N1445" s="12">
        <v>0</v>
      </c>
      <c r="O1445" s="12">
        <v>3948</v>
      </c>
      <c r="P1445" s="12">
        <v>1351</v>
      </c>
      <c r="Q1445" s="186">
        <f t="shared" si="156"/>
        <v>0.3421985815602837</v>
      </c>
      <c r="R1445" s="12">
        <v>3948</v>
      </c>
      <c r="S1445" s="12">
        <v>1832</v>
      </c>
      <c r="T1445" s="12">
        <v>694</v>
      </c>
      <c r="U1445" s="12">
        <v>31</v>
      </c>
      <c r="V1445" s="12"/>
      <c r="W1445" s="32">
        <f t="shared" si="155"/>
        <v>725</v>
      </c>
    </row>
    <row r="1446" spans="1:23" ht="12">
      <c r="A1446" s="8"/>
      <c r="B1446" s="8"/>
      <c r="C1446" s="26">
        <v>4129</v>
      </c>
      <c r="D1446" s="27" t="s">
        <v>32</v>
      </c>
      <c r="E1446" s="11"/>
      <c r="F1446" s="11"/>
      <c r="G1446" s="12"/>
      <c r="H1446" s="12"/>
      <c r="I1446" s="12"/>
      <c r="J1446" s="12">
        <v>0</v>
      </c>
      <c r="K1446" s="12">
        <v>0</v>
      </c>
      <c r="L1446" s="12">
        <v>0</v>
      </c>
      <c r="M1446" s="12">
        <v>697</v>
      </c>
      <c r="N1446" s="12">
        <v>0</v>
      </c>
      <c r="O1446" s="12">
        <v>697</v>
      </c>
      <c r="P1446" s="12">
        <v>238</v>
      </c>
      <c r="Q1446" s="186">
        <f t="shared" si="156"/>
        <v>0.34146341463414637</v>
      </c>
      <c r="R1446" s="12">
        <v>697</v>
      </c>
      <c r="S1446" s="12">
        <v>323</v>
      </c>
      <c r="T1446" s="12">
        <v>37</v>
      </c>
      <c r="U1446" s="12">
        <v>1</v>
      </c>
      <c r="V1446" s="12"/>
      <c r="W1446" s="32">
        <f t="shared" si="155"/>
        <v>38</v>
      </c>
    </row>
    <row r="1447" spans="1:23" ht="12">
      <c r="A1447" s="8"/>
      <c r="B1447" s="8"/>
      <c r="C1447" s="26">
        <v>4177</v>
      </c>
      <c r="D1447" s="27" t="s">
        <v>69</v>
      </c>
      <c r="E1447" s="11"/>
      <c r="F1447" s="11"/>
      <c r="G1447" s="12"/>
      <c r="H1447" s="12"/>
      <c r="I1447" s="12"/>
      <c r="J1447" s="12">
        <v>0</v>
      </c>
      <c r="K1447" s="12">
        <v>0</v>
      </c>
      <c r="L1447" s="12">
        <v>0</v>
      </c>
      <c r="M1447" s="12">
        <v>161140</v>
      </c>
      <c r="N1447" s="12">
        <v>0</v>
      </c>
      <c r="O1447" s="12">
        <v>159815</v>
      </c>
      <c r="P1447" s="12">
        <v>64933</v>
      </c>
      <c r="Q1447" s="186">
        <f t="shared" si="156"/>
        <v>0.40630103557238056</v>
      </c>
      <c r="R1447" s="12">
        <v>159815</v>
      </c>
      <c r="S1447" s="12">
        <v>72650</v>
      </c>
      <c r="T1447" s="12">
        <v>950</v>
      </c>
      <c r="U1447" s="12"/>
      <c r="V1447" s="12"/>
      <c r="W1447" s="32">
        <f t="shared" si="155"/>
        <v>950</v>
      </c>
    </row>
    <row r="1448" spans="1:23" ht="12">
      <c r="A1448" s="8"/>
      <c r="B1448" s="8"/>
      <c r="C1448" s="26">
        <v>4179</v>
      </c>
      <c r="D1448" s="27" t="s">
        <v>69</v>
      </c>
      <c r="E1448" s="11"/>
      <c r="F1448" s="11"/>
      <c r="G1448" s="12"/>
      <c r="H1448" s="12"/>
      <c r="I1448" s="12"/>
      <c r="J1448" s="12">
        <v>0</v>
      </c>
      <c r="K1448" s="12">
        <v>0</v>
      </c>
      <c r="L1448" s="12">
        <v>0</v>
      </c>
      <c r="M1448" s="12">
        <v>28436</v>
      </c>
      <c r="N1448" s="12">
        <v>0</v>
      </c>
      <c r="O1448" s="12">
        <v>17761</v>
      </c>
      <c r="P1448" s="12">
        <v>11459</v>
      </c>
      <c r="Q1448" s="186">
        <f t="shared" si="156"/>
        <v>0.6451776363943472</v>
      </c>
      <c r="R1448" s="12">
        <v>17761</v>
      </c>
      <c r="S1448" s="12">
        <v>9329</v>
      </c>
      <c r="T1448" s="12">
        <v>50</v>
      </c>
      <c r="U1448" s="12"/>
      <c r="V1448" s="12"/>
      <c r="W1448" s="32">
        <f t="shared" si="155"/>
        <v>50</v>
      </c>
    </row>
    <row r="1449" spans="1:23" ht="12">
      <c r="A1449" s="8"/>
      <c r="B1449" s="8"/>
      <c r="C1449" s="26">
        <v>4217</v>
      </c>
      <c r="D1449" s="27" t="s">
        <v>34</v>
      </c>
      <c r="E1449" s="11"/>
      <c r="F1449" s="11"/>
      <c r="G1449" s="12"/>
      <c r="H1449" s="12"/>
      <c r="I1449" s="12"/>
      <c r="J1449" s="12">
        <v>0</v>
      </c>
      <c r="K1449" s="12">
        <v>0</v>
      </c>
      <c r="L1449" s="12">
        <v>0</v>
      </c>
      <c r="M1449" s="12">
        <v>38322</v>
      </c>
      <c r="N1449" s="12">
        <v>0</v>
      </c>
      <c r="O1449" s="12">
        <v>38322</v>
      </c>
      <c r="P1449" s="12">
        <v>26250</v>
      </c>
      <c r="Q1449" s="186">
        <f t="shared" si="156"/>
        <v>0.6849851260372631</v>
      </c>
      <c r="R1449" s="12">
        <v>38322</v>
      </c>
      <c r="S1449" s="12">
        <v>7344</v>
      </c>
      <c r="T1449" s="12">
        <v>3666</v>
      </c>
      <c r="U1449" s="12"/>
      <c r="V1449" s="12"/>
      <c r="W1449" s="32">
        <f t="shared" si="155"/>
        <v>3666</v>
      </c>
    </row>
    <row r="1450" spans="1:23" ht="12">
      <c r="A1450" s="8"/>
      <c r="B1450" s="8"/>
      <c r="C1450" s="26">
        <v>4219</v>
      </c>
      <c r="D1450" s="27" t="s">
        <v>34</v>
      </c>
      <c r="E1450" s="11"/>
      <c r="F1450" s="11"/>
      <c r="G1450" s="12"/>
      <c r="H1450" s="12"/>
      <c r="I1450" s="12"/>
      <c r="J1450" s="12">
        <v>0</v>
      </c>
      <c r="K1450" s="12">
        <v>0</v>
      </c>
      <c r="L1450" s="12">
        <v>0</v>
      </c>
      <c r="M1450" s="12">
        <v>6763</v>
      </c>
      <c r="N1450" s="12">
        <v>0</v>
      </c>
      <c r="O1450" s="12">
        <v>6763</v>
      </c>
      <c r="P1450" s="12">
        <v>4632</v>
      </c>
      <c r="Q1450" s="186">
        <f t="shared" si="156"/>
        <v>0.6849031494898714</v>
      </c>
      <c r="R1450" s="12">
        <v>6763</v>
      </c>
      <c r="S1450" s="12">
        <v>1296</v>
      </c>
      <c r="T1450" s="12">
        <v>194</v>
      </c>
      <c r="U1450" s="12"/>
      <c r="V1450" s="12"/>
      <c r="W1450" s="32">
        <f t="shared" si="155"/>
        <v>194</v>
      </c>
    </row>
    <row r="1451" spans="1:23" ht="12">
      <c r="A1451" s="8"/>
      <c r="B1451" s="8"/>
      <c r="C1451" s="26">
        <v>4277</v>
      </c>
      <c r="D1451" s="27" t="s">
        <v>36</v>
      </c>
      <c r="E1451" s="11"/>
      <c r="F1451" s="11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86"/>
      <c r="R1451" s="12"/>
      <c r="S1451" s="12"/>
      <c r="T1451" s="12">
        <v>104</v>
      </c>
      <c r="U1451" s="12"/>
      <c r="V1451" s="12">
        <v>104</v>
      </c>
      <c r="W1451" s="32">
        <f t="shared" si="155"/>
        <v>0</v>
      </c>
    </row>
    <row r="1452" spans="1:23" ht="12">
      <c r="A1452" s="8"/>
      <c r="B1452" s="8"/>
      <c r="C1452" s="26">
        <v>4279</v>
      </c>
      <c r="D1452" s="27" t="s">
        <v>36</v>
      </c>
      <c r="E1452" s="11"/>
      <c r="F1452" s="11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86"/>
      <c r="R1452" s="12"/>
      <c r="S1452" s="12"/>
      <c r="T1452" s="12">
        <v>6</v>
      </c>
      <c r="U1452" s="12"/>
      <c r="V1452" s="12">
        <v>6</v>
      </c>
      <c r="W1452" s="32">
        <f t="shared" si="155"/>
        <v>0</v>
      </c>
    </row>
    <row r="1453" spans="1:23" ht="12">
      <c r="A1453" s="8"/>
      <c r="B1453" s="8"/>
      <c r="C1453" s="26">
        <v>4287</v>
      </c>
      <c r="D1453" s="27" t="s">
        <v>70</v>
      </c>
      <c r="E1453" s="11"/>
      <c r="F1453" s="11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86"/>
      <c r="R1453" s="12"/>
      <c r="S1453" s="12"/>
      <c r="T1453" s="12"/>
      <c r="U1453" s="12">
        <v>104</v>
      </c>
      <c r="V1453" s="12"/>
      <c r="W1453" s="32">
        <f t="shared" si="155"/>
        <v>104</v>
      </c>
    </row>
    <row r="1454" spans="1:23" ht="12">
      <c r="A1454" s="8"/>
      <c r="B1454" s="8"/>
      <c r="C1454" s="26">
        <v>4289</v>
      </c>
      <c r="D1454" s="27" t="s">
        <v>70</v>
      </c>
      <c r="E1454" s="11"/>
      <c r="F1454" s="11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86"/>
      <c r="R1454" s="12"/>
      <c r="S1454" s="12"/>
      <c r="T1454" s="12"/>
      <c r="U1454" s="12">
        <v>6</v>
      </c>
      <c r="V1454" s="12"/>
      <c r="W1454" s="32">
        <f t="shared" si="155"/>
        <v>6</v>
      </c>
    </row>
    <row r="1455" spans="1:23" ht="12">
      <c r="A1455" s="8"/>
      <c r="B1455" s="8"/>
      <c r="C1455" s="26">
        <v>4307</v>
      </c>
      <c r="D1455" s="27" t="s">
        <v>154</v>
      </c>
      <c r="E1455" s="11"/>
      <c r="F1455" s="11"/>
      <c r="G1455" s="12"/>
      <c r="H1455" s="12"/>
      <c r="I1455" s="12"/>
      <c r="J1455" s="12">
        <v>0</v>
      </c>
      <c r="K1455" s="12">
        <v>0</v>
      </c>
      <c r="L1455" s="12">
        <v>0</v>
      </c>
      <c r="M1455" s="12">
        <v>87247</v>
      </c>
      <c r="N1455" s="12">
        <v>0</v>
      </c>
      <c r="O1455" s="12">
        <v>78372</v>
      </c>
      <c r="P1455" s="12">
        <v>44599</v>
      </c>
      <c r="Q1455" s="186">
        <f t="shared" si="156"/>
        <v>0.5690680345021181</v>
      </c>
      <c r="R1455" s="12">
        <v>78372</v>
      </c>
      <c r="S1455" s="12">
        <v>38551</v>
      </c>
      <c r="T1455" s="12">
        <v>107525</v>
      </c>
      <c r="U1455" s="12"/>
      <c r="V1455" s="12">
        <v>1</v>
      </c>
      <c r="W1455" s="32">
        <f t="shared" si="155"/>
        <v>107524</v>
      </c>
    </row>
    <row r="1456" spans="1:23" ht="12">
      <c r="A1456" s="8"/>
      <c r="B1456" s="8"/>
      <c r="C1456" s="26">
        <v>4309</v>
      </c>
      <c r="D1456" s="27" t="s">
        <v>154</v>
      </c>
      <c r="E1456" s="11"/>
      <c r="F1456" s="11"/>
      <c r="G1456" s="12"/>
      <c r="H1456" s="12"/>
      <c r="I1456" s="12"/>
      <c r="J1456" s="12">
        <v>0</v>
      </c>
      <c r="K1456" s="12">
        <v>0</v>
      </c>
      <c r="L1456" s="12">
        <v>0</v>
      </c>
      <c r="M1456" s="12">
        <v>15397</v>
      </c>
      <c r="N1456" s="12">
        <v>0</v>
      </c>
      <c r="O1456" s="12">
        <v>3080</v>
      </c>
      <c r="P1456" s="12">
        <v>1574</v>
      </c>
      <c r="Q1456" s="186">
        <f t="shared" si="156"/>
        <v>0.5110389610389611</v>
      </c>
      <c r="R1456" s="12">
        <v>3080</v>
      </c>
      <c r="S1456" s="12">
        <v>1465</v>
      </c>
      <c r="T1456" s="12">
        <v>5692</v>
      </c>
      <c r="U1456" s="12">
        <v>1</v>
      </c>
      <c r="V1456" s="12"/>
      <c r="W1456" s="32">
        <f t="shared" si="155"/>
        <v>5693</v>
      </c>
    </row>
    <row r="1457" spans="1:23" ht="12">
      <c r="A1457" s="8"/>
      <c r="B1457" s="8"/>
      <c r="C1457" s="26">
        <v>4417</v>
      </c>
      <c r="D1457" s="27" t="s">
        <v>42</v>
      </c>
      <c r="E1457" s="11"/>
      <c r="F1457" s="11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86"/>
      <c r="R1457" s="12"/>
      <c r="S1457" s="12"/>
      <c r="T1457" s="12">
        <v>665</v>
      </c>
      <c r="U1457" s="12"/>
      <c r="V1457" s="12">
        <v>362</v>
      </c>
      <c r="W1457" s="32">
        <f t="shared" si="155"/>
        <v>303</v>
      </c>
    </row>
    <row r="1458" spans="1:23" ht="12">
      <c r="A1458" s="8"/>
      <c r="B1458" s="8"/>
      <c r="C1458" s="26">
        <v>4419</v>
      </c>
      <c r="D1458" s="27" t="s">
        <v>42</v>
      </c>
      <c r="E1458" s="11"/>
      <c r="F1458" s="11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86"/>
      <c r="R1458" s="12"/>
      <c r="S1458" s="12"/>
      <c r="T1458" s="12">
        <v>35</v>
      </c>
      <c r="U1458" s="12"/>
      <c r="V1458" s="12">
        <v>19</v>
      </c>
      <c r="W1458" s="32">
        <f t="shared" si="155"/>
        <v>16</v>
      </c>
    </row>
    <row r="1459" spans="1:23" ht="24">
      <c r="A1459" s="8"/>
      <c r="B1459" s="8"/>
      <c r="C1459" s="26">
        <v>4447</v>
      </c>
      <c r="D1459" s="27" t="s">
        <v>375</v>
      </c>
      <c r="E1459" s="11"/>
      <c r="F1459" s="11"/>
      <c r="G1459" s="12"/>
      <c r="H1459" s="12"/>
      <c r="I1459" s="12"/>
      <c r="J1459" s="12">
        <v>0</v>
      </c>
      <c r="K1459" s="12">
        <v>0</v>
      </c>
      <c r="L1459" s="12">
        <v>0</v>
      </c>
      <c r="M1459" s="12">
        <v>739</v>
      </c>
      <c r="N1459" s="12">
        <v>0</v>
      </c>
      <c r="O1459" s="12">
        <v>739</v>
      </c>
      <c r="P1459" s="12">
        <v>308</v>
      </c>
      <c r="Q1459" s="186">
        <f t="shared" si="156"/>
        <v>0.4167794316644114</v>
      </c>
      <c r="R1459" s="12">
        <v>739</v>
      </c>
      <c r="S1459" s="12">
        <v>308</v>
      </c>
      <c r="T1459" s="12">
        <v>627</v>
      </c>
      <c r="U1459" s="12"/>
      <c r="V1459" s="12"/>
      <c r="W1459" s="32">
        <f t="shared" si="155"/>
        <v>627</v>
      </c>
    </row>
    <row r="1460" spans="1:23" ht="24">
      <c r="A1460" s="8"/>
      <c r="B1460" s="8"/>
      <c r="C1460" s="26">
        <v>4449</v>
      </c>
      <c r="D1460" s="27" t="s">
        <v>375</v>
      </c>
      <c r="E1460" s="11"/>
      <c r="F1460" s="11"/>
      <c r="G1460" s="12"/>
      <c r="H1460" s="12"/>
      <c r="I1460" s="12"/>
      <c r="J1460" s="12">
        <v>0</v>
      </c>
      <c r="K1460" s="12">
        <v>0</v>
      </c>
      <c r="L1460" s="12">
        <v>0</v>
      </c>
      <c r="M1460" s="12">
        <v>130</v>
      </c>
      <c r="N1460" s="12">
        <v>0</v>
      </c>
      <c r="O1460" s="12">
        <v>130</v>
      </c>
      <c r="P1460" s="12">
        <v>54</v>
      </c>
      <c r="Q1460" s="186">
        <f t="shared" si="156"/>
        <v>0.4153846153846154</v>
      </c>
      <c r="R1460" s="12">
        <v>130</v>
      </c>
      <c r="S1460" s="12">
        <v>54</v>
      </c>
      <c r="T1460" s="12">
        <v>33</v>
      </c>
      <c r="U1460" s="12"/>
      <c r="V1460" s="12"/>
      <c r="W1460" s="32">
        <f t="shared" si="155"/>
        <v>33</v>
      </c>
    </row>
    <row r="1461" spans="1:23" ht="36">
      <c r="A1461" s="8"/>
      <c r="B1461" s="8"/>
      <c r="C1461" s="26">
        <v>4747</v>
      </c>
      <c r="D1461" s="27" t="s">
        <v>73</v>
      </c>
      <c r="E1461" s="11"/>
      <c r="F1461" s="11"/>
      <c r="G1461" s="12"/>
      <c r="H1461" s="12"/>
      <c r="I1461" s="12"/>
      <c r="J1461" s="12">
        <v>0</v>
      </c>
      <c r="K1461" s="12">
        <v>0</v>
      </c>
      <c r="L1461" s="12">
        <v>0</v>
      </c>
      <c r="M1461" s="12">
        <v>5663</v>
      </c>
      <c r="N1461" s="12">
        <v>0</v>
      </c>
      <c r="O1461" s="12">
        <v>5663</v>
      </c>
      <c r="P1461" s="12"/>
      <c r="Q1461" s="186">
        <f t="shared" si="156"/>
        <v>0</v>
      </c>
      <c r="R1461" s="12">
        <v>5663</v>
      </c>
      <c r="S1461" s="12">
        <v>2743</v>
      </c>
      <c r="T1461" s="12">
        <v>228</v>
      </c>
      <c r="U1461" s="12"/>
      <c r="V1461" s="12"/>
      <c r="W1461" s="32">
        <f t="shared" si="155"/>
        <v>228</v>
      </c>
    </row>
    <row r="1462" spans="1:23" ht="36">
      <c r="A1462" s="8"/>
      <c r="B1462" s="8"/>
      <c r="C1462" s="26">
        <v>4749</v>
      </c>
      <c r="D1462" s="27" t="s">
        <v>73</v>
      </c>
      <c r="E1462" s="11"/>
      <c r="F1462" s="11"/>
      <c r="G1462" s="12"/>
      <c r="H1462" s="12"/>
      <c r="I1462" s="12"/>
      <c r="J1462" s="12">
        <v>0</v>
      </c>
      <c r="K1462" s="12">
        <v>0</v>
      </c>
      <c r="L1462" s="12">
        <v>0</v>
      </c>
      <c r="M1462" s="12">
        <v>999</v>
      </c>
      <c r="N1462" s="12">
        <v>0</v>
      </c>
      <c r="O1462" s="12">
        <v>999</v>
      </c>
      <c r="P1462" s="12"/>
      <c r="Q1462" s="186">
        <f t="shared" si="156"/>
        <v>0</v>
      </c>
      <c r="R1462" s="12">
        <v>999</v>
      </c>
      <c r="S1462" s="12">
        <v>484</v>
      </c>
      <c r="T1462" s="12">
        <v>12</v>
      </c>
      <c r="U1462" s="12"/>
      <c r="V1462" s="12"/>
      <c r="W1462" s="32">
        <f t="shared" si="155"/>
        <v>12</v>
      </c>
    </row>
    <row r="1463" spans="1:23" ht="24">
      <c r="A1463" s="8"/>
      <c r="B1463" s="8"/>
      <c r="C1463" s="26">
        <v>4757</v>
      </c>
      <c r="D1463" s="27" t="s">
        <v>118</v>
      </c>
      <c r="E1463" s="11"/>
      <c r="F1463" s="11"/>
      <c r="G1463" s="12"/>
      <c r="H1463" s="12"/>
      <c r="I1463" s="12"/>
      <c r="J1463" s="12">
        <v>0</v>
      </c>
      <c r="K1463" s="12">
        <v>0</v>
      </c>
      <c r="L1463" s="12">
        <v>0</v>
      </c>
      <c r="M1463" s="12">
        <v>3655</v>
      </c>
      <c r="N1463" s="12">
        <v>0</v>
      </c>
      <c r="O1463" s="12">
        <v>3655</v>
      </c>
      <c r="P1463" s="12"/>
      <c r="Q1463" s="186">
        <f t="shared" si="156"/>
        <v>0</v>
      </c>
      <c r="R1463" s="12">
        <v>3655</v>
      </c>
      <c r="S1463" s="12">
        <v>1768</v>
      </c>
      <c r="T1463" s="12">
        <v>2568</v>
      </c>
      <c r="U1463" s="12"/>
      <c r="V1463" s="12"/>
      <c r="W1463" s="32">
        <f t="shared" si="155"/>
        <v>2568</v>
      </c>
    </row>
    <row r="1464" spans="1:25" ht="24">
      <c r="A1464" s="8"/>
      <c r="B1464" s="8"/>
      <c r="C1464" s="26">
        <v>4759</v>
      </c>
      <c r="D1464" s="27" t="s">
        <v>118</v>
      </c>
      <c r="E1464" s="11"/>
      <c r="F1464" s="11"/>
      <c r="G1464" s="12"/>
      <c r="H1464" s="12"/>
      <c r="I1464" s="12"/>
      <c r="J1464" s="12">
        <v>0</v>
      </c>
      <c r="K1464" s="12">
        <v>0</v>
      </c>
      <c r="L1464" s="12">
        <v>0</v>
      </c>
      <c r="M1464" s="12">
        <v>645</v>
      </c>
      <c r="N1464" s="12">
        <v>0</v>
      </c>
      <c r="O1464" s="12">
        <v>645</v>
      </c>
      <c r="P1464" s="12"/>
      <c r="Q1464" s="186">
        <f t="shared" si="156"/>
        <v>0</v>
      </c>
      <c r="R1464" s="12">
        <v>645</v>
      </c>
      <c r="S1464" s="12">
        <v>312</v>
      </c>
      <c r="T1464" s="12">
        <v>136</v>
      </c>
      <c r="U1464" s="12"/>
      <c r="V1464" s="12"/>
      <c r="W1464" s="32">
        <f t="shared" si="155"/>
        <v>136</v>
      </c>
      <c r="Y1464" s="225" t="s">
        <v>379</v>
      </c>
    </row>
    <row r="1465" spans="1:23" ht="12" hidden="1">
      <c r="A1465" s="8"/>
      <c r="B1465" s="8"/>
      <c r="C1465" s="115"/>
      <c r="D1465" s="119"/>
      <c r="E1465" s="11"/>
      <c r="F1465" s="11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86"/>
      <c r="R1465" s="12"/>
      <c r="S1465" s="12"/>
      <c r="T1465" s="12"/>
      <c r="U1465" s="12"/>
      <c r="V1465" s="12"/>
      <c r="W1465" s="32"/>
    </row>
    <row r="1466" spans="1:23" ht="12" hidden="1">
      <c r="A1466" s="8"/>
      <c r="B1466" s="8"/>
      <c r="C1466" s="115"/>
      <c r="D1466" s="119"/>
      <c r="E1466" s="11"/>
      <c r="F1466" s="11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86"/>
      <c r="R1466" s="12"/>
      <c r="S1466" s="12"/>
      <c r="T1466" s="12"/>
      <c r="U1466" s="12"/>
      <c r="V1466" s="12"/>
      <c r="W1466" s="32"/>
    </row>
    <row r="1467" spans="1:23" ht="12" hidden="1">
      <c r="A1467" s="8"/>
      <c r="B1467" s="8"/>
      <c r="C1467" s="115"/>
      <c r="D1467" s="119"/>
      <c r="E1467" s="11"/>
      <c r="F1467" s="11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86"/>
      <c r="R1467" s="12"/>
      <c r="S1467" s="12"/>
      <c r="T1467" s="12"/>
      <c r="U1467" s="12"/>
      <c r="V1467" s="12"/>
      <c r="W1467" s="32"/>
    </row>
    <row r="1468" spans="1:23" ht="12" hidden="1">
      <c r="A1468" s="8"/>
      <c r="B1468" s="8"/>
      <c r="C1468" s="115"/>
      <c r="D1468" s="119"/>
      <c r="E1468" s="11"/>
      <c r="F1468" s="11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86"/>
      <c r="R1468" s="12"/>
      <c r="S1468" s="12"/>
      <c r="T1468" s="12"/>
      <c r="U1468" s="12"/>
      <c r="V1468" s="12"/>
      <c r="W1468" s="32"/>
    </row>
    <row r="1469" spans="1:26" ht="56.25">
      <c r="A1469" s="8"/>
      <c r="B1469" s="8"/>
      <c r="C1469" s="36"/>
      <c r="D1469" s="289" t="s">
        <v>380</v>
      </c>
      <c r="E1469" s="35"/>
      <c r="F1469" s="35"/>
      <c r="G1469" s="37"/>
      <c r="H1469" s="37"/>
      <c r="I1469" s="37"/>
      <c r="J1469" s="37">
        <f>SUM(J1476:J1496)</f>
        <v>15600</v>
      </c>
      <c r="K1469" s="37">
        <f>SUM(K1476:K1496)</f>
        <v>25071</v>
      </c>
      <c r="L1469" s="37">
        <f>SUM(L1476:L1498)</f>
        <v>26100</v>
      </c>
      <c r="M1469" s="37">
        <f>SUM(M1476:M1498)</f>
        <v>480812</v>
      </c>
      <c r="N1469" s="37">
        <v>0</v>
      </c>
      <c r="O1469" s="37">
        <v>361670</v>
      </c>
      <c r="P1469" s="37">
        <f>SUM(P1472:P1498)</f>
        <v>214961</v>
      </c>
      <c r="Q1469" s="186">
        <f>P1469/O1469</f>
        <v>0.5943567340393177</v>
      </c>
      <c r="R1469" s="37">
        <f>SUM(R1472:R1498)</f>
        <v>436962</v>
      </c>
      <c r="S1469" s="37">
        <f>SUM(S1472:S1498)</f>
        <v>199105</v>
      </c>
      <c r="T1469" s="37">
        <f>SUM(T1472:T1498)</f>
        <v>574371</v>
      </c>
      <c r="U1469" s="37">
        <f>SUM(U1470:U1498)</f>
        <v>1701</v>
      </c>
      <c r="V1469" s="37">
        <f>SUM(V1470:V1498)</f>
        <v>1701</v>
      </c>
      <c r="W1469" s="32">
        <f>T1469+U1469-V1469</f>
        <v>574371</v>
      </c>
      <c r="Y1469" s="237"/>
      <c r="Z1469" s="237"/>
    </row>
    <row r="1470" spans="1:26" ht="12" hidden="1">
      <c r="A1470" s="88"/>
      <c r="B1470" s="88"/>
      <c r="C1470" s="26">
        <v>3117</v>
      </c>
      <c r="D1470" s="10" t="s">
        <v>179</v>
      </c>
      <c r="E1470" s="11"/>
      <c r="F1470" s="11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223"/>
      <c r="R1470" s="12"/>
      <c r="S1470" s="12"/>
      <c r="T1470" s="12"/>
      <c r="U1470" s="12"/>
      <c r="V1470" s="12"/>
      <c r="W1470" s="214"/>
      <c r="Y1470" s="237"/>
      <c r="Z1470" s="237"/>
    </row>
    <row r="1471" spans="1:26" ht="12" hidden="1">
      <c r="A1471" s="88"/>
      <c r="B1471" s="88"/>
      <c r="C1471" s="26">
        <v>3119</v>
      </c>
      <c r="D1471" s="10" t="s">
        <v>179</v>
      </c>
      <c r="E1471" s="11"/>
      <c r="F1471" s="11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223"/>
      <c r="R1471" s="12"/>
      <c r="S1471" s="12"/>
      <c r="T1471" s="12"/>
      <c r="U1471" s="12"/>
      <c r="V1471" s="12"/>
      <c r="W1471" s="214"/>
      <c r="Y1471" s="237"/>
      <c r="Z1471" s="237"/>
    </row>
    <row r="1472" spans="1:26" ht="24">
      <c r="A1472" s="8"/>
      <c r="B1472" s="88"/>
      <c r="C1472" s="26">
        <v>4017</v>
      </c>
      <c r="D1472" s="10" t="s">
        <v>315</v>
      </c>
      <c r="E1472" s="11"/>
      <c r="F1472" s="11"/>
      <c r="G1472" s="12"/>
      <c r="H1472" s="12"/>
      <c r="I1472" s="12"/>
      <c r="J1472" s="12"/>
      <c r="K1472" s="12"/>
      <c r="L1472" s="12"/>
      <c r="M1472" s="12"/>
      <c r="N1472" s="12">
        <v>0</v>
      </c>
      <c r="O1472" s="12">
        <v>10200</v>
      </c>
      <c r="P1472" s="12">
        <v>2550</v>
      </c>
      <c r="Q1472" s="186">
        <f>P1472/O1472</f>
        <v>0.25</v>
      </c>
      <c r="R1472" s="12">
        <v>10200</v>
      </c>
      <c r="S1472" s="12">
        <v>5100</v>
      </c>
      <c r="T1472" s="12">
        <v>30371</v>
      </c>
      <c r="U1472" s="237"/>
      <c r="V1472" s="12"/>
      <c r="W1472" s="32">
        <f aca="true" t="shared" si="157" ref="W1472:W1498">T1472+U1472-V1472</f>
        <v>30371</v>
      </c>
      <c r="Y1472" s="237"/>
      <c r="Z1472" s="237"/>
    </row>
    <row r="1473" spans="1:26" ht="24">
      <c r="A1473" s="8"/>
      <c r="B1473" s="88"/>
      <c r="C1473" s="26">
        <v>4019</v>
      </c>
      <c r="D1473" s="10" t="s">
        <v>315</v>
      </c>
      <c r="E1473" s="11"/>
      <c r="F1473" s="11"/>
      <c r="G1473" s="12"/>
      <c r="H1473" s="12"/>
      <c r="I1473" s="12"/>
      <c r="J1473" s="12"/>
      <c r="K1473" s="12"/>
      <c r="L1473" s="12"/>
      <c r="M1473" s="12"/>
      <c r="N1473" s="12">
        <v>0</v>
      </c>
      <c r="O1473" s="12">
        <v>1800</v>
      </c>
      <c r="P1473" s="12">
        <v>450</v>
      </c>
      <c r="Q1473" s="186">
        <f>P1473/O1473</f>
        <v>0.25</v>
      </c>
      <c r="R1473" s="12">
        <v>1800</v>
      </c>
      <c r="S1473" s="12">
        <v>900</v>
      </c>
      <c r="T1473" s="12">
        <v>5360</v>
      </c>
      <c r="U1473" s="237"/>
      <c r="V1473" s="12"/>
      <c r="W1473" s="32">
        <f t="shared" si="157"/>
        <v>5360</v>
      </c>
      <c r="Y1473" s="237"/>
      <c r="Z1473" s="237"/>
    </row>
    <row r="1474" spans="1:26" ht="12" hidden="1">
      <c r="A1474" s="8"/>
      <c r="B1474" s="88"/>
      <c r="C1474" s="26">
        <v>4047</v>
      </c>
      <c r="D1474" s="10" t="s">
        <v>374</v>
      </c>
      <c r="E1474" s="11"/>
      <c r="F1474" s="11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86"/>
      <c r="R1474" s="12"/>
      <c r="S1474" s="12"/>
      <c r="T1474" s="12">
        <v>0</v>
      </c>
      <c r="U1474" s="237"/>
      <c r="V1474" s="12"/>
      <c r="W1474" s="32">
        <f t="shared" si="157"/>
        <v>0</v>
      </c>
      <c r="Y1474" s="237"/>
      <c r="Z1474" s="237"/>
    </row>
    <row r="1475" spans="1:26" ht="12" hidden="1">
      <c r="A1475" s="8"/>
      <c r="B1475" s="88"/>
      <c r="C1475" s="26">
        <v>4049</v>
      </c>
      <c r="D1475" s="10" t="s">
        <v>374</v>
      </c>
      <c r="E1475" s="11"/>
      <c r="F1475" s="11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86"/>
      <c r="R1475" s="12"/>
      <c r="S1475" s="12"/>
      <c r="T1475" s="12">
        <v>0</v>
      </c>
      <c r="U1475" s="237"/>
      <c r="V1475" s="12"/>
      <c r="W1475" s="32">
        <f t="shared" si="157"/>
        <v>0</v>
      </c>
      <c r="Y1475" s="237"/>
      <c r="Z1475" s="237"/>
    </row>
    <row r="1476" spans="1:26" ht="24">
      <c r="A1476" s="8"/>
      <c r="B1476" s="8"/>
      <c r="C1476" s="26">
        <v>4117</v>
      </c>
      <c r="D1476" s="27" t="s">
        <v>113</v>
      </c>
      <c r="E1476" s="11"/>
      <c r="F1476" s="11"/>
      <c r="G1476" s="12"/>
      <c r="H1476" s="12"/>
      <c r="I1476" s="12"/>
      <c r="J1476" s="12">
        <v>0</v>
      </c>
      <c r="K1476" s="12">
        <v>0</v>
      </c>
      <c r="L1476" s="12">
        <v>0</v>
      </c>
      <c r="M1476" s="12">
        <v>24719</v>
      </c>
      <c r="N1476" s="12">
        <v>0</v>
      </c>
      <c r="O1476" s="12">
        <v>24719</v>
      </c>
      <c r="P1476" s="12">
        <v>8429</v>
      </c>
      <c r="Q1476" s="186">
        <f aca="true" t="shared" si="158" ref="Q1476:Q1483">P1476/O1476</f>
        <v>0.3409927586067398</v>
      </c>
      <c r="R1476" s="12">
        <v>24719</v>
      </c>
      <c r="S1476" s="12">
        <v>11472</v>
      </c>
      <c r="T1476" s="12">
        <v>13124</v>
      </c>
      <c r="U1476" s="237"/>
      <c r="V1476" s="12"/>
      <c r="W1476" s="32">
        <f t="shared" si="157"/>
        <v>13124</v>
      </c>
      <c r="Y1476" s="237"/>
      <c r="Z1476" s="237"/>
    </row>
    <row r="1477" spans="1:26" ht="24">
      <c r="A1477" s="8"/>
      <c r="B1477" s="8"/>
      <c r="C1477" s="26">
        <v>4119</v>
      </c>
      <c r="D1477" s="27" t="s">
        <v>113</v>
      </c>
      <c r="E1477" s="11"/>
      <c r="F1477" s="11"/>
      <c r="G1477" s="12"/>
      <c r="H1477" s="12"/>
      <c r="I1477" s="12"/>
      <c r="J1477" s="12">
        <v>0</v>
      </c>
      <c r="K1477" s="12">
        <v>0</v>
      </c>
      <c r="L1477" s="12">
        <v>0</v>
      </c>
      <c r="M1477" s="12">
        <v>4362</v>
      </c>
      <c r="N1477" s="12">
        <v>0</v>
      </c>
      <c r="O1477" s="12">
        <v>4362</v>
      </c>
      <c r="P1477" s="12">
        <v>1487</v>
      </c>
      <c r="Q1477" s="186">
        <f t="shared" si="158"/>
        <v>0.34089867033470883</v>
      </c>
      <c r="R1477" s="12">
        <v>4362</v>
      </c>
      <c r="S1477" s="12">
        <v>2025</v>
      </c>
      <c r="T1477" s="12">
        <v>2316</v>
      </c>
      <c r="U1477" s="237"/>
      <c r="V1477" s="12"/>
      <c r="W1477" s="32">
        <f t="shared" si="157"/>
        <v>2316</v>
      </c>
      <c r="Y1477" s="237"/>
      <c r="Z1477" s="237"/>
    </row>
    <row r="1478" spans="1:26" ht="12">
      <c r="A1478" s="8"/>
      <c r="B1478" s="8"/>
      <c r="C1478" s="26">
        <v>4127</v>
      </c>
      <c r="D1478" s="27" t="s">
        <v>32</v>
      </c>
      <c r="E1478" s="11"/>
      <c r="F1478" s="11"/>
      <c r="G1478" s="12"/>
      <c r="H1478" s="12"/>
      <c r="I1478" s="12"/>
      <c r="J1478" s="12">
        <v>0</v>
      </c>
      <c r="K1478" s="12">
        <v>0</v>
      </c>
      <c r="L1478" s="12">
        <v>0</v>
      </c>
      <c r="M1478" s="12">
        <v>3948</v>
      </c>
      <c r="N1478" s="12">
        <v>0</v>
      </c>
      <c r="O1478" s="12">
        <v>3948</v>
      </c>
      <c r="P1478" s="12">
        <v>1351</v>
      </c>
      <c r="Q1478" s="186">
        <f t="shared" si="158"/>
        <v>0.3421985815602837</v>
      </c>
      <c r="R1478" s="12">
        <v>3948</v>
      </c>
      <c r="S1478" s="12">
        <v>1832</v>
      </c>
      <c r="T1478" s="12">
        <v>2130</v>
      </c>
      <c r="U1478" s="237"/>
      <c r="V1478" s="12"/>
      <c r="W1478" s="32">
        <f t="shared" si="157"/>
        <v>2130</v>
      </c>
      <c r="Y1478" s="237"/>
      <c r="Z1478" s="237"/>
    </row>
    <row r="1479" spans="1:26" ht="12">
      <c r="A1479" s="8"/>
      <c r="B1479" s="8"/>
      <c r="C1479" s="26">
        <v>4129</v>
      </c>
      <c r="D1479" s="27" t="s">
        <v>32</v>
      </c>
      <c r="E1479" s="11"/>
      <c r="F1479" s="11"/>
      <c r="G1479" s="12"/>
      <c r="H1479" s="12"/>
      <c r="I1479" s="12"/>
      <c r="J1479" s="12">
        <v>0</v>
      </c>
      <c r="K1479" s="12">
        <v>0</v>
      </c>
      <c r="L1479" s="12">
        <v>0</v>
      </c>
      <c r="M1479" s="12">
        <v>697</v>
      </c>
      <c r="N1479" s="12">
        <v>0</v>
      </c>
      <c r="O1479" s="12">
        <v>697</v>
      </c>
      <c r="P1479" s="12">
        <v>238</v>
      </c>
      <c r="Q1479" s="186">
        <f t="shared" si="158"/>
        <v>0.34146341463414637</v>
      </c>
      <c r="R1479" s="12">
        <v>697</v>
      </c>
      <c r="S1479" s="12">
        <v>323</v>
      </c>
      <c r="T1479" s="12">
        <v>375</v>
      </c>
      <c r="U1479" s="237"/>
      <c r="V1479" s="12"/>
      <c r="W1479" s="32">
        <f t="shared" si="157"/>
        <v>375</v>
      </c>
      <c r="Y1479" s="237"/>
      <c r="Z1479" s="237"/>
    </row>
    <row r="1480" spans="1:26" ht="12">
      <c r="A1480" s="8"/>
      <c r="B1480" s="8"/>
      <c r="C1480" s="26">
        <v>4177</v>
      </c>
      <c r="D1480" s="27" t="s">
        <v>69</v>
      </c>
      <c r="E1480" s="11"/>
      <c r="F1480" s="11"/>
      <c r="G1480" s="12"/>
      <c r="H1480" s="12"/>
      <c r="I1480" s="12"/>
      <c r="J1480" s="12">
        <v>0</v>
      </c>
      <c r="K1480" s="12">
        <v>0</v>
      </c>
      <c r="L1480" s="12">
        <v>0</v>
      </c>
      <c r="M1480" s="12">
        <v>161140</v>
      </c>
      <c r="N1480" s="12">
        <v>0</v>
      </c>
      <c r="O1480" s="12">
        <v>159815</v>
      </c>
      <c r="P1480" s="12">
        <v>64933</v>
      </c>
      <c r="Q1480" s="186">
        <f t="shared" si="158"/>
        <v>0.40630103557238056</v>
      </c>
      <c r="R1480" s="12">
        <v>159815</v>
      </c>
      <c r="S1480" s="12">
        <v>72650</v>
      </c>
      <c r="T1480" s="12">
        <v>282629</v>
      </c>
      <c r="U1480" s="237"/>
      <c r="V1480" s="12">
        <v>1</v>
      </c>
      <c r="W1480" s="32">
        <f t="shared" si="157"/>
        <v>282628</v>
      </c>
      <c r="Y1480" s="237"/>
      <c r="Z1480" s="237"/>
    </row>
    <row r="1481" spans="1:26" ht="12">
      <c r="A1481" s="8"/>
      <c r="B1481" s="8"/>
      <c r="C1481" s="26">
        <v>4179</v>
      </c>
      <c r="D1481" s="27" t="s">
        <v>69</v>
      </c>
      <c r="E1481" s="11"/>
      <c r="F1481" s="11"/>
      <c r="G1481" s="12"/>
      <c r="H1481" s="12"/>
      <c r="I1481" s="12"/>
      <c r="J1481" s="12">
        <v>0</v>
      </c>
      <c r="K1481" s="12">
        <v>0</v>
      </c>
      <c r="L1481" s="12">
        <v>0</v>
      </c>
      <c r="M1481" s="12">
        <v>28436</v>
      </c>
      <c r="N1481" s="12">
        <v>0</v>
      </c>
      <c r="O1481" s="12">
        <v>17761</v>
      </c>
      <c r="P1481" s="12">
        <v>11459</v>
      </c>
      <c r="Q1481" s="186">
        <f t="shared" si="158"/>
        <v>0.6451776363943472</v>
      </c>
      <c r="R1481" s="12">
        <v>17761</v>
      </c>
      <c r="S1481" s="12">
        <v>9329</v>
      </c>
      <c r="T1481" s="12">
        <v>49876</v>
      </c>
      <c r="U1481" s="237">
        <v>1</v>
      </c>
      <c r="V1481" s="12"/>
      <c r="W1481" s="32">
        <f t="shared" si="157"/>
        <v>49877</v>
      </c>
      <c r="Y1481" s="237"/>
      <c r="Z1481" s="237"/>
    </row>
    <row r="1482" spans="1:26" ht="12">
      <c r="A1482" s="8"/>
      <c r="B1482" s="8"/>
      <c r="C1482" s="26">
        <v>4217</v>
      </c>
      <c r="D1482" s="27" t="s">
        <v>34</v>
      </c>
      <c r="E1482" s="11"/>
      <c r="F1482" s="11"/>
      <c r="G1482" s="12"/>
      <c r="H1482" s="12"/>
      <c r="I1482" s="12"/>
      <c r="J1482" s="12">
        <v>0</v>
      </c>
      <c r="K1482" s="12">
        <v>0</v>
      </c>
      <c r="L1482" s="12">
        <v>0</v>
      </c>
      <c r="M1482" s="12">
        <v>38322</v>
      </c>
      <c r="N1482" s="12">
        <v>0</v>
      </c>
      <c r="O1482" s="12">
        <v>38322</v>
      </c>
      <c r="P1482" s="12">
        <v>26250</v>
      </c>
      <c r="Q1482" s="186">
        <f t="shared" si="158"/>
        <v>0.6849851260372631</v>
      </c>
      <c r="R1482" s="12">
        <v>38322</v>
      </c>
      <c r="S1482" s="12">
        <v>7344</v>
      </c>
      <c r="T1482" s="12">
        <v>56780</v>
      </c>
      <c r="U1482" s="237"/>
      <c r="V1482" s="12"/>
      <c r="W1482" s="32">
        <f t="shared" si="157"/>
        <v>56780</v>
      </c>
      <c r="Y1482" s="237"/>
      <c r="Z1482" s="237"/>
    </row>
    <row r="1483" spans="1:26" ht="12">
      <c r="A1483" s="8"/>
      <c r="B1483" s="8"/>
      <c r="C1483" s="26">
        <v>4219</v>
      </c>
      <c r="D1483" s="27" t="s">
        <v>34</v>
      </c>
      <c r="E1483" s="11"/>
      <c r="F1483" s="11"/>
      <c r="G1483" s="12"/>
      <c r="H1483" s="12"/>
      <c r="I1483" s="12"/>
      <c r="J1483" s="12">
        <v>0</v>
      </c>
      <c r="K1483" s="12">
        <v>0</v>
      </c>
      <c r="L1483" s="12">
        <v>0</v>
      </c>
      <c r="M1483" s="12">
        <v>6763</v>
      </c>
      <c r="N1483" s="12">
        <v>0</v>
      </c>
      <c r="O1483" s="12">
        <v>6763</v>
      </c>
      <c r="P1483" s="12">
        <v>4632</v>
      </c>
      <c r="Q1483" s="186">
        <f t="shared" si="158"/>
        <v>0.6849031494898714</v>
      </c>
      <c r="R1483" s="12">
        <v>6763</v>
      </c>
      <c r="S1483" s="12">
        <v>1296</v>
      </c>
      <c r="T1483" s="12">
        <v>10020</v>
      </c>
      <c r="U1483" s="237"/>
      <c r="V1483" s="12"/>
      <c r="W1483" s="32">
        <f t="shared" si="157"/>
        <v>10020</v>
      </c>
      <c r="Y1483" s="237"/>
      <c r="Z1483" s="237"/>
    </row>
    <row r="1484" spans="1:26" ht="12" hidden="1">
      <c r="A1484" s="8"/>
      <c r="B1484" s="8"/>
      <c r="C1484" s="26">
        <v>4277</v>
      </c>
      <c r="D1484" s="27" t="s">
        <v>36</v>
      </c>
      <c r="E1484" s="11"/>
      <c r="F1484" s="11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86"/>
      <c r="R1484" s="12"/>
      <c r="S1484" s="12"/>
      <c r="T1484" s="12">
        <v>0</v>
      </c>
      <c r="U1484" s="237"/>
      <c r="V1484" s="12"/>
      <c r="W1484" s="32">
        <f t="shared" si="157"/>
        <v>0</v>
      </c>
      <c r="Y1484" s="237"/>
      <c r="Z1484" s="237"/>
    </row>
    <row r="1485" spans="1:26" ht="12" hidden="1">
      <c r="A1485" s="8"/>
      <c r="B1485" s="8"/>
      <c r="C1485" s="26">
        <v>4279</v>
      </c>
      <c r="D1485" s="27" t="s">
        <v>36</v>
      </c>
      <c r="E1485" s="11"/>
      <c r="F1485" s="11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86"/>
      <c r="R1485" s="12"/>
      <c r="S1485" s="12"/>
      <c r="T1485" s="12">
        <v>0</v>
      </c>
      <c r="U1485" s="237"/>
      <c r="V1485" s="12"/>
      <c r="W1485" s="32">
        <f t="shared" si="157"/>
        <v>0</v>
      </c>
      <c r="Y1485" s="237"/>
      <c r="Z1485" s="237"/>
    </row>
    <row r="1486" spans="1:26" ht="12">
      <c r="A1486" s="8"/>
      <c r="B1486" s="8"/>
      <c r="C1486" s="26">
        <v>4307</v>
      </c>
      <c r="D1486" s="27" t="s">
        <v>154</v>
      </c>
      <c r="E1486" s="11"/>
      <c r="F1486" s="11"/>
      <c r="G1486" s="12"/>
      <c r="H1486" s="12"/>
      <c r="I1486" s="12"/>
      <c r="J1486" s="12">
        <v>0</v>
      </c>
      <c r="K1486" s="12">
        <v>0</v>
      </c>
      <c r="L1486" s="12">
        <v>0</v>
      </c>
      <c r="M1486" s="12">
        <v>87247</v>
      </c>
      <c r="N1486" s="12">
        <v>0</v>
      </c>
      <c r="O1486" s="12">
        <v>78372</v>
      </c>
      <c r="P1486" s="12">
        <v>44599</v>
      </c>
      <c r="Q1486" s="186">
        <f>P1486/O1486</f>
        <v>0.5690680345021181</v>
      </c>
      <c r="R1486" s="12">
        <v>78372</v>
      </c>
      <c r="S1486" s="12">
        <v>38551</v>
      </c>
      <c r="T1486" s="12">
        <v>83555</v>
      </c>
      <c r="U1486" s="237"/>
      <c r="V1486" s="12"/>
      <c r="W1486" s="32">
        <f t="shared" si="157"/>
        <v>83555</v>
      </c>
      <c r="Y1486" s="237"/>
      <c r="Z1486" s="237"/>
    </row>
    <row r="1487" spans="1:26" ht="12">
      <c r="A1487" s="8"/>
      <c r="B1487" s="8"/>
      <c r="C1487" s="26">
        <v>4309</v>
      </c>
      <c r="D1487" s="27" t="s">
        <v>154</v>
      </c>
      <c r="E1487" s="11"/>
      <c r="F1487" s="11"/>
      <c r="G1487" s="12"/>
      <c r="H1487" s="12"/>
      <c r="I1487" s="12"/>
      <c r="J1487" s="12">
        <v>0</v>
      </c>
      <c r="K1487" s="12">
        <v>0</v>
      </c>
      <c r="L1487" s="12">
        <v>0</v>
      </c>
      <c r="M1487" s="12">
        <v>87247</v>
      </c>
      <c r="N1487" s="12">
        <v>0</v>
      </c>
      <c r="O1487" s="12">
        <v>78372</v>
      </c>
      <c r="P1487" s="12">
        <v>44599</v>
      </c>
      <c r="Q1487" s="186">
        <f>P1487/O1487</f>
        <v>0.5690680345021181</v>
      </c>
      <c r="R1487" s="12">
        <v>78372</v>
      </c>
      <c r="S1487" s="12">
        <v>38551</v>
      </c>
      <c r="T1487" s="12">
        <v>14745</v>
      </c>
      <c r="U1487" s="237"/>
      <c r="V1487" s="12"/>
      <c r="W1487" s="32">
        <f>T1487+U1487-V1487</f>
        <v>14745</v>
      </c>
      <c r="Y1487" s="237"/>
      <c r="Z1487" s="237"/>
    </row>
    <row r="1488" spans="1:26" ht="36">
      <c r="A1488" s="25"/>
      <c r="B1488" s="25"/>
      <c r="C1488" s="26">
        <v>4377</v>
      </c>
      <c r="D1488" s="27" t="s">
        <v>135</v>
      </c>
      <c r="E1488" s="85">
        <v>4000</v>
      </c>
      <c r="F1488" s="85">
        <v>7017</v>
      </c>
      <c r="G1488" s="1">
        <v>5200</v>
      </c>
      <c r="H1488" s="1">
        <v>5200</v>
      </c>
      <c r="I1488" s="1"/>
      <c r="J1488" s="1">
        <v>5200</v>
      </c>
      <c r="K1488" s="1">
        <v>8357</v>
      </c>
      <c r="L1488" s="1">
        <v>8700</v>
      </c>
      <c r="M1488" s="1">
        <v>8700</v>
      </c>
      <c r="N1488" s="1">
        <v>0</v>
      </c>
      <c r="O1488" s="1">
        <v>2959</v>
      </c>
      <c r="P1488" s="1">
        <v>1664</v>
      </c>
      <c r="Q1488" s="186">
        <f>P1488/O1488</f>
        <v>0.5623521459952687</v>
      </c>
      <c r="R1488" s="1"/>
      <c r="S1488" s="1">
        <f>1867</f>
        <v>1867</v>
      </c>
      <c r="T1488" s="1"/>
      <c r="U1488" s="237">
        <v>1700</v>
      </c>
      <c r="V1488" s="1"/>
      <c r="W1488" s="32">
        <f>T1488+U1488-V1488</f>
        <v>1700</v>
      </c>
      <c r="Y1488" s="237"/>
      <c r="Z1488" s="237"/>
    </row>
    <row r="1489" spans="1:26" ht="36">
      <c r="A1489" s="25"/>
      <c r="B1489" s="25"/>
      <c r="C1489" s="26">
        <v>4378</v>
      </c>
      <c r="D1489" s="27" t="s">
        <v>135</v>
      </c>
      <c r="E1489" s="85">
        <v>4000</v>
      </c>
      <c r="F1489" s="85">
        <v>7017</v>
      </c>
      <c r="G1489" s="1">
        <v>5200</v>
      </c>
      <c r="H1489" s="1">
        <v>5200</v>
      </c>
      <c r="I1489" s="1"/>
      <c r="J1489" s="1">
        <v>5200</v>
      </c>
      <c r="K1489" s="1">
        <v>8357</v>
      </c>
      <c r="L1489" s="1">
        <v>8700</v>
      </c>
      <c r="M1489" s="1">
        <v>8700</v>
      </c>
      <c r="N1489" s="1">
        <v>0</v>
      </c>
      <c r="O1489" s="1">
        <v>2959</v>
      </c>
      <c r="P1489" s="1">
        <v>1664</v>
      </c>
      <c r="Q1489" s="186">
        <f>P1489/O1489</f>
        <v>0.5623521459952687</v>
      </c>
      <c r="R1489" s="1"/>
      <c r="S1489" s="1">
        <f>1867</f>
        <v>1867</v>
      </c>
      <c r="T1489" s="1">
        <v>1700</v>
      </c>
      <c r="U1489" s="237"/>
      <c r="V1489" s="1">
        <v>1700</v>
      </c>
      <c r="W1489" s="32">
        <f t="shared" si="157"/>
        <v>0</v>
      </c>
      <c r="Y1489" s="237"/>
      <c r="Z1489" s="237"/>
    </row>
    <row r="1490" spans="1:31" ht="36">
      <c r="A1490" s="25"/>
      <c r="B1490" s="25"/>
      <c r="C1490" s="26">
        <v>4379</v>
      </c>
      <c r="D1490" s="27" t="s">
        <v>135</v>
      </c>
      <c r="E1490" s="85">
        <v>4000</v>
      </c>
      <c r="F1490" s="85">
        <v>7017</v>
      </c>
      <c r="G1490" s="1">
        <v>5200</v>
      </c>
      <c r="H1490" s="1">
        <v>5200</v>
      </c>
      <c r="I1490" s="1"/>
      <c r="J1490" s="1">
        <v>5200</v>
      </c>
      <c r="K1490" s="1">
        <v>8357</v>
      </c>
      <c r="L1490" s="1">
        <v>8700</v>
      </c>
      <c r="M1490" s="1">
        <v>8700</v>
      </c>
      <c r="N1490" s="1">
        <v>0</v>
      </c>
      <c r="O1490" s="1">
        <v>522</v>
      </c>
      <c r="P1490" s="1">
        <v>294</v>
      </c>
      <c r="Q1490" s="186">
        <f>P1490/O1490</f>
        <v>0.5632183908045977</v>
      </c>
      <c r="R1490" s="1"/>
      <c r="S1490" s="1">
        <f>329</f>
        <v>329</v>
      </c>
      <c r="T1490" s="1">
        <v>300</v>
      </c>
      <c r="U1490" s="237"/>
      <c r="V1490" s="1"/>
      <c r="W1490" s="32">
        <f t="shared" si="157"/>
        <v>300</v>
      </c>
      <c r="Y1490" s="238"/>
      <c r="Z1490" s="237"/>
      <c r="AD1490" s="235" t="s">
        <v>377</v>
      </c>
      <c r="AE1490" s="225"/>
    </row>
    <row r="1491" spans="1:26" ht="12">
      <c r="A1491" s="8"/>
      <c r="B1491" s="8"/>
      <c r="C1491" s="26">
        <v>4417</v>
      </c>
      <c r="D1491" s="27" t="s">
        <v>42</v>
      </c>
      <c r="E1491" s="11"/>
      <c r="F1491" s="11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86"/>
      <c r="R1491" s="12"/>
      <c r="S1491" s="12"/>
      <c r="T1491" s="12">
        <v>1700</v>
      </c>
      <c r="U1491" s="237"/>
      <c r="V1491" s="12"/>
      <c r="W1491" s="32">
        <f t="shared" si="157"/>
        <v>1700</v>
      </c>
      <c r="Y1491" s="237"/>
      <c r="Z1491" s="237"/>
    </row>
    <row r="1492" spans="1:26" ht="12">
      <c r="A1492" s="8"/>
      <c r="B1492" s="8"/>
      <c r="C1492" s="26">
        <v>4419</v>
      </c>
      <c r="D1492" s="27" t="s">
        <v>42</v>
      </c>
      <c r="E1492" s="11"/>
      <c r="F1492" s="11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86"/>
      <c r="R1492" s="12"/>
      <c r="S1492" s="12"/>
      <c r="T1492" s="12">
        <v>300</v>
      </c>
      <c r="U1492" s="237"/>
      <c r="V1492" s="12"/>
      <c r="W1492" s="32">
        <f t="shared" si="157"/>
        <v>300</v>
      </c>
      <c r="Y1492" s="237"/>
      <c r="Z1492" s="237"/>
    </row>
    <row r="1493" spans="1:26" ht="24" hidden="1">
      <c r="A1493" s="8"/>
      <c r="B1493" s="8"/>
      <c r="C1493" s="26">
        <v>4447</v>
      </c>
      <c r="D1493" s="27" t="s">
        <v>375</v>
      </c>
      <c r="E1493" s="11"/>
      <c r="F1493" s="11"/>
      <c r="G1493" s="12"/>
      <c r="H1493" s="12"/>
      <c r="I1493" s="12"/>
      <c r="J1493" s="12">
        <v>0</v>
      </c>
      <c r="K1493" s="12">
        <v>0</v>
      </c>
      <c r="L1493" s="12">
        <v>0</v>
      </c>
      <c r="M1493" s="12">
        <v>739</v>
      </c>
      <c r="N1493" s="12">
        <v>0</v>
      </c>
      <c r="O1493" s="12">
        <v>739</v>
      </c>
      <c r="P1493" s="12">
        <v>308</v>
      </c>
      <c r="Q1493" s="186">
        <f aca="true" t="shared" si="159" ref="Q1493:Q1498">P1493/O1493</f>
        <v>0.4167794316644114</v>
      </c>
      <c r="R1493" s="12">
        <v>739</v>
      </c>
      <c r="S1493" s="12">
        <v>308</v>
      </c>
      <c r="T1493" s="12">
        <v>0</v>
      </c>
      <c r="U1493" s="237"/>
      <c r="V1493" s="12"/>
      <c r="W1493" s="32">
        <f t="shared" si="157"/>
        <v>0</v>
      </c>
      <c r="Y1493" s="237"/>
      <c r="Z1493" s="237"/>
    </row>
    <row r="1494" spans="1:26" ht="24" hidden="1">
      <c r="A1494" s="8"/>
      <c r="B1494" s="8"/>
      <c r="C1494" s="26">
        <v>4449</v>
      </c>
      <c r="D1494" s="27" t="s">
        <v>375</v>
      </c>
      <c r="E1494" s="11"/>
      <c r="F1494" s="11"/>
      <c r="G1494" s="12"/>
      <c r="H1494" s="12"/>
      <c r="I1494" s="12"/>
      <c r="J1494" s="12">
        <v>0</v>
      </c>
      <c r="K1494" s="12">
        <v>0</v>
      </c>
      <c r="L1494" s="12">
        <v>0</v>
      </c>
      <c r="M1494" s="12">
        <v>130</v>
      </c>
      <c r="N1494" s="12">
        <v>0</v>
      </c>
      <c r="O1494" s="12">
        <v>130</v>
      </c>
      <c r="P1494" s="12">
        <v>54</v>
      </c>
      <c r="Q1494" s="186">
        <f t="shared" si="159"/>
        <v>0.4153846153846154</v>
      </c>
      <c r="R1494" s="12">
        <v>130</v>
      </c>
      <c r="S1494" s="12">
        <v>54</v>
      </c>
      <c r="T1494" s="12">
        <v>0</v>
      </c>
      <c r="U1494" s="237"/>
      <c r="V1494" s="12"/>
      <c r="W1494" s="32">
        <f t="shared" si="157"/>
        <v>0</v>
      </c>
      <c r="Y1494" s="237"/>
      <c r="Z1494" s="237"/>
    </row>
    <row r="1495" spans="1:26" ht="36">
      <c r="A1495" s="8"/>
      <c r="B1495" s="8"/>
      <c r="C1495" s="26">
        <v>4747</v>
      </c>
      <c r="D1495" s="27" t="s">
        <v>73</v>
      </c>
      <c r="E1495" s="11"/>
      <c r="F1495" s="11"/>
      <c r="G1495" s="12"/>
      <c r="H1495" s="12"/>
      <c r="I1495" s="12"/>
      <c r="J1495" s="12">
        <v>0</v>
      </c>
      <c r="K1495" s="12">
        <v>0</v>
      </c>
      <c r="L1495" s="12">
        <v>0</v>
      </c>
      <c r="M1495" s="12">
        <v>5663</v>
      </c>
      <c r="N1495" s="12">
        <v>0</v>
      </c>
      <c r="O1495" s="12">
        <v>5663</v>
      </c>
      <c r="P1495" s="12"/>
      <c r="Q1495" s="186">
        <f t="shared" si="159"/>
        <v>0</v>
      </c>
      <c r="R1495" s="12">
        <v>5663</v>
      </c>
      <c r="S1495" s="12">
        <v>2743</v>
      </c>
      <c r="T1495" s="12">
        <v>8500</v>
      </c>
      <c r="U1495" s="237"/>
      <c r="V1495" s="12"/>
      <c r="W1495" s="32">
        <f t="shared" si="157"/>
        <v>8500</v>
      </c>
      <c r="Y1495" s="237"/>
      <c r="Z1495" s="237"/>
    </row>
    <row r="1496" spans="1:26" ht="36">
      <c r="A1496" s="8"/>
      <c r="B1496" s="8"/>
      <c r="C1496" s="26">
        <v>4749</v>
      </c>
      <c r="D1496" s="27" t="s">
        <v>73</v>
      </c>
      <c r="E1496" s="11"/>
      <c r="F1496" s="11"/>
      <c r="G1496" s="12"/>
      <c r="H1496" s="12"/>
      <c r="I1496" s="12"/>
      <c r="J1496" s="12">
        <v>0</v>
      </c>
      <c r="K1496" s="12">
        <v>0</v>
      </c>
      <c r="L1496" s="12">
        <v>0</v>
      </c>
      <c r="M1496" s="12">
        <v>999</v>
      </c>
      <c r="N1496" s="12">
        <v>0</v>
      </c>
      <c r="O1496" s="12">
        <v>999</v>
      </c>
      <c r="P1496" s="12"/>
      <c r="Q1496" s="186">
        <f t="shared" si="159"/>
        <v>0</v>
      </c>
      <c r="R1496" s="12">
        <v>999</v>
      </c>
      <c r="S1496" s="12">
        <v>484</v>
      </c>
      <c r="T1496" s="12">
        <v>1500</v>
      </c>
      <c r="U1496" s="237"/>
      <c r="V1496" s="12"/>
      <c r="W1496" s="32">
        <f t="shared" si="157"/>
        <v>1500</v>
      </c>
      <c r="Y1496" s="237"/>
      <c r="Z1496" s="237"/>
    </row>
    <row r="1497" spans="1:26" ht="24">
      <c r="A1497" s="8"/>
      <c r="B1497" s="8"/>
      <c r="C1497" s="26">
        <v>4757</v>
      </c>
      <c r="D1497" s="27" t="s">
        <v>118</v>
      </c>
      <c r="E1497" s="11"/>
      <c r="F1497" s="11"/>
      <c r="G1497" s="12"/>
      <c r="H1497" s="12"/>
      <c r="I1497" s="12"/>
      <c r="J1497" s="12">
        <v>0</v>
      </c>
      <c r="K1497" s="12">
        <v>0</v>
      </c>
      <c r="L1497" s="12">
        <v>0</v>
      </c>
      <c r="M1497" s="12">
        <v>3655</v>
      </c>
      <c r="N1497" s="12">
        <v>0</v>
      </c>
      <c r="O1497" s="12">
        <v>3655</v>
      </c>
      <c r="P1497" s="12"/>
      <c r="Q1497" s="186">
        <f t="shared" si="159"/>
        <v>0</v>
      </c>
      <c r="R1497" s="12">
        <v>3655</v>
      </c>
      <c r="S1497" s="12">
        <v>1768</v>
      </c>
      <c r="T1497" s="12">
        <v>7727</v>
      </c>
      <c r="U1497" s="237"/>
      <c r="V1497" s="12"/>
      <c r="W1497" s="32">
        <f t="shared" si="157"/>
        <v>7727</v>
      </c>
      <c r="Y1497" s="237"/>
      <c r="Z1497" s="237"/>
    </row>
    <row r="1498" spans="1:26" ht="24">
      <c r="A1498" s="8"/>
      <c r="B1498" s="8"/>
      <c r="C1498" s="26">
        <v>4759</v>
      </c>
      <c r="D1498" s="27" t="s">
        <v>118</v>
      </c>
      <c r="E1498" s="11"/>
      <c r="F1498" s="11"/>
      <c r="G1498" s="12"/>
      <c r="H1498" s="12"/>
      <c r="I1498" s="12"/>
      <c r="J1498" s="12">
        <v>0</v>
      </c>
      <c r="K1498" s="12">
        <v>0</v>
      </c>
      <c r="L1498" s="12">
        <v>0</v>
      </c>
      <c r="M1498" s="12">
        <v>645</v>
      </c>
      <c r="N1498" s="12">
        <v>0</v>
      </c>
      <c r="O1498" s="12">
        <v>645</v>
      </c>
      <c r="P1498" s="12"/>
      <c r="Q1498" s="186">
        <f t="shared" si="159"/>
        <v>0</v>
      </c>
      <c r="R1498" s="12">
        <v>645</v>
      </c>
      <c r="S1498" s="12">
        <v>312</v>
      </c>
      <c r="T1498" s="12">
        <v>1363</v>
      </c>
      <c r="U1498" s="237"/>
      <c r="V1498" s="12"/>
      <c r="W1498" s="32">
        <f t="shared" si="157"/>
        <v>1363</v>
      </c>
      <c r="Y1498" s="237"/>
      <c r="Z1498" s="237"/>
    </row>
    <row r="1499" spans="1:23" ht="12">
      <c r="A1499" s="8"/>
      <c r="B1499" s="8"/>
      <c r="C1499" s="115"/>
      <c r="D1499" s="119"/>
      <c r="E1499" s="11"/>
      <c r="F1499" s="11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86"/>
      <c r="R1499" s="12"/>
      <c r="S1499" s="12"/>
      <c r="T1499" s="12"/>
      <c r="U1499" s="12"/>
      <c r="V1499" s="12"/>
      <c r="W1499" s="32"/>
    </row>
    <row r="1500" spans="1:23" ht="24">
      <c r="A1500" s="8">
        <v>854</v>
      </c>
      <c r="B1500" s="8"/>
      <c r="C1500" s="29"/>
      <c r="D1500" s="43" t="s">
        <v>230</v>
      </c>
      <c r="E1500" s="31" t="e">
        <f>E1501+E1509+E1556+E1605+E1580+E1593+#REF!</f>
        <v>#REF!</v>
      </c>
      <c r="F1500" s="31" t="e">
        <f>F1501+F1509+F1556+F1605+F1580+F1593+#REF!</f>
        <v>#REF!</v>
      </c>
      <c r="G1500" s="31" t="e">
        <f>G1501+G1509+G1556+G1605+G1580+G1593+#REF!</f>
        <v>#REF!</v>
      </c>
      <c r="H1500" s="31" t="e">
        <f>H1501+H1509+H1556+H1605+H1580+H1593+#REF!</f>
        <v>#REF!</v>
      </c>
      <c r="I1500" s="31"/>
      <c r="J1500" s="31">
        <f>J1501+J1509+J1556+J1605+J1580+J1593+J1574</f>
        <v>2010890</v>
      </c>
      <c r="K1500" s="31">
        <f>K1501+K1509+K1556+K1605+K1580+K1593+K1574</f>
        <v>2342602</v>
      </c>
      <c r="L1500" s="31">
        <f>L1501+L1509+L1556+L1605+L1580+L1593+L1574</f>
        <v>2200989</v>
      </c>
      <c r="M1500" s="31">
        <f>M1501+M1509+M1556+M1605+M1580+M1593+M1574</f>
        <v>2092531</v>
      </c>
      <c r="N1500" s="31">
        <v>2098190</v>
      </c>
      <c r="O1500" s="31">
        <v>2108579</v>
      </c>
      <c r="P1500" s="31">
        <f>P1501+P1509+P1556+P1605+P1580+P1593+P1574</f>
        <v>1007552</v>
      </c>
      <c r="Q1500" s="186">
        <f>P1500/O1500</f>
        <v>0.4778345985614008</v>
      </c>
      <c r="R1500" s="31">
        <f>R1501+R1509+R1556+R1605+R1580+R1593+R1574</f>
        <v>2074726</v>
      </c>
      <c r="S1500" s="31">
        <f>S1501+S1509+S1556+S1605+S1580+S1593+S1574</f>
        <v>2225840</v>
      </c>
      <c r="T1500" s="31">
        <v>2298992</v>
      </c>
      <c r="U1500" s="31">
        <f>U1501+U1509+U1556+U1605+U1580+U1593+U1574</f>
        <v>0</v>
      </c>
      <c r="V1500" s="31">
        <f>V1501+V1509+V1556+V1605+V1580+V1593+V1574</f>
        <v>0</v>
      </c>
      <c r="W1500" s="32">
        <f aca="true" t="shared" si="160" ref="W1500:W1520">T1500+U1500-V1500</f>
        <v>2298992</v>
      </c>
    </row>
    <row r="1501" spans="1:23" ht="12">
      <c r="A1501" s="33"/>
      <c r="B1501" s="33">
        <v>85401</v>
      </c>
      <c r="C1501" s="36"/>
      <c r="D1501" s="42" t="s">
        <v>231</v>
      </c>
      <c r="E1501" s="35">
        <f>SUM(E1502:E1508)</f>
        <v>174730</v>
      </c>
      <c r="F1501" s="35">
        <f>SUM(F1502:F1508)</f>
        <v>174730</v>
      </c>
      <c r="G1501" s="37">
        <f>SUM(G1502:G1508)</f>
        <v>162724</v>
      </c>
      <c r="H1501" s="37">
        <f>SUM(H1502:H1508)</f>
        <v>163120</v>
      </c>
      <c r="I1501" s="37"/>
      <c r="J1501" s="37">
        <f aca="true" t="shared" si="161" ref="J1501:P1501">SUM(J1502:J1508)</f>
        <v>163120</v>
      </c>
      <c r="K1501" s="37">
        <f t="shared" si="161"/>
        <v>171700</v>
      </c>
      <c r="L1501" s="37">
        <f t="shared" si="161"/>
        <v>163159</v>
      </c>
      <c r="M1501" s="37">
        <f t="shared" si="161"/>
        <v>176749</v>
      </c>
      <c r="N1501" s="37">
        <v>176540</v>
      </c>
      <c r="O1501" s="37">
        <v>176540</v>
      </c>
      <c r="P1501" s="37">
        <f t="shared" si="161"/>
        <v>77101</v>
      </c>
      <c r="Q1501" s="186">
        <f>P1501/O1501</f>
        <v>0.436733884672029</v>
      </c>
      <c r="R1501" s="37">
        <f>SUM(R1502:R1508)</f>
        <v>160796</v>
      </c>
      <c r="S1501" s="37">
        <f>SUM(S1502:S1508)</f>
        <v>164370</v>
      </c>
      <c r="T1501" s="37">
        <v>164370</v>
      </c>
      <c r="U1501" s="37">
        <f>SUM(U1502:U1508)</f>
        <v>0</v>
      </c>
      <c r="V1501" s="37">
        <f>SUM(V1502:V1508)</f>
        <v>0</v>
      </c>
      <c r="W1501" s="32">
        <f t="shared" si="160"/>
        <v>164370</v>
      </c>
    </row>
    <row r="1502" spans="1:23" ht="12">
      <c r="A1502" s="25"/>
      <c r="B1502" s="25"/>
      <c r="C1502" s="26"/>
      <c r="D1502" s="27" t="s">
        <v>232</v>
      </c>
      <c r="E1502" s="55"/>
      <c r="F1502" s="55"/>
      <c r="G1502" s="56"/>
      <c r="H1502" s="56"/>
      <c r="I1502" s="56"/>
      <c r="J1502" s="56"/>
      <c r="K1502" s="56"/>
      <c r="L1502" s="56"/>
      <c r="M1502" s="56"/>
      <c r="N1502" s="56"/>
      <c r="O1502" s="56"/>
      <c r="P1502" s="56"/>
      <c r="Q1502" s="186"/>
      <c r="R1502" s="56"/>
      <c r="S1502" s="56"/>
      <c r="T1502" s="56">
        <v>0</v>
      </c>
      <c r="U1502" s="56"/>
      <c r="V1502" s="56"/>
      <c r="W1502" s="32">
        <f t="shared" si="160"/>
        <v>0</v>
      </c>
    </row>
    <row r="1503" spans="1:23" ht="24">
      <c r="A1503" s="25"/>
      <c r="B1503" s="25"/>
      <c r="C1503" s="26">
        <v>3020</v>
      </c>
      <c r="D1503" s="27" t="s">
        <v>68</v>
      </c>
      <c r="E1503" s="11">
        <v>190</v>
      </c>
      <c r="F1503" s="11">
        <v>190</v>
      </c>
      <c r="G1503" s="12">
        <v>250</v>
      </c>
      <c r="H1503" s="12">
        <v>290</v>
      </c>
      <c r="I1503" s="12"/>
      <c r="J1503" s="12">
        <v>290</v>
      </c>
      <c r="K1503" s="12">
        <v>290</v>
      </c>
      <c r="L1503" s="12">
        <v>290</v>
      </c>
      <c r="M1503" s="12">
        <v>264</v>
      </c>
      <c r="N1503" s="12">
        <v>320</v>
      </c>
      <c r="O1503" s="12">
        <v>320</v>
      </c>
      <c r="P1503" s="12"/>
      <c r="Q1503" s="186">
        <f aca="true" t="shared" si="162" ref="Q1503:Q1516">P1503/O1503</f>
        <v>0</v>
      </c>
      <c r="R1503" s="12">
        <v>320</v>
      </c>
      <c r="S1503" s="12">
        <v>310</v>
      </c>
      <c r="T1503" s="12">
        <v>310</v>
      </c>
      <c r="U1503" s="12"/>
      <c r="V1503" s="12"/>
      <c r="W1503" s="32">
        <f t="shared" si="160"/>
        <v>310</v>
      </c>
    </row>
    <row r="1504" spans="1:23" ht="24">
      <c r="A1504" s="25"/>
      <c r="B1504" s="25"/>
      <c r="C1504" s="26">
        <v>4010</v>
      </c>
      <c r="D1504" s="27" t="s">
        <v>29</v>
      </c>
      <c r="E1504" s="11">
        <v>129640</v>
      </c>
      <c r="F1504" s="11">
        <v>129640</v>
      </c>
      <c r="G1504" s="12">
        <v>127504</v>
      </c>
      <c r="H1504" s="12">
        <v>127500</v>
      </c>
      <c r="I1504" s="12">
        <v>127500</v>
      </c>
      <c r="J1504" s="12">
        <v>127500</v>
      </c>
      <c r="K1504" s="12">
        <v>134850</v>
      </c>
      <c r="L1504" s="12">
        <v>130891</v>
      </c>
      <c r="M1504" s="12">
        <v>135802</v>
      </c>
      <c r="N1504" s="12">
        <v>135810</v>
      </c>
      <c r="O1504" s="12">
        <v>135810</v>
      </c>
      <c r="P1504" s="12">
        <v>53947</v>
      </c>
      <c r="Q1504" s="186">
        <f t="shared" si="162"/>
        <v>0.397224063029232</v>
      </c>
      <c r="R1504" s="12">
        <v>124027</v>
      </c>
      <c r="S1504" s="12">
        <v>124050</v>
      </c>
      <c r="T1504" s="12">
        <v>124050</v>
      </c>
      <c r="U1504" s="12"/>
      <c r="V1504" s="12"/>
      <c r="W1504" s="32">
        <f t="shared" si="160"/>
        <v>124050</v>
      </c>
    </row>
    <row r="1505" spans="1:23" ht="12">
      <c r="A1505" s="25"/>
      <c r="B1505" s="25"/>
      <c r="C1505" s="26">
        <v>4040</v>
      </c>
      <c r="D1505" s="27" t="s">
        <v>30</v>
      </c>
      <c r="E1505" s="11">
        <v>10820</v>
      </c>
      <c r="F1505" s="11">
        <v>10820</v>
      </c>
      <c r="G1505" s="12">
        <v>8200</v>
      </c>
      <c r="H1505" s="12">
        <v>8200</v>
      </c>
      <c r="I1505" s="12"/>
      <c r="J1505" s="12">
        <v>8200</v>
      </c>
      <c r="K1505" s="12">
        <v>8200</v>
      </c>
      <c r="L1505" s="12">
        <v>4480</v>
      </c>
      <c r="M1505" s="12">
        <v>9500</v>
      </c>
      <c r="N1505" s="12">
        <v>9500</v>
      </c>
      <c r="O1505" s="12">
        <v>9500</v>
      </c>
      <c r="P1505" s="12">
        <v>8827</v>
      </c>
      <c r="Q1505" s="186">
        <f t="shared" si="162"/>
        <v>0.9291578947368421</v>
      </c>
      <c r="R1505" s="12">
        <v>8827</v>
      </c>
      <c r="S1505" s="12">
        <v>10540</v>
      </c>
      <c r="T1505" s="12">
        <v>10540</v>
      </c>
      <c r="U1505" s="12"/>
      <c r="V1505" s="12"/>
      <c r="W1505" s="32">
        <f t="shared" si="160"/>
        <v>10540</v>
      </c>
    </row>
    <row r="1506" spans="1:23" ht="24">
      <c r="A1506" s="25"/>
      <c r="B1506" s="25"/>
      <c r="C1506" s="26">
        <v>4110</v>
      </c>
      <c r="D1506" s="27" t="s">
        <v>113</v>
      </c>
      <c r="E1506" s="11">
        <v>23710</v>
      </c>
      <c r="F1506" s="11">
        <v>23710</v>
      </c>
      <c r="G1506" s="12">
        <v>18700</v>
      </c>
      <c r="H1506" s="12">
        <v>18780</v>
      </c>
      <c r="I1506" s="12"/>
      <c r="J1506" s="12">
        <v>18780</v>
      </c>
      <c r="K1506" s="12">
        <v>19830</v>
      </c>
      <c r="L1506" s="12">
        <v>17500</v>
      </c>
      <c r="M1506" s="12">
        <v>22000</v>
      </c>
      <c r="N1506" s="12">
        <v>21740</v>
      </c>
      <c r="O1506" s="12">
        <v>21740</v>
      </c>
      <c r="P1506" s="12">
        <v>8610</v>
      </c>
      <c r="Q1506" s="186">
        <f t="shared" si="162"/>
        <v>0.3960441582336707</v>
      </c>
      <c r="R1506" s="12">
        <v>18844</v>
      </c>
      <c r="S1506" s="12">
        <v>20040</v>
      </c>
      <c r="T1506" s="12">
        <v>20040</v>
      </c>
      <c r="U1506" s="12"/>
      <c r="V1506" s="12"/>
      <c r="W1506" s="32">
        <f t="shared" si="160"/>
        <v>20040</v>
      </c>
    </row>
    <row r="1507" spans="1:23" ht="12">
      <c r="A1507" s="25"/>
      <c r="B1507" s="25"/>
      <c r="C1507" s="26">
        <v>4120</v>
      </c>
      <c r="D1507" s="27" t="s">
        <v>32</v>
      </c>
      <c r="E1507" s="11">
        <v>3440</v>
      </c>
      <c r="F1507" s="11">
        <v>3440</v>
      </c>
      <c r="G1507" s="12">
        <v>3000</v>
      </c>
      <c r="H1507" s="12">
        <v>3260</v>
      </c>
      <c r="I1507" s="12"/>
      <c r="J1507" s="12">
        <v>3260</v>
      </c>
      <c r="K1507" s="12">
        <v>3440</v>
      </c>
      <c r="L1507" s="12">
        <v>3000</v>
      </c>
      <c r="M1507" s="12">
        <v>3500</v>
      </c>
      <c r="N1507" s="12">
        <v>3490</v>
      </c>
      <c r="O1507" s="12">
        <v>3490</v>
      </c>
      <c r="P1507" s="12">
        <v>1374</v>
      </c>
      <c r="Q1507" s="186">
        <f t="shared" si="162"/>
        <v>0.39369627507163324</v>
      </c>
      <c r="R1507" s="12">
        <v>2986</v>
      </c>
      <c r="S1507" s="12">
        <v>3230</v>
      </c>
      <c r="T1507" s="12">
        <v>3230</v>
      </c>
      <c r="U1507" s="12"/>
      <c r="V1507" s="12"/>
      <c r="W1507" s="32">
        <f t="shared" si="160"/>
        <v>3230</v>
      </c>
    </row>
    <row r="1508" spans="1:23" ht="24">
      <c r="A1508" s="25"/>
      <c r="B1508" s="25"/>
      <c r="C1508" s="26">
        <v>4440</v>
      </c>
      <c r="D1508" s="27" t="s">
        <v>44</v>
      </c>
      <c r="E1508" s="11">
        <v>6930</v>
      </c>
      <c r="F1508" s="11">
        <v>6930</v>
      </c>
      <c r="G1508" s="12">
        <v>5070</v>
      </c>
      <c r="H1508" s="12">
        <v>5090</v>
      </c>
      <c r="I1508" s="12"/>
      <c r="J1508" s="12">
        <v>5090</v>
      </c>
      <c r="K1508" s="12">
        <v>5090</v>
      </c>
      <c r="L1508" s="12">
        <v>6998</v>
      </c>
      <c r="M1508" s="12">
        <v>5683</v>
      </c>
      <c r="N1508" s="12">
        <v>5680</v>
      </c>
      <c r="O1508" s="12">
        <v>5680</v>
      </c>
      <c r="P1508" s="12">
        <v>4343</v>
      </c>
      <c r="Q1508" s="186">
        <f t="shared" si="162"/>
        <v>0.764612676056338</v>
      </c>
      <c r="R1508" s="12">
        <v>5792</v>
      </c>
      <c r="S1508" s="12">
        <v>6200</v>
      </c>
      <c r="T1508" s="12">
        <v>6200</v>
      </c>
      <c r="U1508" s="12"/>
      <c r="V1508" s="12"/>
      <c r="W1508" s="32">
        <f t="shared" si="160"/>
        <v>6200</v>
      </c>
    </row>
    <row r="1509" spans="1:23" ht="36">
      <c r="A1509" s="33"/>
      <c r="B1509" s="33">
        <v>85406</v>
      </c>
      <c r="C1509" s="36"/>
      <c r="D1509" s="42" t="s">
        <v>233</v>
      </c>
      <c r="E1509" s="35">
        <f>SUM(E1510:E1531)</f>
        <v>817270</v>
      </c>
      <c r="F1509" s="35">
        <f>SUM(F1510:F1531)</f>
        <v>819270</v>
      </c>
      <c r="G1509" s="35">
        <f>SUM(G1510:G1531)</f>
        <v>902384</v>
      </c>
      <c r="H1509" s="35">
        <f>SUM(H1510:H1531)</f>
        <v>882540</v>
      </c>
      <c r="I1509" s="35"/>
      <c r="J1509" s="35">
        <f aca="true" t="shared" si="163" ref="J1509:P1509">SUM(J1510:J1531)</f>
        <v>882540</v>
      </c>
      <c r="K1509" s="35">
        <f t="shared" si="163"/>
        <v>916650</v>
      </c>
      <c r="L1509" s="35">
        <f t="shared" si="163"/>
        <v>923134</v>
      </c>
      <c r="M1509" s="35">
        <f t="shared" si="163"/>
        <v>1008600</v>
      </c>
      <c r="N1509" s="35">
        <v>995050</v>
      </c>
      <c r="O1509" s="35">
        <v>995050</v>
      </c>
      <c r="P1509" s="35">
        <f t="shared" si="163"/>
        <v>484283</v>
      </c>
      <c r="Q1509" s="186">
        <f t="shared" si="162"/>
        <v>0.4866921260238179</v>
      </c>
      <c r="R1509" s="35">
        <f>SUM(R1510:R1531)</f>
        <v>978344</v>
      </c>
      <c r="S1509" s="35">
        <f>SUM(S1510:S1531)</f>
        <v>1062880</v>
      </c>
      <c r="T1509" s="35">
        <v>1067880</v>
      </c>
      <c r="U1509" s="35">
        <f>SUM(U1510:U1531)</f>
        <v>0</v>
      </c>
      <c r="V1509" s="35">
        <f>SUM(V1510:V1531)</f>
        <v>0</v>
      </c>
      <c r="W1509" s="32">
        <f t="shared" si="160"/>
        <v>1067880</v>
      </c>
    </row>
    <row r="1510" spans="1:23" ht="60">
      <c r="A1510" s="25"/>
      <c r="B1510" s="25"/>
      <c r="C1510" s="26">
        <v>2310</v>
      </c>
      <c r="D1510" s="27" t="s">
        <v>234</v>
      </c>
      <c r="E1510" s="11">
        <v>263000</v>
      </c>
      <c r="F1510" s="11">
        <v>263000</v>
      </c>
      <c r="G1510" s="12">
        <v>285000</v>
      </c>
      <c r="H1510" s="12">
        <v>285000</v>
      </c>
      <c r="I1510" s="12"/>
      <c r="J1510" s="12">
        <v>285000</v>
      </c>
      <c r="K1510" s="12">
        <v>285000</v>
      </c>
      <c r="L1510" s="12">
        <v>285000</v>
      </c>
      <c r="M1510" s="12">
        <v>294000</v>
      </c>
      <c r="N1510" s="12">
        <v>294000</v>
      </c>
      <c r="O1510" s="12">
        <v>294000</v>
      </c>
      <c r="P1510" s="12">
        <v>142764</v>
      </c>
      <c r="Q1510" s="186">
        <f t="shared" si="162"/>
        <v>0.48559183673469386</v>
      </c>
      <c r="R1510" s="12">
        <v>287985</v>
      </c>
      <c r="S1510" s="12">
        <v>304720</v>
      </c>
      <c r="T1510" s="12">
        <v>304720</v>
      </c>
      <c r="U1510" s="12">
        <f>U1555</f>
        <v>0</v>
      </c>
      <c r="V1510" s="12">
        <f>V1555</f>
        <v>0</v>
      </c>
      <c r="W1510" s="32">
        <f t="shared" si="160"/>
        <v>304720</v>
      </c>
    </row>
    <row r="1511" spans="1:23" ht="24">
      <c r="A1511" s="25"/>
      <c r="B1511" s="25"/>
      <c r="C1511" s="26">
        <v>3020</v>
      </c>
      <c r="D1511" s="27" t="s">
        <v>68</v>
      </c>
      <c r="E1511" s="11">
        <v>8700</v>
      </c>
      <c r="F1511" s="11">
        <v>8700</v>
      </c>
      <c r="G1511" s="12">
        <v>9058</v>
      </c>
      <c r="H1511" s="12">
        <v>8900</v>
      </c>
      <c r="I1511" s="12"/>
      <c r="J1511" s="12">
        <v>8900</v>
      </c>
      <c r="K1511" s="12">
        <v>8900</v>
      </c>
      <c r="L1511" s="12">
        <v>8900</v>
      </c>
      <c r="M1511" s="12">
        <v>9648</v>
      </c>
      <c r="N1511" s="12">
        <v>9650</v>
      </c>
      <c r="O1511" s="12">
        <v>9650</v>
      </c>
      <c r="P1511" s="12">
        <v>4907</v>
      </c>
      <c r="Q1511" s="186">
        <f t="shared" si="162"/>
        <v>0.5084974093264248</v>
      </c>
      <c r="R1511" s="12">
        <v>10278</v>
      </c>
      <c r="S1511" s="12">
        <v>11410</v>
      </c>
      <c r="T1511" s="12">
        <v>11410</v>
      </c>
      <c r="U1511" s="12">
        <f aca="true" t="shared" si="164" ref="U1511:U1526">U1533</f>
        <v>0</v>
      </c>
      <c r="V1511" s="12">
        <f aca="true" t="shared" si="165" ref="V1511:V1526">V1533</f>
        <v>0</v>
      </c>
      <c r="W1511" s="32">
        <f t="shared" si="160"/>
        <v>11410</v>
      </c>
    </row>
    <row r="1512" spans="1:23" ht="24">
      <c r="A1512" s="25"/>
      <c r="B1512" s="25"/>
      <c r="C1512" s="26">
        <v>4010</v>
      </c>
      <c r="D1512" s="27" t="s">
        <v>29</v>
      </c>
      <c r="E1512" s="11">
        <f>372260+5400</f>
        <v>377660</v>
      </c>
      <c r="F1512" s="11">
        <f>372260+5400</f>
        <v>377660</v>
      </c>
      <c r="G1512" s="12">
        <v>417421</v>
      </c>
      <c r="H1512" s="12">
        <v>417420</v>
      </c>
      <c r="I1512" s="12">
        <v>417420</v>
      </c>
      <c r="J1512" s="12">
        <v>417420</v>
      </c>
      <c r="K1512" s="12">
        <v>441600</v>
      </c>
      <c r="L1512" s="12">
        <v>444925</v>
      </c>
      <c r="M1512" s="12">
        <v>481082</v>
      </c>
      <c r="N1512" s="12">
        <v>481090</v>
      </c>
      <c r="O1512" s="12">
        <v>481090</v>
      </c>
      <c r="P1512" s="12">
        <v>212260</v>
      </c>
      <c r="Q1512" s="186">
        <f t="shared" si="162"/>
        <v>0.44120642707185764</v>
      </c>
      <c r="R1512" s="12">
        <v>468643</v>
      </c>
      <c r="S1512" s="12">
        <v>525130</v>
      </c>
      <c r="T1512" s="12">
        <v>525130</v>
      </c>
      <c r="U1512" s="12">
        <f t="shared" si="164"/>
        <v>0</v>
      </c>
      <c r="V1512" s="12">
        <f t="shared" si="165"/>
        <v>0</v>
      </c>
      <c r="W1512" s="32">
        <f t="shared" si="160"/>
        <v>525130</v>
      </c>
    </row>
    <row r="1513" spans="1:23" ht="12">
      <c r="A1513" s="25"/>
      <c r="B1513" s="25"/>
      <c r="C1513" s="26">
        <v>4040</v>
      </c>
      <c r="D1513" s="27" t="s">
        <v>30</v>
      </c>
      <c r="E1513" s="11">
        <v>28910</v>
      </c>
      <c r="F1513" s="11">
        <v>28910</v>
      </c>
      <c r="G1513" s="12">
        <v>31840</v>
      </c>
      <c r="H1513" s="12">
        <v>31840</v>
      </c>
      <c r="I1513" s="12"/>
      <c r="J1513" s="12">
        <v>31840</v>
      </c>
      <c r="K1513" s="12">
        <v>31840</v>
      </c>
      <c r="L1513" s="12">
        <v>30749</v>
      </c>
      <c r="M1513" s="12">
        <v>38500</v>
      </c>
      <c r="N1513" s="12">
        <v>38500</v>
      </c>
      <c r="O1513" s="12">
        <v>38500</v>
      </c>
      <c r="P1513" s="12">
        <v>35042</v>
      </c>
      <c r="Q1513" s="186">
        <f t="shared" si="162"/>
        <v>0.9101818181818182</v>
      </c>
      <c r="R1513" s="12">
        <v>35042</v>
      </c>
      <c r="S1513" s="12">
        <v>40620</v>
      </c>
      <c r="T1513" s="12">
        <v>40620</v>
      </c>
      <c r="U1513" s="12">
        <f t="shared" si="164"/>
        <v>0</v>
      </c>
      <c r="V1513" s="12">
        <f t="shared" si="165"/>
        <v>0</v>
      </c>
      <c r="W1513" s="32">
        <f t="shared" si="160"/>
        <v>40620</v>
      </c>
    </row>
    <row r="1514" spans="1:23" ht="24">
      <c r="A1514" s="25"/>
      <c r="B1514" s="25"/>
      <c r="C1514" s="26">
        <v>4110</v>
      </c>
      <c r="D1514" s="27" t="s">
        <v>113</v>
      </c>
      <c r="E1514" s="11">
        <v>67720</v>
      </c>
      <c r="F1514" s="11">
        <v>67720</v>
      </c>
      <c r="G1514" s="12">
        <v>73200</v>
      </c>
      <c r="H1514" s="12">
        <v>62630</v>
      </c>
      <c r="I1514" s="12"/>
      <c r="J1514" s="12">
        <v>62630</v>
      </c>
      <c r="K1514" s="12">
        <v>66290</v>
      </c>
      <c r="L1514" s="12">
        <v>68490</v>
      </c>
      <c r="M1514" s="12">
        <v>85000</v>
      </c>
      <c r="N1514" s="12">
        <v>77630</v>
      </c>
      <c r="O1514" s="12">
        <v>77630</v>
      </c>
      <c r="P1514" s="12">
        <v>35640</v>
      </c>
      <c r="Q1514" s="186">
        <f t="shared" si="162"/>
        <v>0.45910086306840137</v>
      </c>
      <c r="R1514" s="12">
        <v>78997</v>
      </c>
      <c r="S1514" s="12">
        <v>84810</v>
      </c>
      <c r="T1514" s="12">
        <v>84810</v>
      </c>
      <c r="U1514" s="12">
        <f t="shared" si="164"/>
        <v>0</v>
      </c>
      <c r="V1514" s="12">
        <f t="shared" si="165"/>
        <v>0</v>
      </c>
      <c r="W1514" s="32">
        <f t="shared" si="160"/>
        <v>84810</v>
      </c>
    </row>
    <row r="1515" spans="1:23" ht="12">
      <c r="A1515" s="25"/>
      <c r="B1515" s="25"/>
      <c r="C1515" s="26">
        <v>4120</v>
      </c>
      <c r="D1515" s="27" t="s">
        <v>32</v>
      </c>
      <c r="E1515" s="11">
        <v>9830</v>
      </c>
      <c r="F1515" s="11">
        <v>9830</v>
      </c>
      <c r="G1515" s="12">
        <v>10560</v>
      </c>
      <c r="H1515" s="12">
        <v>10780</v>
      </c>
      <c r="I1515" s="12"/>
      <c r="J1515" s="12">
        <v>10780</v>
      </c>
      <c r="K1515" s="12">
        <v>11360</v>
      </c>
      <c r="L1515" s="12">
        <v>11360</v>
      </c>
      <c r="M1515" s="12">
        <v>16000</v>
      </c>
      <c r="N1515" s="12">
        <v>12470</v>
      </c>
      <c r="O1515" s="12">
        <v>12470</v>
      </c>
      <c r="P1515" s="12">
        <v>5745</v>
      </c>
      <c r="Q1515" s="186">
        <f t="shared" si="162"/>
        <v>0.4607056936647955</v>
      </c>
      <c r="R1515" s="12">
        <v>12674</v>
      </c>
      <c r="S1515" s="12">
        <v>13580</v>
      </c>
      <c r="T1515" s="12">
        <v>13580</v>
      </c>
      <c r="U1515" s="12">
        <f t="shared" si="164"/>
        <v>0</v>
      </c>
      <c r="V1515" s="12">
        <f t="shared" si="165"/>
        <v>0</v>
      </c>
      <c r="W1515" s="32">
        <f t="shared" si="160"/>
        <v>13580</v>
      </c>
    </row>
    <row r="1516" spans="1:23" ht="12">
      <c r="A1516" s="25"/>
      <c r="B1516" s="25"/>
      <c r="C1516" s="26">
        <v>4170</v>
      </c>
      <c r="D1516" s="27" t="s">
        <v>137</v>
      </c>
      <c r="E1516" s="11">
        <f>1540+2000</f>
        <v>3540</v>
      </c>
      <c r="F1516" s="11">
        <f>1540+2000</f>
        <v>3540</v>
      </c>
      <c r="G1516" s="12">
        <v>6026</v>
      </c>
      <c r="H1516" s="12">
        <v>3620</v>
      </c>
      <c r="I1516" s="12"/>
      <c r="J1516" s="12">
        <v>3620</v>
      </c>
      <c r="K1516" s="12">
        <v>4820</v>
      </c>
      <c r="L1516" s="12">
        <v>4820</v>
      </c>
      <c r="M1516" s="12">
        <v>6826</v>
      </c>
      <c r="N1516" s="12">
        <v>6830</v>
      </c>
      <c r="O1516" s="12">
        <v>6830</v>
      </c>
      <c r="P1516" s="12">
        <v>2453</v>
      </c>
      <c r="Q1516" s="186">
        <f t="shared" si="162"/>
        <v>0.35915080527086385</v>
      </c>
      <c r="R1516" s="12">
        <v>6830</v>
      </c>
      <c r="S1516" s="12">
        <v>6830</v>
      </c>
      <c r="T1516" s="12">
        <v>6830</v>
      </c>
      <c r="U1516" s="12">
        <f t="shared" si="164"/>
        <v>0</v>
      </c>
      <c r="V1516" s="12">
        <f t="shared" si="165"/>
        <v>0</v>
      </c>
      <c r="W1516" s="32">
        <f t="shared" si="160"/>
        <v>6830</v>
      </c>
    </row>
    <row r="1517" spans="1:23" ht="12">
      <c r="A1517" s="25"/>
      <c r="B1517" s="25"/>
      <c r="C1517" s="26">
        <v>4210</v>
      </c>
      <c r="D1517" s="27" t="s">
        <v>34</v>
      </c>
      <c r="E1517" s="11">
        <v>4010</v>
      </c>
      <c r="F1517" s="11">
        <v>4810</v>
      </c>
      <c r="G1517" s="12">
        <v>10550</v>
      </c>
      <c r="H1517" s="12">
        <v>4920</v>
      </c>
      <c r="I1517" s="12"/>
      <c r="J1517" s="12">
        <v>4920</v>
      </c>
      <c r="K1517" s="12">
        <v>4920</v>
      </c>
      <c r="L1517" s="12">
        <v>4920</v>
      </c>
      <c r="M1517" s="12">
        <v>7725</v>
      </c>
      <c r="N1517" s="12">
        <v>5060</v>
      </c>
      <c r="O1517" s="12">
        <v>5060</v>
      </c>
      <c r="P1517" s="12">
        <v>2785</v>
      </c>
      <c r="Q1517" s="186">
        <f aca="true" t="shared" si="166" ref="Q1517:Q1573">P1517/O1517</f>
        <v>0.5503952569169961</v>
      </c>
      <c r="R1517" s="12">
        <v>6560</v>
      </c>
      <c r="S1517" s="12">
        <v>8560</v>
      </c>
      <c r="T1517" s="12">
        <v>7560</v>
      </c>
      <c r="U1517" s="12">
        <f t="shared" si="164"/>
        <v>0</v>
      </c>
      <c r="V1517" s="12">
        <f t="shared" si="165"/>
        <v>0</v>
      </c>
      <c r="W1517" s="32">
        <f t="shared" si="160"/>
        <v>7560</v>
      </c>
    </row>
    <row r="1518" spans="1:23" ht="24">
      <c r="A1518" s="25"/>
      <c r="B1518" s="25"/>
      <c r="C1518" s="26">
        <v>4240</v>
      </c>
      <c r="D1518" s="27" t="s">
        <v>117</v>
      </c>
      <c r="E1518" s="11">
        <v>1020</v>
      </c>
      <c r="F1518" s="11">
        <v>2020</v>
      </c>
      <c r="G1518" s="12">
        <v>2066</v>
      </c>
      <c r="H1518" s="12">
        <v>2070</v>
      </c>
      <c r="I1518" s="12"/>
      <c r="J1518" s="12">
        <v>2070</v>
      </c>
      <c r="K1518" s="12">
        <v>3070</v>
      </c>
      <c r="L1518" s="12">
        <v>3070</v>
      </c>
      <c r="M1518" s="12">
        <v>3160</v>
      </c>
      <c r="N1518" s="12">
        <v>3160</v>
      </c>
      <c r="O1518" s="12">
        <v>3160</v>
      </c>
      <c r="P1518" s="12">
        <v>451</v>
      </c>
      <c r="Q1518" s="186">
        <f t="shared" si="166"/>
        <v>0.14272151898734178</v>
      </c>
      <c r="R1518" s="12">
        <v>1160</v>
      </c>
      <c r="S1518" s="12">
        <v>1160</v>
      </c>
      <c r="T1518" s="12">
        <v>1160</v>
      </c>
      <c r="U1518" s="12">
        <f t="shared" si="164"/>
        <v>0</v>
      </c>
      <c r="V1518" s="12">
        <f t="shared" si="165"/>
        <v>0</v>
      </c>
      <c r="W1518" s="32">
        <f t="shared" si="160"/>
        <v>1160</v>
      </c>
    </row>
    <row r="1519" spans="1:23" ht="12">
      <c r="A1519" s="25"/>
      <c r="B1519" s="25"/>
      <c r="C1519" s="26">
        <v>4260</v>
      </c>
      <c r="D1519" s="27" t="s">
        <v>35</v>
      </c>
      <c r="E1519" s="11">
        <v>11920</v>
      </c>
      <c r="F1519" s="11">
        <v>11920</v>
      </c>
      <c r="G1519" s="12">
        <v>12194</v>
      </c>
      <c r="H1519" s="12">
        <v>12200</v>
      </c>
      <c r="I1519" s="12"/>
      <c r="J1519" s="12">
        <v>12200</v>
      </c>
      <c r="K1519" s="12">
        <v>12200</v>
      </c>
      <c r="L1519" s="12">
        <v>12200</v>
      </c>
      <c r="M1519" s="12">
        <v>12555</v>
      </c>
      <c r="N1519" s="12">
        <v>12560</v>
      </c>
      <c r="O1519" s="12">
        <v>12560</v>
      </c>
      <c r="P1519" s="12">
        <v>8002</v>
      </c>
      <c r="Q1519" s="186">
        <f t="shared" si="166"/>
        <v>0.6371019108280255</v>
      </c>
      <c r="R1519" s="12">
        <v>13832</v>
      </c>
      <c r="S1519" s="12">
        <v>14520</v>
      </c>
      <c r="T1519" s="12">
        <v>14520</v>
      </c>
      <c r="U1519" s="12">
        <f t="shared" si="164"/>
        <v>0</v>
      </c>
      <c r="V1519" s="12">
        <f t="shared" si="165"/>
        <v>0</v>
      </c>
      <c r="W1519" s="32">
        <f t="shared" si="160"/>
        <v>14520</v>
      </c>
    </row>
    <row r="1520" spans="1:23" ht="12">
      <c r="A1520" s="25"/>
      <c r="B1520" s="25"/>
      <c r="C1520" s="26">
        <v>4270</v>
      </c>
      <c r="D1520" s="27" t="s">
        <v>36</v>
      </c>
      <c r="E1520" s="11">
        <v>1760</v>
      </c>
      <c r="F1520" s="11">
        <v>1760</v>
      </c>
      <c r="G1520" s="12">
        <v>1800</v>
      </c>
      <c r="H1520" s="12">
        <v>1800</v>
      </c>
      <c r="I1520" s="12"/>
      <c r="J1520" s="12">
        <v>1800</v>
      </c>
      <c r="K1520" s="12">
        <v>1800</v>
      </c>
      <c r="L1520" s="12">
        <v>1800</v>
      </c>
      <c r="M1520" s="12">
        <v>6852</v>
      </c>
      <c r="N1520" s="12">
        <v>6850</v>
      </c>
      <c r="O1520" s="12">
        <v>6850</v>
      </c>
      <c r="P1520" s="12">
        <v>5319</v>
      </c>
      <c r="Q1520" s="186">
        <f t="shared" si="166"/>
        <v>0.7764963503649635</v>
      </c>
      <c r="R1520" s="12">
        <v>6850</v>
      </c>
      <c r="S1520" s="12" t="s">
        <v>340</v>
      </c>
      <c r="T1520" s="12">
        <v>5500</v>
      </c>
      <c r="U1520" s="12"/>
      <c r="V1520" s="12">
        <f t="shared" si="165"/>
        <v>0</v>
      </c>
      <c r="W1520" s="32">
        <f t="shared" si="160"/>
        <v>5500</v>
      </c>
    </row>
    <row r="1521" spans="1:23" ht="12">
      <c r="A1521" s="25"/>
      <c r="B1521" s="25"/>
      <c r="C1521" s="26">
        <v>4280</v>
      </c>
      <c r="D1521" s="27" t="s">
        <v>37</v>
      </c>
      <c r="E1521" s="11">
        <v>150</v>
      </c>
      <c r="F1521" s="11">
        <v>150</v>
      </c>
      <c r="G1521" s="12">
        <v>153</v>
      </c>
      <c r="H1521" s="12">
        <v>160</v>
      </c>
      <c r="I1521" s="12"/>
      <c r="J1521" s="12">
        <v>160</v>
      </c>
      <c r="K1521" s="12">
        <v>360</v>
      </c>
      <c r="L1521" s="12">
        <v>360</v>
      </c>
      <c r="M1521" s="12">
        <v>370</v>
      </c>
      <c r="N1521" s="12">
        <v>370</v>
      </c>
      <c r="O1521" s="12">
        <v>370</v>
      </c>
      <c r="P1521" s="12">
        <v>70</v>
      </c>
      <c r="Q1521" s="186">
        <f t="shared" si="166"/>
        <v>0.1891891891891892</v>
      </c>
      <c r="R1521" s="12">
        <v>370</v>
      </c>
      <c r="S1521" s="12">
        <v>370</v>
      </c>
      <c r="T1521" s="12">
        <v>370</v>
      </c>
      <c r="U1521" s="12">
        <f t="shared" si="164"/>
        <v>0</v>
      </c>
      <c r="V1521" s="12">
        <f t="shared" si="165"/>
        <v>0</v>
      </c>
      <c r="W1521" s="32">
        <f aca="true" t="shared" si="167" ref="W1521:W1584">T1521+U1521-V1521</f>
        <v>370</v>
      </c>
    </row>
    <row r="1522" spans="1:23" ht="12">
      <c r="A1522" s="25"/>
      <c r="B1522" s="25"/>
      <c r="C1522" s="26">
        <v>4300</v>
      </c>
      <c r="D1522" s="27" t="s">
        <v>81</v>
      </c>
      <c r="E1522" s="11">
        <f>750+1900</f>
        <v>2650</v>
      </c>
      <c r="F1522" s="11">
        <f>750+1900</f>
        <v>2650</v>
      </c>
      <c r="G1522" s="12">
        <v>3631</v>
      </c>
      <c r="H1522" s="12">
        <v>2710</v>
      </c>
      <c r="I1522" s="12"/>
      <c r="J1522" s="12">
        <v>2710</v>
      </c>
      <c r="K1522" s="12">
        <v>6277</v>
      </c>
      <c r="L1522" s="12">
        <v>5777</v>
      </c>
      <c r="M1522" s="12">
        <v>3800</v>
      </c>
      <c r="N1522" s="12">
        <v>3800</v>
      </c>
      <c r="O1522" s="12">
        <v>3800</v>
      </c>
      <c r="P1522" s="12">
        <v>1802</v>
      </c>
      <c r="Q1522" s="186">
        <f t="shared" si="166"/>
        <v>0.47421052631578947</v>
      </c>
      <c r="R1522" s="12">
        <v>4900</v>
      </c>
      <c r="S1522" s="12">
        <v>4900</v>
      </c>
      <c r="T1522" s="12">
        <v>4900</v>
      </c>
      <c r="U1522" s="12">
        <f t="shared" si="164"/>
        <v>0</v>
      </c>
      <c r="V1522" s="12">
        <f t="shared" si="165"/>
        <v>0</v>
      </c>
      <c r="W1522" s="32">
        <f t="shared" si="167"/>
        <v>4900</v>
      </c>
    </row>
    <row r="1523" spans="1:23" ht="24">
      <c r="A1523" s="25"/>
      <c r="B1523" s="25"/>
      <c r="C1523" s="26">
        <v>4350</v>
      </c>
      <c r="D1523" s="27" t="s">
        <v>38</v>
      </c>
      <c r="E1523" s="11">
        <v>1440</v>
      </c>
      <c r="F1523" s="11">
        <v>1440</v>
      </c>
      <c r="G1523" s="12">
        <v>1473</v>
      </c>
      <c r="H1523" s="12">
        <v>1470</v>
      </c>
      <c r="I1523" s="12"/>
      <c r="J1523" s="12">
        <v>1470</v>
      </c>
      <c r="K1523" s="12">
        <v>770</v>
      </c>
      <c r="L1523" s="12">
        <v>1270</v>
      </c>
      <c r="M1523" s="12">
        <v>1307</v>
      </c>
      <c r="N1523" s="12">
        <v>1310</v>
      </c>
      <c r="O1523" s="12">
        <v>1310</v>
      </c>
      <c r="P1523" s="12">
        <v>348</v>
      </c>
      <c r="Q1523" s="186">
        <f t="shared" si="166"/>
        <v>0.26564885496183205</v>
      </c>
      <c r="R1523" s="12">
        <v>1010</v>
      </c>
      <c r="S1523" s="12">
        <v>1010</v>
      </c>
      <c r="T1523" s="12">
        <v>1010</v>
      </c>
      <c r="U1523" s="12">
        <f t="shared" si="164"/>
        <v>0</v>
      </c>
      <c r="V1523" s="12">
        <f t="shared" si="165"/>
        <v>0</v>
      </c>
      <c r="W1523" s="32">
        <f t="shared" si="167"/>
        <v>1010</v>
      </c>
    </row>
    <row r="1524" spans="1:23" ht="36">
      <c r="A1524" s="25"/>
      <c r="B1524" s="25"/>
      <c r="C1524" s="26">
        <v>4370</v>
      </c>
      <c r="D1524" s="27" t="s">
        <v>135</v>
      </c>
      <c r="E1524" s="11">
        <v>5500</v>
      </c>
      <c r="F1524" s="11">
        <v>5500</v>
      </c>
      <c r="G1524" s="12">
        <v>5627</v>
      </c>
      <c r="H1524" s="12">
        <v>5630</v>
      </c>
      <c r="I1524" s="12"/>
      <c r="J1524" s="12">
        <v>5630</v>
      </c>
      <c r="K1524" s="12">
        <v>5630</v>
      </c>
      <c r="L1524" s="12">
        <v>5630</v>
      </c>
      <c r="M1524" s="12">
        <v>5793</v>
      </c>
      <c r="N1524" s="12">
        <v>5790</v>
      </c>
      <c r="O1524" s="12">
        <v>5790</v>
      </c>
      <c r="P1524" s="12">
        <v>2581</v>
      </c>
      <c r="Q1524" s="186">
        <f t="shared" si="166"/>
        <v>0.4457685664939551</v>
      </c>
      <c r="R1524" s="12">
        <v>5790</v>
      </c>
      <c r="S1524" s="12">
        <v>5790</v>
      </c>
      <c r="T1524" s="12">
        <v>5790</v>
      </c>
      <c r="U1524" s="12">
        <f t="shared" si="164"/>
        <v>0</v>
      </c>
      <c r="V1524" s="12">
        <f t="shared" si="165"/>
        <v>0</v>
      </c>
      <c r="W1524" s="32">
        <f t="shared" si="167"/>
        <v>5790</v>
      </c>
    </row>
    <row r="1525" spans="1:23" ht="12">
      <c r="A1525" s="25"/>
      <c r="B1525" s="25"/>
      <c r="C1525" s="26">
        <v>4410</v>
      </c>
      <c r="D1525" s="27" t="s">
        <v>42</v>
      </c>
      <c r="E1525" s="11">
        <v>3450</v>
      </c>
      <c r="F1525" s="11">
        <v>3450</v>
      </c>
      <c r="G1525" s="12">
        <v>3529</v>
      </c>
      <c r="H1525" s="12">
        <v>3530</v>
      </c>
      <c r="I1525" s="12"/>
      <c r="J1525" s="12">
        <v>3530</v>
      </c>
      <c r="K1525" s="12">
        <v>3530</v>
      </c>
      <c r="L1525" s="12">
        <v>3530</v>
      </c>
      <c r="M1525" s="12">
        <v>3632</v>
      </c>
      <c r="N1525" s="12">
        <v>3630</v>
      </c>
      <c r="O1525" s="12">
        <v>3630</v>
      </c>
      <c r="P1525" s="12">
        <v>1533</v>
      </c>
      <c r="Q1525" s="186">
        <f t="shared" si="166"/>
        <v>0.4223140495867769</v>
      </c>
      <c r="R1525" s="12">
        <v>3630</v>
      </c>
      <c r="S1525" s="12">
        <v>3630</v>
      </c>
      <c r="T1525" s="12">
        <v>3630</v>
      </c>
      <c r="U1525" s="12">
        <f t="shared" si="164"/>
        <v>0</v>
      </c>
      <c r="V1525" s="12">
        <f t="shared" si="165"/>
        <v>0</v>
      </c>
      <c r="W1525" s="32">
        <f t="shared" si="167"/>
        <v>3630</v>
      </c>
    </row>
    <row r="1526" spans="1:23" ht="12">
      <c r="A1526" s="25"/>
      <c r="B1526" s="25"/>
      <c r="C1526" s="26">
        <v>4430</v>
      </c>
      <c r="D1526" s="27" t="s">
        <v>43</v>
      </c>
      <c r="E1526" s="11">
        <v>400</v>
      </c>
      <c r="F1526" s="11">
        <v>600</v>
      </c>
      <c r="G1526" s="12">
        <v>613</v>
      </c>
      <c r="H1526" s="12">
        <v>620</v>
      </c>
      <c r="I1526" s="12"/>
      <c r="J1526" s="12">
        <v>620</v>
      </c>
      <c r="K1526" s="12">
        <v>620</v>
      </c>
      <c r="L1526" s="12">
        <v>620</v>
      </c>
      <c r="M1526" s="12">
        <v>638</v>
      </c>
      <c r="N1526" s="12">
        <v>640</v>
      </c>
      <c r="O1526" s="12">
        <v>640</v>
      </c>
      <c r="P1526" s="12">
        <v>845</v>
      </c>
      <c r="Q1526" s="186">
        <f t="shared" si="166"/>
        <v>1.3203125</v>
      </c>
      <c r="R1526" s="12">
        <v>1126</v>
      </c>
      <c r="S1526" s="12">
        <v>1130</v>
      </c>
      <c r="T1526" s="12">
        <v>1130</v>
      </c>
      <c r="U1526" s="12">
        <f t="shared" si="164"/>
        <v>0</v>
      </c>
      <c r="V1526" s="12">
        <f t="shared" si="165"/>
        <v>0</v>
      </c>
      <c r="W1526" s="32">
        <f t="shared" si="167"/>
        <v>1130</v>
      </c>
    </row>
    <row r="1527" spans="1:23" ht="24">
      <c r="A1527" s="25"/>
      <c r="B1527" s="25"/>
      <c r="C1527" s="26">
        <v>4440</v>
      </c>
      <c r="D1527" s="27" t="s">
        <v>44</v>
      </c>
      <c r="E1527" s="11">
        <v>22440</v>
      </c>
      <c r="F1527" s="11">
        <v>22440</v>
      </c>
      <c r="G1527" s="12">
        <v>23800</v>
      </c>
      <c r="H1527" s="12">
        <v>23900</v>
      </c>
      <c r="I1527" s="12"/>
      <c r="J1527" s="12">
        <v>23900</v>
      </c>
      <c r="K1527" s="12">
        <v>23900</v>
      </c>
      <c r="L1527" s="12">
        <v>25950</v>
      </c>
      <c r="M1527" s="12">
        <v>27840</v>
      </c>
      <c r="N1527" s="12">
        <v>27830</v>
      </c>
      <c r="O1527" s="12">
        <v>27830</v>
      </c>
      <c r="P1527" s="12">
        <v>21213</v>
      </c>
      <c r="Q1527" s="186">
        <f t="shared" si="166"/>
        <v>0.7622349982033777</v>
      </c>
      <c r="R1527" s="12">
        <v>27087</v>
      </c>
      <c r="S1527" s="12">
        <v>29130</v>
      </c>
      <c r="T1527" s="12">
        <v>29130</v>
      </c>
      <c r="U1527" s="12">
        <f>U1550</f>
        <v>0</v>
      </c>
      <c r="V1527" s="12">
        <f>V1550</f>
        <v>0</v>
      </c>
      <c r="W1527" s="32">
        <f t="shared" si="167"/>
        <v>29130</v>
      </c>
    </row>
    <row r="1528" spans="1:23" ht="12">
      <c r="A1528" s="25"/>
      <c r="B1528" s="25"/>
      <c r="C1528" s="26">
        <v>4510</v>
      </c>
      <c r="D1528" s="27" t="s">
        <v>91</v>
      </c>
      <c r="E1528" s="11">
        <v>0</v>
      </c>
      <c r="F1528" s="11">
        <v>0</v>
      </c>
      <c r="G1528" s="12">
        <v>100</v>
      </c>
      <c r="H1528" s="12">
        <v>100</v>
      </c>
      <c r="I1528" s="12"/>
      <c r="J1528" s="12">
        <v>100</v>
      </c>
      <c r="K1528" s="12">
        <v>100</v>
      </c>
      <c r="L1528" s="12">
        <v>100</v>
      </c>
      <c r="M1528" s="12">
        <v>103</v>
      </c>
      <c r="N1528" s="12">
        <v>100</v>
      </c>
      <c r="O1528" s="12">
        <v>100</v>
      </c>
      <c r="P1528" s="12"/>
      <c r="Q1528" s="186">
        <f t="shared" si="166"/>
        <v>0</v>
      </c>
      <c r="R1528" s="12">
        <v>100</v>
      </c>
      <c r="S1528" s="12">
        <v>100</v>
      </c>
      <c r="T1528" s="12">
        <v>100</v>
      </c>
      <c r="U1528" s="12">
        <f>U1549</f>
        <v>0</v>
      </c>
      <c r="V1528" s="12">
        <f>V1549</f>
        <v>0</v>
      </c>
      <c r="W1528" s="32">
        <f t="shared" si="167"/>
        <v>100</v>
      </c>
    </row>
    <row r="1529" spans="1:23" ht="36">
      <c r="A1529" s="25"/>
      <c r="B1529" s="25"/>
      <c r="C1529" s="26">
        <v>4700</v>
      </c>
      <c r="D1529" s="27" t="s">
        <v>46</v>
      </c>
      <c r="E1529" s="11">
        <v>820</v>
      </c>
      <c r="F1529" s="11">
        <v>820</v>
      </c>
      <c r="G1529" s="12">
        <v>839</v>
      </c>
      <c r="H1529" s="12">
        <v>840</v>
      </c>
      <c r="I1529" s="12"/>
      <c r="J1529" s="12">
        <v>840</v>
      </c>
      <c r="K1529" s="12">
        <v>840</v>
      </c>
      <c r="L1529" s="12">
        <v>840</v>
      </c>
      <c r="M1529" s="12">
        <v>864</v>
      </c>
      <c r="N1529" s="12">
        <v>870</v>
      </c>
      <c r="O1529" s="12">
        <v>870</v>
      </c>
      <c r="P1529" s="12">
        <v>190</v>
      </c>
      <c r="Q1529" s="186">
        <f t="shared" si="166"/>
        <v>0.21839080459770116</v>
      </c>
      <c r="R1529" s="12">
        <v>870</v>
      </c>
      <c r="S1529" s="12">
        <v>870</v>
      </c>
      <c r="T1529" s="12">
        <v>1370</v>
      </c>
      <c r="U1529" s="12">
        <f aca="true" t="shared" si="168" ref="U1529:V1531">U1551</f>
        <v>0</v>
      </c>
      <c r="V1529" s="12">
        <f t="shared" si="168"/>
        <v>0</v>
      </c>
      <c r="W1529" s="32">
        <f t="shared" si="167"/>
        <v>1370</v>
      </c>
    </row>
    <row r="1530" spans="1:23" ht="36">
      <c r="A1530" s="25"/>
      <c r="B1530" s="25"/>
      <c r="C1530" s="26">
        <v>4740</v>
      </c>
      <c r="D1530" s="27" t="s">
        <v>73</v>
      </c>
      <c r="E1530" s="11">
        <v>1530</v>
      </c>
      <c r="F1530" s="11">
        <v>1030</v>
      </c>
      <c r="G1530" s="12">
        <v>1054</v>
      </c>
      <c r="H1530" s="12">
        <v>1050</v>
      </c>
      <c r="I1530" s="12"/>
      <c r="J1530" s="12">
        <v>1050</v>
      </c>
      <c r="K1530" s="12">
        <v>1050</v>
      </c>
      <c r="L1530" s="12">
        <v>1050</v>
      </c>
      <c r="M1530" s="12">
        <v>1080</v>
      </c>
      <c r="N1530" s="12">
        <v>1080</v>
      </c>
      <c r="O1530" s="12">
        <v>1080</v>
      </c>
      <c r="P1530" s="12"/>
      <c r="Q1530" s="186">
        <f t="shared" si="166"/>
        <v>0</v>
      </c>
      <c r="R1530" s="12">
        <v>1080</v>
      </c>
      <c r="S1530" s="12">
        <v>1080</v>
      </c>
      <c r="T1530" s="12">
        <v>1080</v>
      </c>
      <c r="U1530" s="12">
        <f t="shared" si="168"/>
        <v>0</v>
      </c>
      <c r="V1530" s="12">
        <f t="shared" si="168"/>
        <v>0</v>
      </c>
      <c r="W1530" s="32">
        <f t="shared" si="167"/>
        <v>1080</v>
      </c>
    </row>
    <row r="1531" spans="1:23" ht="24">
      <c r="A1531" s="25"/>
      <c r="B1531" s="25"/>
      <c r="C1531" s="26">
        <v>4750</v>
      </c>
      <c r="D1531" s="27" t="s">
        <v>118</v>
      </c>
      <c r="E1531" s="11">
        <v>820</v>
      </c>
      <c r="F1531" s="11">
        <v>1320</v>
      </c>
      <c r="G1531" s="12">
        <v>1850</v>
      </c>
      <c r="H1531" s="12">
        <v>1350</v>
      </c>
      <c r="I1531" s="12"/>
      <c r="J1531" s="12">
        <v>1350</v>
      </c>
      <c r="K1531" s="12">
        <v>1773</v>
      </c>
      <c r="L1531" s="12">
        <v>1773</v>
      </c>
      <c r="M1531" s="12">
        <v>1825</v>
      </c>
      <c r="N1531" s="12">
        <v>1830</v>
      </c>
      <c r="O1531" s="12">
        <v>1830</v>
      </c>
      <c r="P1531" s="12">
        <v>333</v>
      </c>
      <c r="Q1531" s="186">
        <f t="shared" si="166"/>
        <v>0.1819672131147541</v>
      </c>
      <c r="R1531" s="12">
        <v>3530</v>
      </c>
      <c r="S1531" s="12">
        <v>3530</v>
      </c>
      <c r="T1531" s="12">
        <v>3530</v>
      </c>
      <c r="U1531" s="12">
        <f t="shared" si="168"/>
        <v>0</v>
      </c>
      <c r="V1531" s="12">
        <f t="shared" si="168"/>
        <v>0</v>
      </c>
      <c r="W1531" s="32">
        <f t="shared" si="167"/>
        <v>3530</v>
      </c>
    </row>
    <row r="1532" spans="1:23" ht="24">
      <c r="A1532" s="25"/>
      <c r="B1532" s="25"/>
      <c r="C1532" s="27" t="s">
        <v>121</v>
      </c>
      <c r="D1532" s="42" t="s">
        <v>235</v>
      </c>
      <c r="E1532" s="11">
        <f>SUM(E1533:E1553)</f>
        <v>554270</v>
      </c>
      <c r="F1532" s="11">
        <f>SUM(F1533:F1553)</f>
        <v>556270</v>
      </c>
      <c r="G1532" s="12">
        <f>SUM(G1533:G1553)</f>
        <v>617384</v>
      </c>
      <c r="H1532" s="12">
        <f>SUM(H1533:H1553)</f>
        <v>597540</v>
      </c>
      <c r="I1532" s="12"/>
      <c r="J1532" s="12">
        <f aca="true" t="shared" si="169" ref="J1532:P1532">SUM(J1533:J1553)</f>
        <v>597540</v>
      </c>
      <c r="K1532" s="12">
        <f t="shared" si="169"/>
        <v>631650</v>
      </c>
      <c r="L1532" s="12">
        <f t="shared" si="169"/>
        <v>638134</v>
      </c>
      <c r="M1532" s="12">
        <f t="shared" si="169"/>
        <v>714600</v>
      </c>
      <c r="N1532" s="12">
        <v>701050</v>
      </c>
      <c r="O1532" s="12">
        <v>701050</v>
      </c>
      <c r="P1532" s="12">
        <f t="shared" si="169"/>
        <v>341519</v>
      </c>
      <c r="Q1532" s="186">
        <f t="shared" si="166"/>
        <v>0.4871535553812139</v>
      </c>
      <c r="R1532" s="12">
        <f>SUM(R1533:R1553)</f>
        <v>690359</v>
      </c>
      <c r="S1532" s="12">
        <f>SUM(S1533:S1553)</f>
        <v>760660</v>
      </c>
      <c r="T1532" s="12">
        <v>763160</v>
      </c>
      <c r="U1532" s="12">
        <f>SUM(U1533:U1553)</f>
        <v>0</v>
      </c>
      <c r="V1532" s="12">
        <f>SUM(V1533:V1553)</f>
        <v>0</v>
      </c>
      <c r="W1532" s="32">
        <f t="shared" si="167"/>
        <v>763160</v>
      </c>
    </row>
    <row r="1533" spans="1:23" ht="24">
      <c r="A1533" s="25"/>
      <c r="B1533" s="25"/>
      <c r="C1533" s="26">
        <v>3020</v>
      </c>
      <c r="D1533" s="27" t="s">
        <v>68</v>
      </c>
      <c r="E1533" s="11">
        <v>8700</v>
      </c>
      <c r="F1533" s="11">
        <v>8700</v>
      </c>
      <c r="G1533" s="12">
        <v>9058</v>
      </c>
      <c r="H1533" s="12">
        <v>8900</v>
      </c>
      <c r="I1533" s="12"/>
      <c r="J1533" s="12">
        <v>8900</v>
      </c>
      <c r="K1533" s="12">
        <v>8900</v>
      </c>
      <c r="L1533" s="12">
        <v>8900</v>
      </c>
      <c r="M1533" s="12">
        <v>9648</v>
      </c>
      <c r="N1533" s="12">
        <v>9650</v>
      </c>
      <c r="O1533" s="12">
        <v>9650</v>
      </c>
      <c r="P1533" s="12">
        <v>4907</v>
      </c>
      <c r="Q1533" s="186">
        <f t="shared" si="166"/>
        <v>0.5084974093264248</v>
      </c>
      <c r="R1533" s="12">
        <v>10278</v>
      </c>
      <c r="S1533" s="12">
        <v>11410</v>
      </c>
      <c r="T1533" s="12">
        <v>11410</v>
      </c>
      <c r="U1533" s="12"/>
      <c r="V1533" s="12"/>
      <c r="W1533" s="32">
        <f t="shared" si="167"/>
        <v>11410</v>
      </c>
    </row>
    <row r="1534" spans="1:23" ht="24">
      <c r="A1534" s="25"/>
      <c r="B1534" s="25"/>
      <c r="C1534" s="26">
        <v>4010</v>
      </c>
      <c r="D1534" s="27" t="s">
        <v>29</v>
      </c>
      <c r="E1534" s="11">
        <f>372260+5400</f>
        <v>377660</v>
      </c>
      <c r="F1534" s="11">
        <f>372260+5400</f>
        <v>377660</v>
      </c>
      <c r="G1534" s="12">
        <v>417421</v>
      </c>
      <c r="H1534" s="12">
        <v>417420</v>
      </c>
      <c r="I1534" s="12"/>
      <c r="J1534" s="12">
        <v>417420</v>
      </c>
      <c r="K1534" s="12">
        <v>441600</v>
      </c>
      <c r="L1534" s="12">
        <v>444925</v>
      </c>
      <c r="M1534" s="12">
        <v>481082</v>
      </c>
      <c r="N1534" s="12">
        <v>481090</v>
      </c>
      <c r="O1534" s="12">
        <v>481090</v>
      </c>
      <c r="P1534" s="12">
        <v>212260</v>
      </c>
      <c r="Q1534" s="186">
        <f t="shared" si="166"/>
        <v>0.44120642707185764</v>
      </c>
      <c r="R1534" s="12">
        <v>468643</v>
      </c>
      <c r="S1534" s="12">
        <v>525130</v>
      </c>
      <c r="T1534" s="12">
        <v>525130</v>
      </c>
      <c r="U1534" s="12"/>
      <c r="V1534" s="12"/>
      <c r="W1534" s="32">
        <f t="shared" si="167"/>
        <v>525130</v>
      </c>
    </row>
    <row r="1535" spans="1:23" ht="12">
      <c r="A1535" s="25"/>
      <c r="B1535" s="25"/>
      <c r="C1535" s="26">
        <v>4040</v>
      </c>
      <c r="D1535" s="27" t="s">
        <v>30</v>
      </c>
      <c r="E1535" s="11">
        <v>28910</v>
      </c>
      <c r="F1535" s="11">
        <v>28910</v>
      </c>
      <c r="G1535" s="12">
        <v>31840</v>
      </c>
      <c r="H1535" s="12">
        <v>31840</v>
      </c>
      <c r="I1535" s="12"/>
      <c r="J1535" s="12">
        <v>31840</v>
      </c>
      <c r="K1535" s="12">
        <v>31840</v>
      </c>
      <c r="L1535" s="12">
        <v>30749</v>
      </c>
      <c r="M1535" s="12">
        <v>38500</v>
      </c>
      <c r="N1535" s="12">
        <v>38500</v>
      </c>
      <c r="O1535" s="12">
        <v>38500</v>
      </c>
      <c r="P1535" s="12">
        <v>35042</v>
      </c>
      <c r="Q1535" s="186">
        <f t="shared" si="166"/>
        <v>0.9101818181818182</v>
      </c>
      <c r="R1535" s="12">
        <v>35042</v>
      </c>
      <c r="S1535" s="12">
        <v>40620</v>
      </c>
      <c r="T1535" s="12">
        <v>40620</v>
      </c>
      <c r="U1535" s="12"/>
      <c r="V1535" s="12"/>
      <c r="W1535" s="32">
        <f t="shared" si="167"/>
        <v>40620</v>
      </c>
    </row>
    <row r="1536" spans="1:23" ht="24">
      <c r="A1536" s="25"/>
      <c r="B1536" s="25"/>
      <c r="C1536" s="26">
        <v>4110</v>
      </c>
      <c r="D1536" s="27" t="s">
        <v>113</v>
      </c>
      <c r="E1536" s="11">
        <v>67720</v>
      </c>
      <c r="F1536" s="11">
        <v>67720</v>
      </c>
      <c r="G1536" s="12">
        <v>73200</v>
      </c>
      <c r="H1536" s="12">
        <v>62630</v>
      </c>
      <c r="I1536" s="12"/>
      <c r="J1536" s="12">
        <v>62630</v>
      </c>
      <c r="K1536" s="12">
        <v>66290</v>
      </c>
      <c r="L1536" s="12">
        <v>68490</v>
      </c>
      <c r="M1536" s="12">
        <v>85000</v>
      </c>
      <c r="N1536" s="12">
        <v>77630</v>
      </c>
      <c r="O1536" s="12">
        <v>77630</v>
      </c>
      <c r="P1536" s="12">
        <v>35640</v>
      </c>
      <c r="Q1536" s="186">
        <f t="shared" si="166"/>
        <v>0.45910086306840137</v>
      </c>
      <c r="R1536" s="12">
        <v>78997</v>
      </c>
      <c r="S1536" s="12">
        <v>84810</v>
      </c>
      <c r="T1536" s="12">
        <v>84810</v>
      </c>
      <c r="U1536" s="12"/>
      <c r="V1536" s="12"/>
      <c r="W1536" s="32">
        <f t="shared" si="167"/>
        <v>84810</v>
      </c>
    </row>
    <row r="1537" spans="1:23" ht="12">
      <c r="A1537" s="25"/>
      <c r="B1537" s="25"/>
      <c r="C1537" s="26">
        <v>4120</v>
      </c>
      <c r="D1537" s="27" t="s">
        <v>32</v>
      </c>
      <c r="E1537" s="11">
        <v>9830</v>
      </c>
      <c r="F1537" s="11">
        <v>9830</v>
      </c>
      <c r="G1537" s="12">
        <v>10560</v>
      </c>
      <c r="H1537" s="12">
        <v>10780</v>
      </c>
      <c r="I1537" s="12"/>
      <c r="J1537" s="12">
        <v>10780</v>
      </c>
      <c r="K1537" s="12">
        <v>11360</v>
      </c>
      <c r="L1537" s="12">
        <v>11360</v>
      </c>
      <c r="M1537" s="12">
        <v>16000</v>
      </c>
      <c r="N1537" s="12">
        <v>12470</v>
      </c>
      <c r="O1537" s="12">
        <v>12470</v>
      </c>
      <c r="P1537" s="12">
        <v>5745</v>
      </c>
      <c r="Q1537" s="186">
        <f t="shared" si="166"/>
        <v>0.4607056936647955</v>
      </c>
      <c r="R1537" s="12">
        <v>12674</v>
      </c>
      <c r="S1537" s="12">
        <v>13580</v>
      </c>
      <c r="T1537" s="12">
        <v>13580</v>
      </c>
      <c r="U1537" s="12"/>
      <c r="V1537" s="12"/>
      <c r="W1537" s="32">
        <f t="shared" si="167"/>
        <v>13580</v>
      </c>
    </row>
    <row r="1538" spans="1:23" ht="12">
      <c r="A1538" s="25"/>
      <c r="B1538" s="25"/>
      <c r="C1538" s="26">
        <v>4170</v>
      </c>
      <c r="D1538" s="27" t="s">
        <v>137</v>
      </c>
      <c r="E1538" s="11">
        <f>1540+2000</f>
        <v>3540</v>
      </c>
      <c r="F1538" s="11">
        <f>1540+2000</f>
        <v>3540</v>
      </c>
      <c r="G1538" s="12">
        <v>6026</v>
      </c>
      <c r="H1538" s="12">
        <v>3620</v>
      </c>
      <c r="I1538" s="12"/>
      <c r="J1538" s="12">
        <v>3620</v>
      </c>
      <c r="K1538" s="12">
        <v>4820</v>
      </c>
      <c r="L1538" s="12">
        <v>4820</v>
      </c>
      <c r="M1538" s="12">
        <v>6826</v>
      </c>
      <c r="N1538" s="12">
        <v>6830</v>
      </c>
      <c r="O1538" s="12">
        <v>6830</v>
      </c>
      <c r="P1538" s="12">
        <v>2453</v>
      </c>
      <c r="Q1538" s="186">
        <f t="shared" si="166"/>
        <v>0.35915080527086385</v>
      </c>
      <c r="R1538" s="12">
        <v>6830</v>
      </c>
      <c r="S1538" s="12">
        <v>6830</v>
      </c>
      <c r="T1538" s="12">
        <v>6830</v>
      </c>
      <c r="U1538" s="12"/>
      <c r="V1538" s="12"/>
      <c r="W1538" s="32">
        <f t="shared" si="167"/>
        <v>6830</v>
      </c>
    </row>
    <row r="1539" spans="1:23" ht="12">
      <c r="A1539" s="25"/>
      <c r="B1539" s="25"/>
      <c r="C1539" s="26">
        <v>4210</v>
      </c>
      <c r="D1539" s="27" t="s">
        <v>34</v>
      </c>
      <c r="E1539" s="11">
        <v>4010</v>
      </c>
      <c r="F1539" s="11">
        <v>4810</v>
      </c>
      <c r="G1539" s="12">
        <v>10550</v>
      </c>
      <c r="H1539" s="12">
        <v>4920</v>
      </c>
      <c r="I1539" s="12"/>
      <c r="J1539" s="12">
        <v>4920</v>
      </c>
      <c r="K1539" s="12">
        <v>4920</v>
      </c>
      <c r="L1539" s="12">
        <v>4920</v>
      </c>
      <c r="M1539" s="12">
        <v>7725</v>
      </c>
      <c r="N1539" s="12">
        <v>5060</v>
      </c>
      <c r="O1539" s="12">
        <v>5060</v>
      </c>
      <c r="P1539" s="12">
        <v>2785</v>
      </c>
      <c r="Q1539" s="186">
        <f t="shared" si="166"/>
        <v>0.5503952569169961</v>
      </c>
      <c r="R1539" s="12">
        <v>6560</v>
      </c>
      <c r="S1539" s="12">
        <v>8560</v>
      </c>
      <c r="T1539" s="12">
        <v>7560</v>
      </c>
      <c r="U1539" s="12"/>
      <c r="V1539" s="12"/>
      <c r="W1539" s="32">
        <f t="shared" si="167"/>
        <v>7560</v>
      </c>
    </row>
    <row r="1540" spans="1:23" ht="24">
      <c r="A1540" s="25"/>
      <c r="B1540" s="25"/>
      <c r="C1540" s="26">
        <v>4240</v>
      </c>
      <c r="D1540" s="27" t="s">
        <v>117</v>
      </c>
      <c r="E1540" s="11">
        <v>1020</v>
      </c>
      <c r="F1540" s="11">
        <v>2020</v>
      </c>
      <c r="G1540" s="12">
        <v>2066</v>
      </c>
      <c r="H1540" s="12">
        <v>2070</v>
      </c>
      <c r="I1540" s="12"/>
      <c r="J1540" s="12">
        <v>2070</v>
      </c>
      <c r="K1540" s="12">
        <v>3070</v>
      </c>
      <c r="L1540" s="12">
        <v>3070</v>
      </c>
      <c r="M1540" s="12">
        <v>3160</v>
      </c>
      <c r="N1540" s="12">
        <v>3160</v>
      </c>
      <c r="O1540" s="12">
        <v>3160</v>
      </c>
      <c r="P1540" s="12">
        <v>451</v>
      </c>
      <c r="Q1540" s="186">
        <f t="shared" si="166"/>
        <v>0.14272151898734178</v>
      </c>
      <c r="R1540" s="12">
        <v>1160</v>
      </c>
      <c r="S1540" s="12">
        <v>1160</v>
      </c>
      <c r="T1540" s="12">
        <v>1160</v>
      </c>
      <c r="U1540" s="12"/>
      <c r="V1540" s="12"/>
      <c r="W1540" s="32">
        <f t="shared" si="167"/>
        <v>1160</v>
      </c>
    </row>
    <row r="1541" spans="1:23" ht="12">
      <c r="A1541" s="25"/>
      <c r="B1541" s="25"/>
      <c r="C1541" s="26">
        <v>4260</v>
      </c>
      <c r="D1541" s="27" t="s">
        <v>35</v>
      </c>
      <c r="E1541" s="11">
        <v>11920</v>
      </c>
      <c r="F1541" s="11">
        <v>11920</v>
      </c>
      <c r="G1541" s="12">
        <v>12194</v>
      </c>
      <c r="H1541" s="12">
        <v>12200</v>
      </c>
      <c r="I1541" s="12"/>
      <c r="J1541" s="12">
        <v>12200</v>
      </c>
      <c r="K1541" s="12">
        <v>12200</v>
      </c>
      <c r="L1541" s="12">
        <v>12200</v>
      </c>
      <c r="M1541" s="12">
        <v>12555</v>
      </c>
      <c r="N1541" s="12">
        <v>12560</v>
      </c>
      <c r="O1541" s="12">
        <v>12560</v>
      </c>
      <c r="P1541" s="12">
        <v>8002</v>
      </c>
      <c r="Q1541" s="186">
        <f t="shared" si="166"/>
        <v>0.6371019108280255</v>
      </c>
      <c r="R1541" s="12">
        <v>13832</v>
      </c>
      <c r="S1541" s="12">
        <v>14520</v>
      </c>
      <c r="T1541" s="12">
        <v>14520</v>
      </c>
      <c r="U1541" s="12"/>
      <c r="V1541" s="12"/>
      <c r="W1541" s="32">
        <f t="shared" si="167"/>
        <v>14520</v>
      </c>
    </row>
    <row r="1542" spans="1:23" ht="12">
      <c r="A1542" s="25"/>
      <c r="B1542" s="25"/>
      <c r="C1542" s="26">
        <v>4270</v>
      </c>
      <c r="D1542" s="27" t="s">
        <v>36</v>
      </c>
      <c r="E1542" s="11">
        <v>1760</v>
      </c>
      <c r="F1542" s="11">
        <v>1760</v>
      </c>
      <c r="G1542" s="12">
        <v>1800</v>
      </c>
      <c r="H1542" s="12">
        <v>1800</v>
      </c>
      <c r="I1542" s="12"/>
      <c r="J1542" s="12">
        <v>1800</v>
      </c>
      <c r="K1542" s="12">
        <v>1800</v>
      </c>
      <c r="L1542" s="12">
        <v>1800</v>
      </c>
      <c r="M1542" s="12">
        <v>6852</v>
      </c>
      <c r="N1542" s="12">
        <v>6850</v>
      </c>
      <c r="O1542" s="12">
        <v>6850</v>
      </c>
      <c r="P1542" s="12">
        <v>5319</v>
      </c>
      <c r="Q1542" s="186">
        <f t="shared" si="166"/>
        <v>0.7764963503649635</v>
      </c>
      <c r="R1542" s="12">
        <v>6850</v>
      </c>
      <c r="S1542" s="12">
        <v>2500</v>
      </c>
      <c r="T1542" s="12">
        <v>5500</v>
      </c>
      <c r="U1542" s="12"/>
      <c r="V1542" s="12"/>
      <c r="W1542" s="32">
        <f t="shared" si="167"/>
        <v>5500</v>
      </c>
    </row>
    <row r="1543" spans="1:23" ht="12">
      <c r="A1543" s="25"/>
      <c r="B1543" s="25"/>
      <c r="C1543" s="26">
        <v>4280</v>
      </c>
      <c r="D1543" s="27" t="s">
        <v>37</v>
      </c>
      <c r="E1543" s="11">
        <v>150</v>
      </c>
      <c r="F1543" s="11">
        <v>150</v>
      </c>
      <c r="G1543" s="12">
        <v>153</v>
      </c>
      <c r="H1543" s="12">
        <v>160</v>
      </c>
      <c r="I1543" s="12"/>
      <c r="J1543" s="12">
        <v>160</v>
      </c>
      <c r="K1543" s="12">
        <v>360</v>
      </c>
      <c r="L1543" s="12">
        <v>360</v>
      </c>
      <c r="M1543" s="12">
        <v>370</v>
      </c>
      <c r="N1543" s="12">
        <v>370</v>
      </c>
      <c r="O1543" s="12">
        <v>370</v>
      </c>
      <c r="P1543" s="12">
        <v>70</v>
      </c>
      <c r="Q1543" s="186">
        <f t="shared" si="166"/>
        <v>0.1891891891891892</v>
      </c>
      <c r="R1543" s="12">
        <v>370</v>
      </c>
      <c r="S1543" s="12">
        <v>370</v>
      </c>
      <c r="T1543" s="12">
        <v>370</v>
      </c>
      <c r="U1543" s="12"/>
      <c r="V1543" s="12"/>
      <c r="W1543" s="32">
        <f t="shared" si="167"/>
        <v>370</v>
      </c>
    </row>
    <row r="1544" spans="1:23" ht="12">
      <c r="A1544" s="25"/>
      <c r="B1544" s="25"/>
      <c r="C1544" s="26">
        <v>4300</v>
      </c>
      <c r="D1544" s="27" t="s">
        <v>81</v>
      </c>
      <c r="E1544" s="11">
        <f>750+1900</f>
        <v>2650</v>
      </c>
      <c r="F1544" s="11">
        <f>750+1900</f>
        <v>2650</v>
      </c>
      <c r="G1544" s="12">
        <v>3631</v>
      </c>
      <c r="H1544" s="12">
        <v>2710</v>
      </c>
      <c r="I1544" s="12"/>
      <c r="J1544" s="12">
        <v>2710</v>
      </c>
      <c r="K1544" s="12">
        <v>6277</v>
      </c>
      <c r="L1544" s="12">
        <v>5777</v>
      </c>
      <c r="M1544" s="12">
        <v>3800</v>
      </c>
      <c r="N1544" s="12">
        <v>3800</v>
      </c>
      <c r="O1544" s="12">
        <v>3800</v>
      </c>
      <c r="P1544" s="12">
        <v>1802</v>
      </c>
      <c r="Q1544" s="186">
        <f t="shared" si="166"/>
        <v>0.47421052631578947</v>
      </c>
      <c r="R1544" s="12">
        <v>4900</v>
      </c>
      <c r="S1544" s="12">
        <v>4900</v>
      </c>
      <c r="T1544" s="12">
        <v>4900</v>
      </c>
      <c r="U1544" s="12"/>
      <c r="V1544" s="12"/>
      <c r="W1544" s="32">
        <f t="shared" si="167"/>
        <v>4900</v>
      </c>
    </row>
    <row r="1545" spans="1:23" ht="24">
      <c r="A1545" s="25"/>
      <c r="B1545" s="25"/>
      <c r="C1545" s="26">
        <v>4350</v>
      </c>
      <c r="D1545" s="27" t="s">
        <v>38</v>
      </c>
      <c r="E1545" s="11">
        <v>1440</v>
      </c>
      <c r="F1545" s="11">
        <v>1440</v>
      </c>
      <c r="G1545" s="12">
        <v>1473</v>
      </c>
      <c r="H1545" s="12">
        <v>1470</v>
      </c>
      <c r="I1545" s="12"/>
      <c r="J1545" s="12">
        <v>1470</v>
      </c>
      <c r="K1545" s="12">
        <v>770</v>
      </c>
      <c r="L1545" s="12">
        <v>1270</v>
      </c>
      <c r="M1545" s="12">
        <v>1307</v>
      </c>
      <c r="N1545" s="12">
        <v>1310</v>
      </c>
      <c r="O1545" s="12">
        <v>1310</v>
      </c>
      <c r="P1545" s="12">
        <v>348</v>
      </c>
      <c r="Q1545" s="186">
        <f t="shared" si="166"/>
        <v>0.26564885496183205</v>
      </c>
      <c r="R1545" s="12">
        <v>1010</v>
      </c>
      <c r="S1545" s="12">
        <v>1010</v>
      </c>
      <c r="T1545" s="12">
        <v>1010</v>
      </c>
      <c r="U1545" s="12"/>
      <c r="V1545" s="12"/>
      <c r="W1545" s="32">
        <f t="shared" si="167"/>
        <v>1010</v>
      </c>
    </row>
    <row r="1546" spans="1:23" ht="36">
      <c r="A1546" s="25"/>
      <c r="B1546" s="25"/>
      <c r="C1546" s="26">
        <v>4370</v>
      </c>
      <c r="D1546" s="27" t="s">
        <v>135</v>
      </c>
      <c r="E1546" s="11">
        <v>5500</v>
      </c>
      <c r="F1546" s="11">
        <v>5500</v>
      </c>
      <c r="G1546" s="12">
        <v>5627</v>
      </c>
      <c r="H1546" s="12">
        <v>5630</v>
      </c>
      <c r="I1546" s="12"/>
      <c r="J1546" s="12">
        <v>5630</v>
      </c>
      <c r="K1546" s="12">
        <v>5630</v>
      </c>
      <c r="L1546" s="12">
        <v>5630</v>
      </c>
      <c r="M1546" s="12">
        <v>5793</v>
      </c>
      <c r="N1546" s="12">
        <v>5790</v>
      </c>
      <c r="O1546" s="12">
        <v>5790</v>
      </c>
      <c r="P1546" s="12">
        <v>2581</v>
      </c>
      <c r="Q1546" s="186">
        <f t="shared" si="166"/>
        <v>0.4457685664939551</v>
      </c>
      <c r="R1546" s="12">
        <v>5790</v>
      </c>
      <c r="S1546" s="12">
        <v>5790</v>
      </c>
      <c r="T1546" s="12">
        <v>5790</v>
      </c>
      <c r="U1546" s="12"/>
      <c r="V1546" s="12"/>
      <c r="W1546" s="32">
        <f t="shared" si="167"/>
        <v>5790</v>
      </c>
    </row>
    <row r="1547" spans="1:23" ht="12">
      <c r="A1547" s="25"/>
      <c r="B1547" s="25"/>
      <c r="C1547" s="26">
        <v>4410</v>
      </c>
      <c r="D1547" s="27" t="s">
        <v>42</v>
      </c>
      <c r="E1547" s="11">
        <v>3450</v>
      </c>
      <c r="F1547" s="11">
        <v>3450</v>
      </c>
      <c r="G1547" s="12">
        <v>3529</v>
      </c>
      <c r="H1547" s="12">
        <v>3530</v>
      </c>
      <c r="I1547" s="12"/>
      <c r="J1547" s="12">
        <v>3530</v>
      </c>
      <c r="K1547" s="12">
        <v>3530</v>
      </c>
      <c r="L1547" s="12">
        <v>3530</v>
      </c>
      <c r="M1547" s="12">
        <v>3632</v>
      </c>
      <c r="N1547" s="12">
        <v>3630</v>
      </c>
      <c r="O1547" s="12">
        <v>3630</v>
      </c>
      <c r="P1547" s="12">
        <v>1533</v>
      </c>
      <c r="Q1547" s="186">
        <f t="shared" si="166"/>
        <v>0.4223140495867769</v>
      </c>
      <c r="R1547" s="12">
        <v>3630</v>
      </c>
      <c r="S1547" s="12">
        <v>3630</v>
      </c>
      <c r="T1547" s="12">
        <v>3630</v>
      </c>
      <c r="U1547" s="12"/>
      <c r="V1547" s="12"/>
      <c r="W1547" s="32">
        <f t="shared" si="167"/>
        <v>3630</v>
      </c>
    </row>
    <row r="1548" spans="1:23" ht="12">
      <c r="A1548" s="25"/>
      <c r="B1548" s="25"/>
      <c r="C1548" s="26">
        <v>4430</v>
      </c>
      <c r="D1548" s="27" t="s">
        <v>43</v>
      </c>
      <c r="E1548" s="11">
        <v>400</v>
      </c>
      <c r="F1548" s="11">
        <v>600</v>
      </c>
      <c r="G1548" s="12">
        <v>613</v>
      </c>
      <c r="H1548" s="12">
        <v>620</v>
      </c>
      <c r="I1548" s="12"/>
      <c r="J1548" s="12">
        <v>620</v>
      </c>
      <c r="K1548" s="12">
        <v>620</v>
      </c>
      <c r="L1548" s="12">
        <v>620</v>
      </c>
      <c r="M1548" s="12">
        <v>638</v>
      </c>
      <c r="N1548" s="12">
        <v>640</v>
      </c>
      <c r="O1548" s="12">
        <v>640</v>
      </c>
      <c r="P1548" s="12">
        <v>845</v>
      </c>
      <c r="Q1548" s="186">
        <f t="shared" si="166"/>
        <v>1.3203125</v>
      </c>
      <c r="R1548" s="12">
        <v>1126</v>
      </c>
      <c r="S1548" s="12">
        <v>1130</v>
      </c>
      <c r="T1548" s="12">
        <v>1130</v>
      </c>
      <c r="U1548" s="12"/>
      <c r="V1548" s="12"/>
      <c r="W1548" s="32">
        <f t="shared" si="167"/>
        <v>1130</v>
      </c>
    </row>
    <row r="1549" spans="1:23" ht="12">
      <c r="A1549" s="25"/>
      <c r="B1549" s="25"/>
      <c r="C1549" s="26">
        <v>4510</v>
      </c>
      <c r="D1549" s="27" t="s">
        <v>91</v>
      </c>
      <c r="E1549" s="11">
        <v>0</v>
      </c>
      <c r="F1549" s="11">
        <v>0</v>
      </c>
      <c r="G1549" s="12">
        <v>100</v>
      </c>
      <c r="H1549" s="12">
        <v>23900</v>
      </c>
      <c r="I1549" s="12"/>
      <c r="J1549" s="15">
        <v>100</v>
      </c>
      <c r="K1549" s="12">
        <v>100</v>
      </c>
      <c r="L1549" s="12">
        <v>100</v>
      </c>
      <c r="M1549" s="12">
        <v>103</v>
      </c>
      <c r="N1549" s="12">
        <v>100</v>
      </c>
      <c r="O1549" s="12">
        <v>100</v>
      </c>
      <c r="P1549" s="12"/>
      <c r="Q1549" s="186">
        <f t="shared" si="166"/>
        <v>0</v>
      </c>
      <c r="R1549" s="12">
        <v>27087</v>
      </c>
      <c r="S1549" s="12">
        <v>100</v>
      </c>
      <c r="T1549" s="12">
        <v>100</v>
      </c>
      <c r="U1549" s="12"/>
      <c r="V1549" s="12"/>
      <c r="W1549" s="32">
        <f t="shared" si="167"/>
        <v>100</v>
      </c>
    </row>
    <row r="1550" spans="1:23" ht="24">
      <c r="A1550" s="25"/>
      <c r="B1550" s="25"/>
      <c r="C1550" s="26">
        <v>4440</v>
      </c>
      <c r="D1550" s="27" t="s">
        <v>44</v>
      </c>
      <c r="E1550" s="11">
        <v>22440</v>
      </c>
      <c r="F1550" s="11">
        <v>22440</v>
      </c>
      <c r="G1550" s="12">
        <v>23800</v>
      </c>
      <c r="H1550" s="12">
        <v>100</v>
      </c>
      <c r="I1550" s="12"/>
      <c r="J1550" s="12">
        <v>23900</v>
      </c>
      <c r="K1550" s="12">
        <v>23900</v>
      </c>
      <c r="L1550" s="12">
        <v>25950</v>
      </c>
      <c r="M1550" s="12">
        <v>27840</v>
      </c>
      <c r="N1550" s="12">
        <v>27830</v>
      </c>
      <c r="O1550" s="12">
        <v>27830</v>
      </c>
      <c r="P1550" s="12">
        <v>21213</v>
      </c>
      <c r="Q1550" s="186">
        <f t="shared" si="166"/>
        <v>0.7622349982033777</v>
      </c>
      <c r="R1550" s="12">
        <v>100</v>
      </c>
      <c r="S1550" s="12">
        <v>29130</v>
      </c>
      <c r="T1550" s="12">
        <v>29130</v>
      </c>
      <c r="U1550" s="12"/>
      <c r="V1550" s="12"/>
      <c r="W1550" s="32">
        <f t="shared" si="167"/>
        <v>29130</v>
      </c>
    </row>
    <row r="1551" spans="1:23" ht="36">
      <c r="A1551" s="25"/>
      <c r="B1551" s="25"/>
      <c r="C1551" s="26">
        <v>4700</v>
      </c>
      <c r="D1551" s="27" t="s">
        <v>46</v>
      </c>
      <c r="E1551" s="11">
        <v>820</v>
      </c>
      <c r="F1551" s="11">
        <v>820</v>
      </c>
      <c r="G1551" s="12">
        <v>839</v>
      </c>
      <c r="H1551" s="12">
        <v>840</v>
      </c>
      <c r="I1551" s="12"/>
      <c r="J1551" s="12">
        <v>840</v>
      </c>
      <c r="K1551" s="12">
        <v>840</v>
      </c>
      <c r="L1551" s="12">
        <v>840</v>
      </c>
      <c r="M1551" s="12">
        <v>864</v>
      </c>
      <c r="N1551" s="12">
        <v>870</v>
      </c>
      <c r="O1551" s="12">
        <v>870</v>
      </c>
      <c r="P1551" s="12">
        <v>190</v>
      </c>
      <c r="Q1551" s="186">
        <f t="shared" si="166"/>
        <v>0.21839080459770116</v>
      </c>
      <c r="R1551" s="12">
        <v>870</v>
      </c>
      <c r="S1551" s="12">
        <v>870</v>
      </c>
      <c r="T1551" s="12">
        <v>1370</v>
      </c>
      <c r="U1551" s="12"/>
      <c r="V1551" s="12"/>
      <c r="W1551" s="32">
        <f t="shared" si="167"/>
        <v>1370</v>
      </c>
    </row>
    <row r="1552" spans="1:23" ht="36">
      <c r="A1552" s="25"/>
      <c r="B1552" s="25"/>
      <c r="C1552" s="26">
        <v>4740</v>
      </c>
      <c r="D1552" s="27" t="s">
        <v>73</v>
      </c>
      <c r="E1552" s="11">
        <v>1530</v>
      </c>
      <c r="F1552" s="11">
        <v>1030</v>
      </c>
      <c r="G1552" s="12">
        <v>1054</v>
      </c>
      <c r="H1552" s="12">
        <v>1050</v>
      </c>
      <c r="I1552" s="12"/>
      <c r="J1552" s="12">
        <v>1050</v>
      </c>
      <c r="K1552" s="12">
        <v>1050</v>
      </c>
      <c r="L1552" s="12">
        <v>1050</v>
      </c>
      <c r="M1552" s="12">
        <v>1080</v>
      </c>
      <c r="N1552" s="12">
        <v>1080</v>
      </c>
      <c r="O1552" s="12">
        <v>1080</v>
      </c>
      <c r="P1552" s="12"/>
      <c r="Q1552" s="186">
        <f t="shared" si="166"/>
        <v>0</v>
      </c>
      <c r="R1552" s="12">
        <v>1080</v>
      </c>
      <c r="S1552" s="12">
        <v>1080</v>
      </c>
      <c r="T1552" s="12">
        <v>1080</v>
      </c>
      <c r="U1552" s="12"/>
      <c r="V1552" s="12"/>
      <c r="W1552" s="32">
        <f t="shared" si="167"/>
        <v>1080</v>
      </c>
    </row>
    <row r="1553" spans="1:23" ht="24">
      <c r="A1553" s="25"/>
      <c r="B1553" s="25"/>
      <c r="C1553" s="26">
        <v>4750</v>
      </c>
      <c r="D1553" s="27" t="s">
        <v>118</v>
      </c>
      <c r="E1553" s="11">
        <v>820</v>
      </c>
      <c r="F1553" s="11">
        <v>1320</v>
      </c>
      <c r="G1553" s="12">
        <v>1850</v>
      </c>
      <c r="H1553" s="12">
        <v>1350</v>
      </c>
      <c r="I1553" s="12"/>
      <c r="J1553" s="12">
        <v>1350</v>
      </c>
      <c r="K1553" s="12">
        <v>1773</v>
      </c>
      <c r="L1553" s="12">
        <v>1773</v>
      </c>
      <c r="M1553" s="12">
        <v>1825</v>
      </c>
      <c r="N1553" s="12">
        <v>1830</v>
      </c>
      <c r="O1553" s="12">
        <v>1830</v>
      </c>
      <c r="P1553" s="12">
        <v>333</v>
      </c>
      <c r="Q1553" s="186">
        <f t="shared" si="166"/>
        <v>0.1819672131147541</v>
      </c>
      <c r="R1553" s="12">
        <v>3530</v>
      </c>
      <c r="S1553" s="12">
        <v>3530</v>
      </c>
      <c r="T1553" s="12">
        <v>3530</v>
      </c>
      <c r="U1553" s="12"/>
      <c r="V1553" s="12"/>
      <c r="W1553" s="32">
        <f t="shared" si="167"/>
        <v>3530</v>
      </c>
    </row>
    <row r="1554" spans="1:23" ht="12">
      <c r="A1554" s="25"/>
      <c r="B1554" s="25"/>
      <c r="C1554" s="26"/>
      <c r="D1554" s="42" t="s">
        <v>138</v>
      </c>
      <c r="E1554" s="11">
        <f>SUM(E1555)</f>
        <v>263000</v>
      </c>
      <c r="F1554" s="11">
        <f>SUM(F1555)</f>
        <v>263000</v>
      </c>
      <c r="G1554" s="12">
        <f>SUM(G1555)</f>
        <v>285000</v>
      </c>
      <c r="H1554" s="12">
        <f>SUM(H1555)</f>
        <v>285000</v>
      </c>
      <c r="I1554" s="12"/>
      <c r="J1554" s="12">
        <f aca="true" t="shared" si="170" ref="J1554:P1554">SUM(J1555)</f>
        <v>285000</v>
      </c>
      <c r="K1554" s="12">
        <f t="shared" si="170"/>
        <v>285000</v>
      </c>
      <c r="L1554" s="12">
        <f t="shared" si="170"/>
        <v>285000</v>
      </c>
      <c r="M1554" s="12">
        <f t="shared" si="170"/>
        <v>294000</v>
      </c>
      <c r="N1554" s="12">
        <v>294000</v>
      </c>
      <c r="O1554" s="12">
        <v>294000</v>
      </c>
      <c r="P1554" s="12">
        <f t="shared" si="170"/>
        <v>142764</v>
      </c>
      <c r="Q1554" s="186">
        <f t="shared" si="166"/>
        <v>0.48559183673469386</v>
      </c>
      <c r="R1554" s="12">
        <f>SUM(R1555)</f>
        <v>287985</v>
      </c>
      <c r="S1554" s="12">
        <f>SUM(S1555)</f>
        <v>304720</v>
      </c>
      <c r="T1554" s="12">
        <v>304720</v>
      </c>
      <c r="U1554" s="12">
        <f>SUM(U1555)</f>
        <v>0</v>
      </c>
      <c r="V1554" s="12">
        <f>SUM(V1555)</f>
        <v>0</v>
      </c>
      <c r="W1554" s="32">
        <f t="shared" si="167"/>
        <v>304720</v>
      </c>
    </row>
    <row r="1555" spans="1:23" ht="60">
      <c r="A1555" s="25"/>
      <c r="B1555" s="25"/>
      <c r="C1555" s="26">
        <v>2310</v>
      </c>
      <c r="D1555" s="27" t="s">
        <v>234</v>
      </c>
      <c r="E1555" s="11">
        <v>263000</v>
      </c>
      <c r="F1555" s="11">
        <v>263000</v>
      </c>
      <c r="G1555" s="12">
        <v>285000</v>
      </c>
      <c r="H1555" s="12">
        <v>285000</v>
      </c>
      <c r="I1555" s="12"/>
      <c r="J1555" s="12">
        <v>285000</v>
      </c>
      <c r="K1555" s="12">
        <v>285000</v>
      </c>
      <c r="L1555" s="12">
        <v>285000</v>
      </c>
      <c r="M1555" s="12">
        <v>294000</v>
      </c>
      <c r="N1555" s="12">
        <v>294000</v>
      </c>
      <c r="O1555" s="12">
        <v>294000</v>
      </c>
      <c r="P1555" s="12">
        <v>142764</v>
      </c>
      <c r="Q1555" s="186">
        <f t="shared" si="166"/>
        <v>0.48559183673469386</v>
      </c>
      <c r="R1555" s="12">
        <v>287985</v>
      </c>
      <c r="S1555" s="12">
        <v>304720</v>
      </c>
      <c r="T1555" s="12">
        <v>304720</v>
      </c>
      <c r="U1555" s="12"/>
      <c r="V1555" s="12"/>
      <c r="W1555" s="32">
        <f t="shared" si="167"/>
        <v>304720</v>
      </c>
    </row>
    <row r="1556" spans="1:23" ht="12">
      <c r="A1556" s="33"/>
      <c r="B1556" s="33">
        <v>85410</v>
      </c>
      <c r="C1556" s="36"/>
      <c r="D1556" s="42" t="s">
        <v>236</v>
      </c>
      <c r="E1556" s="35">
        <f>SUM(E1558:E1573)</f>
        <v>974990</v>
      </c>
      <c r="F1556" s="35">
        <f>SUM(F1558:F1573)</f>
        <v>1062890</v>
      </c>
      <c r="G1556" s="35">
        <f>SUM(G1558:G1573)</f>
        <v>892189</v>
      </c>
      <c r="H1556" s="35">
        <f>SUM(H1558:H1573)</f>
        <v>894530</v>
      </c>
      <c r="I1556" s="35"/>
      <c r="J1556" s="35">
        <f>SUM(J1558:J1573)</f>
        <v>902780</v>
      </c>
      <c r="K1556" s="35">
        <f>SUM(K1558:K1573)</f>
        <v>960202</v>
      </c>
      <c r="L1556" s="35">
        <f>SUM(L1558:L1573)</f>
        <v>820646</v>
      </c>
      <c r="M1556" s="35">
        <f>SUM(M1558:M1573)</f>
        <v>832362</v>
      </c>
      <c r="N1556" s="35">
        <v>851780</v>
      </c>
      <c r="O1556" s="35">
        <v>851780</v>
      </c>
      <c r="P1556" s="35">
        <f>SUM(P1558:P1573)</f>
        <v>394712</v>
      </c>
      <c r="Q1556" s="186">
        <f t="shared" si="166"/>
        <v>0.46339665171757966</v>
      </c>
      <c r="R1556" s="35">
        <f>SUM(R1558:R1573)</f>
        <v>843077</v>
      </c>
      <c r="S1556" s="35">
        <f>SUM(S1558:S1573)</f>
        <v>902630</v>
      </c>
      <c r="T1556" s="35">
        <v>970422</v>
      </c>
      <c r="U1556" s="35">
        <f>SUM(U1558:U1573)</f>
        <v>0</v>
      </c>
      <c r="V1556" s="35">
        <f>SUM(V1558:V1573)</f>
        <v>0</v>
      </c>
      <c r="W1556" s="32">
        <f t="shared" si="167"/>
        <v>970422</v>
      </c>
    </row>
    <row r="1557" spans="1:23" ht="12">
      <c r="A1557" s="33"/>
      <c r="B1557" s="33"/>
      <c r="C1557" s="9" t="s">
        <v>204</v>
      </c>
      <c r="D1557" s="42" t="s">
        <v>237</v>
      </c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186"/>
      <c r="R1557" s="35"/>
      <c r="S1557" s="35"/>
      <c r="T1557" s="35">
        <v>0</v>
      </c>
      <c r="U1557" s="35"/>
      <c r="V1557" s="35"/>
      <c r="W1557" s="32">
        <f t="shared" si="167"/>
        <v>0</v>
      </c>
    </row>
    <row r="1558" spans="1:23" ht="24">
      <c r="A1558" s="25"/>
      <c r="B1558" s="25"/>
      <c r="C1558" s="26">
        <v>3020</v>
      </c>
      <c r="D1558" s="27" t="s">
        <v>68</v>
      </c>
      <c r="E1558" s="11">
        <v>22620</v>
      </c>
      <c r="F1558" s="11">
        <v>22620</v>
      </c>
      <c r="G1558" s="12">
        <v>24450</v>
      </c>
      <c r="H1558" s="12">
        <v>24460</v>
      </c>
      <c r="I1558" s="12"/>
      <c r="J1558" s="12">
        <v>24460</v>
      </c>
      <c r="K1558" s="12">
        <v>26240</v>
      </c>
      <c r="L1558" s="12">
        <v>21000</v>
      </c>
      <c r="M1558" s="12">
        <v>19130</v>
      </c>
      <c r="N1558" s="12">
        <v>19130</v>
      </c>
      <c r="O1558" s="12">
        <v>19130</v>
      </c>
      <c r="P1558" s="12">
        <v>9983</v>
      </c>
      <c r="Q1558" s="186">
        <f t="shared" si="166"/>
        <v>0.5218504966021955</v>
      </c>
      <c r="R1558" s="12">
        <v>21189</v>
      </c>
      <c r="S1558" s="12">
        <v>22480</v>
      </c>
      <c r="T1558" s="12">
        <v>22480</v>
      </c>
      <c r="U1558" s="12"/>
      <c r="V1558" s="12"/>
      <c r="W1558" s="32">
        <f t="shared" si="167"/>
        <v>22480</v>
      </c>
    </row>
    <row r="1559" spans="1:23" ht="24">
      <c r="A1559" s="25"/>
      <c r="B1559" s="25"/>
      <c r="C1559" s="26">
        <v>4010</v>
      </c>
      <c r="D1559" s="27" t="s">
        <v>29</v>
      </c>
      <c r="E1559" s="11">
        <v>439860</v>
      </c>
      <c r="F1559" s="11">
        <v>439860</v>
      </c>
      <c r="G1559" s="12">
        <v>428586</v>
      </c>
      <c r="H1559" s="12">
        <v>432710</v>
      </c>
      <c r="I1559" s="12">
        <v>432710</v>
      </c>
      <c r="J1559" s="12">
        <v>432710</v>
      </c>
      <c r="K1559" s="12">
        <v>471190</v>
      </c>
      <c r="L1559" s="12">
        <v>363231</v>
      </c>
      <c r="M1559" s="12">
        <v>368764</v>
      </c>
      <c r="N1559" s="12">
        <v>368770</v>
      </c>
      <c r="O1559" s="12">
        <v>368770</v>
      </c>
      <c r="P1559" s="12">
        <v>166044</v>
      </c>
      <c r="Q1559" s="186">
        <f t="shared" si="166"/>
        <v>0.4502643924397321</v>
      </c>
      <c r="R1559" s="12">
        <v>360000</v>
      </c>
      <c r="S1559" s="12">
        <v>398890</v>
      </c>
      <c r="T1559" s="12">
        <v>382822</v>
      </c>
      <c r="U1559" s="12"/>
      <c r="V1559" s="12"/>
      <c r="W1559" s="32">
        <f t="shared" si="167"/>
        <v>382822</v>
      </c>
    </row>
    <row r="1560" spans="1:23" ht="12">
      <c r="A1560" s="25"/>
      <c r="B1560" s="25"/>
      <c r="C1560" s="26">
        <v>4040</v>
      </c>
      <c r="D1560" s="27" t="s">
        <v>30</v>
      </c>
      <c r="E1560" s="11">
        <v>34740</v>
      </c>
      <c r="F1560" s="11">
        <v>34740</v>
      </c>
      <c r="G1560" s="12">
        <v>34419</v>
      </c>
      <c r="H1560" s="12">
        <v>34420</v>
      </c>
      <c r="I1560" s="12"/>
      <c r="J1560" s="12">
        <v>34420</v>
      </c>
      <c r="K1560" s="12">
        <v>34420</v>
      </c>
      <c r="L1560" s="12">
        <v>26618</v>
      </c>
      <c r="M1560" s="12">
        <v>30206</v>
      </c>
      <c r="N1560" s="12">
        <v>30210</v>
      </c>
      <c r="O1560" s="12">
        <v>30210</v>
      </c>
      <c r="P1560" s="12">
        <v>29826</v>
      </c>
      <c r="Q1560" s="186">
        <f t="shared" si="166"/>
        <v>0.9872889771598808</v>
      </c>
      <c r="R1560" s="12">
        <v>29826</v>
      </c>
      <c r="S1560" s="12">
        <v>30120</v>
      </c>
      <c r="T1560" s="12">
        <v>30120</v>
      </c>
      <c r="U1560" s="12"/>
      <c r="V1560" s="12"/>
      <c r="W1560" s="32">
        <f t="shared" si="167"/>
        <v>30120</v>
      </c>
    </row>
    <row r="1561" spans="1:23" ht="12">
      <c r="A1561" s="25"/>
      <c r="B1561" s="25"/>
      <c r="C1561" s="26">
        <v>4170</v>
      </c>
      <c r="D1561" s="27" t="s">
        <v>210</v>
      </c>
      <c r="E1561" s="11"/>
      <c r="F1561" s="11"/>
      <c r="G1561" s="12"/>
      <c r="H1561" s="12"/>
      <c r="I1561" s="12"/>
      <c r="J1561" s="12">
        <v>7500</v>
      </c>
      <c r="K1561" s="12">
        <v>4956</v>
      </c>
      <c r="L1561" s="12">
        <v>4956</v>
      </c>
      <c r="M1561" s="12">
        <v>5100</v>
      </c>
      <c r="N1561" s="12">
        <v>5100</v>
      </c>
      <c r="O1561" s="12">
        <v>5100</v>
      </c>
      <c r="P1561" s="12">
        <v>1753</v>
      </c>
      <c r="Q1561" s="186">
        <f t="shared" si="166"/>
        <v>0.34372549019607845</v>
      </c>
      <c r="R1561" s="12">
        <v>5100</v>
      </c>
      <c r="S1561" s="12">
        <v>5100</v>
      </c>
      <c r="T1561" s="12">
        <v>5100</v>
      </c>
      <c r="U1561" s="12"/>
      <c r="V1561" s="12"/>
      <c r="W1561" s="32">
        <f t="shared" si="167"/>
        <v>5100</v>
      </c>
    </row>
    <row r="1562" spans="1:23" ht="24">
      <c r="A1562" s="25"/>
      <c r="B1562" s="25"/>
      <c r="C1562" s="26">
        <v>4110</v>
      </c>
      <c r="D1562" s="27" t="s">
        <v>113</v>
      </c>
      <c r="E1562" s="11">
        <v>80110</v>
      </c>
      <c r="F1562" s="11">
        <v>80110</v>
      </c>
      <c r="G1562" s="12">
        <v>70985</v>
      </c>
      <c r="H1562" s="12">
        <v>69320</v>
      </c>
      <c r="I1562" s="12"/>
      <c r="J1562" s="12">
        <v>69320</v>
      </c>
      <c r="K1562" s="12">
        <v>75495</v>
      </c>
      <c r="L1562" s="12">
        <v>62430</v>
      </c>
      <c r="M1562" s="12">
        <v>61100</v>
      </c>
      <c r="N1562" s="12">
        <v>59210</v>
      </c>
      <c r="O1562" s="12">
        <v>59210</v>
      </c>
      <c r="P1562" s="12">
        <v>26236</v>
      </c>
      <c r="Q1562" s="186">
        <f t="shared" si="166"/>
        <v>0.4431008275629117</v>
      </c>
      <c r="R1562" s="12">
        <v>61230</v>
      </c>
      <c r="S1562" s="12">
        <v>63670</v>
      </c>
      <c r="T1562" s="12">
        <v>63670</v>
      </c>
      <c r="U1562" s="12"/>
      <c r="V1562" s="12"/>
      <c r="W1562" s="32">
        <f t="shared" si="167"/>
        <v>63670</v>
      </c>
    </row>
    <row r="1563" spans="1:23" ht="12">
      <c r="A1563" s="25"/>
      <c r="B1563" s="25"/>
      <c r="C1563" s="26">
        <v>4120</v>
      </c>
      <c r="D1563" s="27" t="s">
        <v>32</v>
      </c>
      <c r="E1563" s="11">
        <v>11630</v>
      </c>
      <c r="F1563" s="11">
        <v>11630</v>
      </c>
      <c r="G1563" s="12">
        <v>11337</v>
      </c>
      <c r="H1563" s="12">
        <v>11210</v>
      </c>
      <c r="I1563" s="12"/>
      <c r="J1563" s="12">
        <v>11210</v>
      </c>
      <c r="K1563" s="12">
        <v>12197</v>
      </c>
      <c r="L1563" s="12">
        <v>9970</v>
      </c>
      <c r="M1563" s="12">
        <v>9760</v>
      </c>
      <c r="N1563" s="12">
        <v>9580</v>
      </c>
      <c r="O1563" s="12">
        <v>9580</v>
      </c>
      <c r="P1563" s="12">
        <v>4206</v>
      </c>
      <c r="Q1563" s="186">
        <f t="shared" si="166"/>
        <v>0.43903966597077243</v>
      </c>
      <c r="R1563" s="12">
        <v>9072</v>
      </c>
      <c r="S1563" s="12">
        <v>10300</v>
      </c>
      <c r="T1563" s="12">
        <v>10300</v>
      </c>
      <c r="U1563" s="12"/>
      <c r="V1563" s="12"/>
      <c r="W1563" s="32">
        <f t="shared" si="167"/>
        <v>10300</v>
      </c>
    </row>
    <row r="1564" spans="1:23" ht="12">
      <c r="A1564" s="25"/>
      <c r="B1564" s="25"/>
      <c r="C1564" s="26">
        <v>4210</v>
      </c>
      <c r="D1564" s="27" t="s">
        <v>34</v>
      </c>
      <c r="E1564" s="11">
        <v>300000</v>
      </c>
      <c r="F1564" s="11">
        <v>363900</v>
      </c>
      <c r="G1564" s="12">
        <v>255750</v>
      </c>
      <c r="H1564" s="12">
        <v>255750</v>
      </c>
      <c r="I1564" s="12"/>
      <c r="J1564" s="12">
        <v>255000</v>
      </c>
      <c r="K1564" s="12">
        <v>265000</v>
      </c>
      <c r="L1564" s="12">
        <v>265000</v>
      </c>
      <c r="M1564" s="12">
        <v>272685</v>
      </c>
      <c r="N1564" s="12">
        <v>272690</v>
      </c>
      <c r="O1564" s="12">
        <v>272690</v>
      </c>
      <c r="P1564" s="12">
        <v>109890</v>
      </c>
      <c r="Q1564" s="186">
        <f t="shared" si="166"/>
        <v>0.40298507462686567</v>
      </c>
      <c r="R1564" s="12">
        <v>272690</v>
      </c>
      <c r="S1564" s="12">
        <v>284940</v>
      </c>
      <c r="T1564" s="12">
        <v>284940</v>
      </c>
      <c r="U1564" s="12"/>
      <c r="V1564" s="12"/>
      <c r="W1564" s="32">
        <f t="shared" si="167"/>
        <v>284940</v>
      </c>
    </row>
    <row r="1565" spans="1:23" ht="12">
      <c r="A1565" s="25"/>
      <c r="B1565" s="25"/>
      <c r="C1565" s="26">
        <v>4260</v>
      </c>
      <c r="D1565" s="27" t="s">
        <v>35</v>
      </c>
      <c r="E1565" s="11">
        <v>42700</v>
      </c>
      <c r="F1565" s="11">
        <v>42700</v>
      </c>
      <c r="G1565" s="12">
        <v>28682</v>
      </c>
      <c r="H1565" s="12">
        <v>28680</v>
      </c>
      <c r="I1565" s="12"/>
      <c r="J1565" s="12">
        <v>28680</v>
      </c>
      <c r="K1565" s="12">
        <v>28680</v>
      </c>
      <c r="L1565" s="12">
        <v>28860</v>
      </c>
      <c r="M1565" s="12">
        <v>29512</v>
      </c>
      <c r="N1565" s="12">
        <v>34510</v>
      </c>
      <c r="O1565" s="12">
        <v>34510</v>
      </c>
      <c r="P1565" s="12">
        <v>21956</v>
      </c>
      <c r="Q1565" s="186">
        <f t="shared" si="166"/>
        <v>0.6362213851057664</v>
      </c>
      <c r="R1565" s="12">
        <v>34510</v>
      </c>
      <c r="S1565" s="12">
        <v>36240</v>
      </c>
      <c r="T1565" s="12">
        <v>36240</v>
      </c>
      <c r="U1565" s="12"/>
      <c r="V1565" s="12"/>
      <c r="W1565" s="32">
        <f t="shared" si="167"/>
        <v>36240</v>
      </c>
    </row>
    <row r="1566" spans="1:23" ht="12">
      <c r="A1566" s="25"/>
      <c r="B1566" s="25"/>
      <c r="C1566" s="26">
        <v>4270</v>
      </c>
      <c r="D1566" s="27" t="s">
        <v>36</v>
      </c>
      <c r="E1566" s="11">
        <v>1040</v>
      </c>
      <c r="F1566" s="11">
        <v>25040</v>
      </c>
      <c r="G1566" s="12">
        <v>500</v>
      </c>
      <c r="H1566" s="12">
        <v>500</v>
      </c>
      <c r="I1566" s="12"/>
      <c r="J1566" s="12">
        <v>2000</v>
      </c>
      <c r="K1566" s="12">
        <v>5044</v>
      </c>
      <c r="L1566" s="12">
        <v>5044</v>
      </c>
      <c r="M1566" s="12">
        <v>5190</v>
      </c>
      <c r="N1566" s="12">
        <v>5190</v>
      </c>
      <c r="O1566" s="12">
        <v>5190</v>
      </c>
      <c r="P1566" s="12">
        <v>1708</v>
      </c>
      <c r="Q1566" s="186">
        <f t="shared" si="166"/>
        <v>0.32909441233140657</v>
      </c>
      <c r="R1566" s="12">
        <v>5190</v>
      </c>
      <c r="S1566" s="12">
        <v>5190</v>
      </c>
      <c r="T1566" s="12">
        <v>92050</v>
      </c>
      <c r="U1566" s="12"/>
      <c r="V1566" s="12"/>
      <c r="W1566" s="32">
        <f t="shared" si="167"/>
        <v>92050</v>
      </c>
    </row>
    <row r="1567" spans="1:23" ht="12">
      <c r="A1567" s="25"/>
      <c r="B1567" s="25"/>
      <c r="C1567" s="26">
        <v>4280</v>
      </c>
      <c r="D1567" s="27" t="s">
        <v>37</v>
      </c>
      <c r="E1567" s="11">
        <v>510</v>
      </c>
      <c r="F1567" s="11">
        <v>510</v>
      </c>
      <c r="G1567" s="12">
        <v>260</v>
      </c>
      <c r="H1567" s="12">
        <v>260</v>
      </c>
      <c r="I1567" s="12"/>
      <c r="J1567" s="12">
        <v>260</v>
      </c>
      <c r="K1567" s="12">
        <v>260</v>
      </c>
      <c r="L1567" s="12">
        <v>260</v>
      </c>
      <c r="M1567" s="12">
        <v>268</v>
      </c>
      <c r="N1567" s="12">
        <v>270</v>
      </c>
      <c r="O1567" s="12">
        <v>270</v>
      </c>
      <c r="P1567" s="12"/>
      <c r="Q1567" s="186">
        <f t="shared" si="166"/>
        <v>0</v>
      </c>
      <c r="R1567" s="12">
        <v>270</v>
      </c>
      <c r="S1567" s="12">
        <v>270</v>
      </c>
      <c r="T1567" s="12">
        <v>270</v>
      </c>
      <c r="U1567" s="12"/>
      <c r="V1567" s="12"/>
      <c r="W1567" s="32">
        <f t="shared" si="167"/>
        <v>270</v>
      </c>
    </row>
    <row r="1568" spans="1:23" ht="12">
      <c r="A1568" s="25"/>
      <c r="B1568" s="25"/>
      <c r="C1568" s="26">
        <v>4300</v>
      </c>
      <c r="D1568" s="27" t="s">
        <v>81</v>
      </c>
      <c r="E1568" s="11">
        <v>12060</v>
      </c>
      <c r="F1568" s="11">
        <v>12060</v>
      </c>
      <c r="G1568" s="12">
        <v>7338</v>
      </c>
      <c r="H1568" s="12">
        <v>7340</v>
      </c>
      <c r="I1568" s="12"/>
      <c r="J1568" s="12">
        <v>7340</v>
      </c>
      <c r="K1568" s="12">
        <v>7340</v>
      </c>
      <c r="L1568" s="12">
        <v>7340</v>
      </c>
      <c r="M1568" s="12">
        <v>7553</v>
      </c>
      <c r="N1568" s="12">
        <v>20550</v>
      </c>
      <c r="O1568" s="12">
        <v>20550</v>
      </c>
      <c r="P1568" s="12">
        <v>7356</v>
      </c>
      <c r="Q1568" s="186">
        <f t="shared" si="166"/>
        <v>0.35795620437956205</v>
      </c>
      <c r="R1568" s="12">
        <v>20550</v>
      </c>
      <c r="S1568" s="12">
        <v>20550</v>
      </c>
      <c r="T1568" s="12">
        <v>17550</v>
      </c>
      <c r="U1568" s="12"/>
      <c r="V1568" s="12"/>
      <c r="W1568" s="32">
        <f t="shared" si="167"/>
        <v>17550</v>
      </c>
    </row>
    <row r="1569" spans="1:23" ht="36">
      <c r="A1569" s="25"/>
      <c r="B1569" s="25"/>
      <c r="C1569" s="26">
        <v>4360</v>
      </c>
      <c r="D1569" s="27" t="s">
        <v>130</v>
      </c>
      <c r="E1569" s="11">
        <v>0</v>
      </c>
      <c r="F1569" s="11">
        <v>0</v>
      </c>
      <c r="G1569" s="12">
        <v>960</v>
      </c>
      <c r="H1569" s="12">
        <v>960</v>
      </c>
      <c r="I1569" s="12"/>
      <c r="J1569" s="12">
        <v>960</v>
      </c>
      <c r="K1569" s="12">
        <v>960</v>
      </c>
      <c r="L1569" s="12">
        <v>960</v>
      </c>
      <c r="M1569" s="12">
        <v>988</v>
      </c>
      <c r="N1569" s="12">
        <v>990</v>
      </c>
      <c r="O1569" s="12">
        <v>990</v>
      </c>
      <c r="P1569" s="12">
        <v>244</v>
      </c>
      <c r="Q1569" s="186">
        <f t="shared" si="166"/>
        <v>0.24646464646464647</v>
      </c>
      <c r="R1569" s="12">
        <v>990</v>
      </c>
      <c r="S1569" s="12">
        <v>990</v>
      </c>
      <c r="T1569" s="12">
        <v>990</v>
      </c>
      <c r="U1569" s="12"/>
      <c r="V1569" s="12"/>
      <c r="W1569" s="32">
        <f t="shared" si="167"/>
        <v>990</v>
      </c>
    </row>
    <row r="1570" spans="1:23" ht="36">
      <c r="A1570" s="25"/>
      <c r="B1570" s="25"/>
      <c r="C1570" s="26">
        <v>4370</v>
      </c>
      <c r="D1570" s="27" t="s">
        <v>135</v>
      </c>
      <c r="E1570" s="11">
        <v>3060</v>
      </c>
      <c r="F1570" s="11">
        <v>3060</v>
      </c>
      <c r="G1570" s="12">
        <v>2170</v>
      </c>
      <c r="H1570" s="12">
        <v>2170</v>
      </c>
      <c r="I1570" s="12"/>
      <c r="J1570" s="12">
        <v>2170</v>
      </c>
      <c r="K1570" s="12">
        <v>1670</v>
      </c>
      <c r="L1570" s="12">
        <v>1670</v>
      </c>
      <c r="M1570" s="12">
        <v>1718</v>
      </c>
      <c r="N1570" s="12">
        <v>1720</v>
      </c>
      <c r="O1570" s="12">
        <v>1720</v>
      </c>
      <c r="P1570" s="12">
        <v>683</v>
      </c>
      <c r="Q1570" s="186">
        <f t="shared" si="166"/>
        <v>0.39709302325581397</v>
      </c>
      <c r="R1570" s="12">
        <v>1720</v>
      </c>
      <c r="S1570" s="12">
        <v>1720</v>
      </c>
      <c r="T1570" s="12">
        <v>1720</v>
      </c>
      <c r="U1570" s="12"/>
      <c r="V1570" s="12"/>
      <c r="W1570" s="32">
        <f t="shared" si="167"/>
        <v>1720</v>
      </c>
    </row>
    <row r="1571" spans="1:23" ht="12">
      <c r="A1571" s="25"/>
      <c r="B1571" s="25"/>
      <c r="C1571" s="26">
        <v>4410</v>
      </c>
      <c r="D1571" s="27" t="s">
        <v>42</v>
      </c>
      <c r="E1571" s="11">
        <v>390</v>
      </c>
      <c r="F1571" s="11">
        <v>390</v>
      </c>
      <c r="G1571" s="12">
        <v>400</v>
      </c>
      <c r="H1571" s="12">
        <v>400</v>
      </c>
      <c r="I1571" s="12"/>
      <c r="J1571" s="12">
        <v>400</v>
      </c>
      <c r="K1571" s="12">
        <v>400</v>
      </c>
      <c r="L1571" s="12">
        <v>400</v>
      </c>
      <c r="M1571" s="12">
        <v>412</v>
      </c>
      <c r="N1571" s="12">
        <v>410</v>
      </c>
      <c r="O1571" s="12">
        <v>410</v>
      </c>
      <c r="P1571" s="12"/>
      <c r="Q1571" s="186">
        <f t="shared" si="166"/>
        <v>0</v>
      </c>
      <c r="R1571" s="12">
        <v>410</v>
      </c>
      <c r="S1571" s="12">
        <v>410</v>
      </c>
      <c r="T1571" s="12">
        <v>410</v>
      </c>
      <c r="U1571" s="12"/>
      <c r="V1571" s="12"/>
      <c r="W1571" s="32">
        <f t="shared" si="167"/>
        <v>410</v>
      </c>
    </row>
    <row r="1572" spans="1:23" ht="12">
      <c r="A1572" s="25"/>
      <c r="B1572" s="25"/>
      <c r="C1572" s="26">
        <v>4430</v>
      </c>
      <c r="D1572" s="27" t="s">
        <v>43</v>
      </c>
      <c r="E1572" s="11">
        <v>530</v>
      </c>
      <c r="F1572" s="11">
        <v>530</v>
      </c>
      <c r="G1572" s="12">
        <v>542</v>
      </c>
      <c r="H1572" s="12">
        <v>540</v>
      </c>
      <c r="I1572" s="12"/>
      <c r="J1572" s="12">
        <v>540</v>
      </c>
      <c r="K1572" s="12">
        <v>540</v>
      </c>
      <c r="L1572" s="12">
        <v>540</v>
      </c>
      <c r="M1572" s="12">
        <v>556</v>
      </c>
      <c r="N1572" s="12">
        <v>560</v>
      </c>
      <c r="O1572" s="12">
        <v>560</v>
      </c>
      <c r="P1572" s="12"/>
      <c r="Q1572" s="186">
        <f t="shared" si="166"/>
        <v>0</v>
      </c>
      <c r="R1572" s="12">
        <v>560</v>
      </c>
      <c r="S1572" s="12">
        <v>560</v>
      </c>
      <c r="T1572" s="12">
        <v>560</v>
      </c>
      <c r="U1572" s="12"/>
      <c r="V1572" s="12"/>
      <c r="W1572" s="32">
        <f t="shared" si="167"/>
        <v>560</v>
      </c>
    </row>
    <row r="1573" spans="1:23" ht="24">
      <c r="A1573" s="25"/>
      <c r="B1573" s="25"/>
      <c r="C1573" s="26">
        <v>4440</v>
      </c>
      <c r="D1573" s="27" t="s">
        <v>44</v>
      </c>
      <c r="E1573" s="11">
        <v>25740</v>
      </c>
      <c r="F1573" s="11">
        <v>25740</v>
      </c>
      <c r="G1573" s="12">
        <v>25810</v>
      </c>
      <c r="H1573" s="12">
        <v>25810</v>
      </c>
      <c r="I1573" s="12"/>
      <c r="J1573" s="12">
        <v>25810</v>
      </c>
      <c r="K1573" s="12">
        <v>25810</v>
      </c>
      <c r="L1573" s="12">
        <v>22367</v>
      </c>
      <c r="M1573" s="12">
        <v>19420</v>
      </c>
      <c r="N1573" s="12">
        <v>22890</v>
      </c>
      <c r="O1573" s="12">
        <v>22890</v>
      </c>
      <c r="P1573" s="12">
        <v>14827</v>
      </c>
      <c r="Q1573" s="186">
        <f t="shared" si="166"/>
        <v>0.6477501092179991</v>
      </c>
      <c r="R1573" s="12">
        <v>19770</v>
      </c>
      <c r="S1573" s="12">
        <v>21200</v>
      </c>
      <c r="T1573" s="12">
        <v>21200</v>
      </c>
      <c r="U1573" s="12"/>
      <c r="V1573" s="12"/>
      <c r="W1573" s="32">
        <f t="shared" si="167"/>
        <v>21200</v>
      </c>
    </row>
    <row r="1574" spans="1:23" ht="36.75" customHeight="1" hidden="1">
      <c r="A1574" s="114"/>
      <c r="B1574" s="133">
        <v>85413</v>
      </c>
      <c r="C1574" s="114"/>
      <c r="D1574" s="133" t="s">
        <v>238</v>
      </c>
      <c r="E1574" s="134">
        <f>SUM(E1576)</f>
        <v>54249</v>
      </c>
      <c r="F1574" s="134">
        <f>SUM(F1576:F1579)</f>
        <v>151200</v>
      </c>
      <c r="G1574" s="134">
        <f>SUM(G1576:G1579)</f>
        <v>0</v>
      </c>
      <c r="H1574" s="134">
        <f>SUM(H1576:H1579)</f>
        <v>0</v>
      </c>
      <c r="I1574" s="135">
        <f aca="true" t="shared" si="171" ref="I1574:I1579">F1574+G1574-H1574</f>
        <v>151200</v>
      </c>
      <c r="J1574" s="134">
        <f aca="true" t="shared" si="172" ref="J1574:P1574">SUM(J1576:J1579)</f>
        <v>0</v>
      </c>
      <c r="K1574" s="134">
        <f t="shared" si="172"/>
        <v>226800</v>
      </c>
      <c r="L1574" s="134">
        <f t="shared" si="172"/>
        <v>226800</v>
      </c>
      <c r="M1574" s="134">
        <f t="shared" si="172"/>
        <v>0</v>
      </c>
      <c r="N1574" s="134">
        <v>0</v>
      </c>
      <c r="O1574" s="134">
        <v>0</v>
      </c>
      <c r="P1574" s="134">
        <f t="shared" si="172"/>
        <v>0</v>
      </c>
      <c r="Q1574" s="186"/>
      <c r="R1574" s="134">
        <f>SUM(R1576:R1579)</f>
        <v>0</v>
      </c>
      <c r="S1574" s="134">
        <f>SUM(S1576:S1579)</f>
        <v>0</v>
      </c>
      <c r="T1574" s="134">
        <v>0</v>
      </c>
      <c r="U1574" s="134">
        <f>SUM(U1576:U1579)</f>
        <v>0</v>
      </c>
      <c r="V1574" s="134">
        <f>SUM(V1576:V1579)</f>
        <v>0</v>
      </c>
      <c r="W1574" s="32">
        <f t="shared" si="167"/>
        <v>0</v>
      </c>
    </row>
    <row r="1575" spans="1:23" ht="27" customHeight="1" hidden="1">
      <c r="A1575" s="114"/>
      <c r="B1575" s="133"/>
      <c r="C1575" s="114"/>
      <c r="D1575" s="133" t="s">
        <v>239</v>
      </c>
      <c r="E1575" s="134"/>
      <c r="F1575" s="134"/>
      <c r="G1575" s="134"/>
      <c r="H1575" s="134"/>
      <c r="I1575" s="136">
        <f t="shared" si="171"/>
        <v>0</v>
      </c>
      <c r="J1575" s="134"/>
      <c r="K1575" s="134"/>
      <c r="L1575" s="134"/>
      <c r="M1575" s="134"/>
      <c r="N1575" s="134">
        <v>0</v>
      </c>
      <c r="O1575" s="134">
        <v>0</v>
      </c>
      <c r="P1575" s="134"/>
      <c r="Q1575" s="186"/>
      <c r="R1575" s="134"/>
      <c r="S1575" s="134"/>
      <c r="T1575" s="134">
        <v>0</v>
      </c>
      <c r="U1575" s="134"/>
      <c r="V1575" s="134"/>
      <c r="W1575" s="32">
        <f t="shared" si="167"/>
        <v>0</v>
      </c>
    </row>
    <row r="1576" spans="1:23" ht="27" customHeight="1" hidden="1">
      <c r="A1576" s="137"/>
      <c r="B1576" s="137"/>
      <c r="C1576" s="138">
        <v>4170</v>
      </c>
      <c r="D1576" s="139" t="s">
        <v>210</v>
      </c>
      <c r="E1576" s="136">
        <v>54249</v>
      </c>
      <c r="F1576" s="136">
        <v>25946</v>
      </c>
      <c r="G1576" s="136"/>
      <c r="H1576" s="136"/>
      <c r="I1576" s="136">
        <f t="shared" si="171"/>
        <v>25946</v>
      </c>
      <c r="J1576" s="136"/>
      <c r="K1576" s="136">
        <v>42360</v>
      </c>
      <c r="L1576" s="136">
        <v>42360</v>
      </c>
      <c r="M1576" s="136">
        <v>0</v>
      </c>
      <c r="N1576" s="136">
        <v>0</v>
      </c>
      <c r="O1576" s="136">
        <v>0</v>
      </c>
      <c r="P1576" s="136">
        <v>0</v>
      </c>
      <c r="Q1576" s="186"/>
      <c r="R1576" s="136">
        <v>0</v>
      </c>
      <c r="S1576" s="136">
        <v>0</v>
      </c>
      <c r="T1576" s="136">
        <v>0</v>
      </c>
      <c r="U1576" s="136">
        <v>0</v>
      </c>
      <c r="V1576" s="136">
        <v>0</v>
      </c>
      <c r="W1576" s="32">
        <f t="shared" si="167"/>
        <v>0</v>
      </c>
    </row>
    <row r="1577" spans="1:23" ht="24.75" customHeight="1" hidden="1">
      <c r="A1577" s="137"/>
      <c r="B1577" s="137"/>
      <c r="C1577" s="138">
        <v>4210</v>
      </c>
      <c r="D1577" s="139" t="s">
        <v>34</v>
      </c>
      <c r="E1577" s="136">
        <v>280967</v>
      </c>
      <c r="F1577" s="136">
        <v>25598</v>
      </c>
      <c r="G1577" s="136">
        <v>0</v>
      </c>
      <c r="H1577" s="136"/>
      <c r="I1577" s="136">
        <f t="shared" si="171"/>
        <v>25598</v>
      </c>
      <c r="J1577" s="136"/>
      <c r="K1577" s="136">
        <v>34340</v>
      </c>
      <c r="L1577" s="136">
        <v>34340</v>
      </c>
      <c r="M1577" s="136">
        <v>0</v>
      </c>
      <c r="N1577" s="136">
        <v>0</v>
      </c>
      <c r="O1577" s="136">
        <v>0</v>
      </c>
      <c r="P1577" s="136">
        <v>0</v>
      </c>
      <c r="Q1577" s="186"/>
      <c r="R1577" s="136">
        <v>0</v>
      </c>
      <c r="S1577" s="136">
        <v>0</v>
      </c>
      <c r="T1577" s="136">
        <v>0</v>
      </c>
      <c r="U1577" s="136">
        <v>0</v>
      </c>
      <c r="V1577" s="136">
        <v>0</v>
      </c>
      <c r="W1577" s="32">
        <f t="shared" si="167"/>
        <v>0</v>
      </c>
    </row>
    <row r="1578" spans="1:23" ht="18.75" customHeight="1" hidden="1">
      <c r="A1578" s="137"/>
      <c r="B1578" s="137"/>
      <c r="C1578" s="138">
        <v>4300</v>
      </c>
      <c r="D1578" s="139" t="s">
        <v>81</v>
      </c>
      <c r="E1578" s="136">
        <v>8033</v>
      </c>
      <c r="F1578" s="136">
        <v>99551</v>
      </c>
      <c r="G1578" s="136"/>
      <c r="H1578" s="136">
        <v>0</v>
      </c>
      <c r="I1578" s="136">
        <f t="shared" si="171"/>
        <v>99551</v>
      </c>
      <c r="J1578" s="136"/>
      <c r="K1578" s="136">
        <v>150000</v>
      </c>
      <c r="L1578" s="136">
        <v>150000</v>
      </c>
      <c r="M1578" s="136">
        <v>0</v>
      </c>
      <c r="N1578" s="136">
        <v>0</v>
      </c>
      <c r="O1578" s="136">
        <v>0</v>
      </c>
      <c r="P1578" s="136">
        <v>0</v>
      </c>
      <c r="Q1578" s="186"/>
      <c r="R1578" s="136">
        <v>0</v>
      </c>
      <c r="S1578" s="136">
        <v>0</v>
      </c>
      <c r="T1578" s="136">
        <v>0</v>
      </c>
      <c r="U1578" s="136">
        <v>0</v>
      </c>
      <c r="V1578" s="136">
        <v>0</v>
      </c>
      <c r="W1578" s="32">
        <f t="shared" si="167"/>
        <v>0</v>
      </c>
    </row>
    <row r="1579" spans="1:23" ht="21" customHeight="1" hidden="1">
      <c r="A1579" s="137"/>
      <c r="B1579" s="137"/>
      <c r="C1579" s="138">
        <v>4430</v>
      </c>
      <c r="D1579" s="139" t="s">
        <v>43</v>
      </c>
      <c r="E1579" s="136">
        <v>510</v>
      </c>
      <c r="F1579" s="136">
        <v>105</v>
      </c>
      <c r="G1579" s="136"/>
      <c r="H1579" s="136">
        <v>0</v>
      </c>
      <c r="I1579" s="136">
        <f t="shared" si="171"/>
        <v>105</v>
      </c>
      <c r="J1579" s="136"/>
      <c r="K1579" s="136">
        <v>100</v>
      </c>
      <c r="L1579" s="136">
        <v>100</v>
      </c>
      <c r="M1579" s="136">
        <v>0</v>
      </c>
      <c r="N1579" s="136">
        <v>0</v>
      </c>
      <c r="O1579" s="136">
        <v>0</v>
      </c>
      <c r="P1579" s="136">
        <v>0</v>
      </c>
      <c r="Q1579" s="186"/>
      <c r="R1579" s="136">
        <v>0</v>
      </c>
      <c r="S1579" s="136">
        <v>0</v>
      </c>
      <c r="T1579" s="136">
        <v>0</v>
      </c>
      <c r="U1579" s="136">
        <v>0</v>
      </c>
      <c r="V1579" s="136">
        <v>0</v>
      </c>
      <c r="W1579" s="32">
        <f t="shared" si="167"/>
        <v>0</v>
      </c>
    </row>
    <row r="1580" spans="1:23" ht="12">
      <c r="A1580" s="33"/>
      <c r="B1580" s="33">
        <v>85415</v>
      </c>
      <c r="C1580" s="36"/>
      <c r="D1580" s="42" t="s">
        <v>240</v>
      </c>
      <c r="E1580" s="35">
        <f>SUM(E1581:E1581)</f>
        <v>49000</v>
      </c>
      <c r="F1580" s="35">
        <f>SUM(F1581:F1581)</f>
        <v>65800</v>
      </c>
      <c r="G1580" s="35">
        <f>SUM(G1581:G1581)</f>
        <v>40000</v>
      </c>
      <c r="H1580" s="35">
        <f>SUM(H1581:H1581)</f>
        <v>40000</v>
      </c>
      <c r="I1580" s="35"/>
      <c r="J1580" s="35">
        <f aca="true" t="shared" si="173" ref="J1580:S1580">SUM(J1581:J1581)</f>
        <v>49000</v>
      </c>
      <c r="K1580" s="35">
        <f t="shared" si="173"/>
        <v>53800</v>
      </c>
      <c r="L1580" s="35">
        <f t="shared" si="173"/>
        <v>53800</v>
      </c>
      <c r="M1580" s="35">
        <f t="shared" si="173"/>
        <v>59800</v>
      </c>
      <c r="N1580" s="35">
        <v>59800</v>
      </c>
      <c r="O1580" s="35">
        <v>68800</v>
      </c>
      <c r="P1580" s="35">
        <f t="shared" si="173"/>
        <v>44100</v>
      </c>
      <c r="Q1580" s="186">
        <f aca="true" t="shared" si="174" ref="Q1580:Q1587">P1580/O1580</f>
        <v>0.6409883720930233</v>
      </c>
      <c r="R1580" s="35">
        <f t="shared" si="173"/>
        <v>76100</v>
      </c>
      <c r="S1580" s="35">
        <f t="shared" si="173"/>
        <v>79000</v>
      </c>
      <c r="T1580" s="35">
        <v>79000</v>
      </c>
      <c r="U1580" s="35">
        <f>SUM(U1581:U1581)</f>
        <v>0</v>
      </c>
      <c r="V1580" s="35">
        <f>SUM(V1581:V1581)</f>
        <v>0</v>
      </c>
      <c r="W1580" s="32">
        <f t="shared" si="167"/>
        <v>79000</v>
      </c>
    </row>
    <row r="1581" spans="1:23" ht="24">
      <c r="A1581" s="25"/>
      <c r="B1581" s="25"/>
      <c r="C1581" s="26">
        <v>3240</v>
      </c>
      <c r="D1581" s="27" t="s">
        <v>241</v>
      </c>
      <c r="E1581" s="11">
        <v>49000</v>
      </c>
      <c r="F1581" s="11">
        <v>65800</v>
      </c>
      <c r="G1581" s="11">
        <v>40000</v>
      </c>
      <c r="H1581" s="11">
        <v>40000</v>
      </c>
      <c r="I1581" s="11"/>
      <c r="J1581" s="11">
        <v>49000</v>
      </c>
      <c r="K1581" s="11">
        <v>53800</v>
      </c>
      <c r="L1581" s="11">
        <v>53800</v>
      </c>
      <c r="M1581" s="11">
        <v>59800</v>
      </c>
      <c r="N1581" s="11">
        <v>59800</v>
      </c>
      <c r="O1581" s="11">
        <v>68800</v>
      </c>
      <c r="P1581" s="11">
        <v>44100</v>
      </c>
      <c r="Q1581" s="186">
        <f t="shared" si="174"/>
        <v>0.6409883720930233</v>
      </c>
      <c r="R1581" s="11">
        <v>76100</v>
      </c>
      <c r="S1581" s="11">
        <v>79000</v>
      </c>
      <c r="T1581" s="11">
        <v>79000</v>
      </c>
      <c r="U1581" s="11"/>
      <c r="V1581" s="11"/>
      <c r="W1581" s="32">
        <f t="shared" si="167"/>
        <v>79000</v>
      </c>
    </row>
    <row r="1582" spans="1:23" ht="12">
      <c r="A1582" s="25"/>
      <c r="B1582" s="88"/>
      <c r="C1582" s="26"/>
      <c r="D1582" s="42" t="s">
        <v>242</v>
      </c>
      <c r="E1582" s="11">
        <f>SUM(E1583:E1583)</f>
        <v>40000</v>
      </c>
      <c r="F1582" s="11">
        <f>SUM(F1583:F1583)</f>
        <v>40000</v>
      </c>
      <c r="G1582" s="11">
        <f>SUM(G1583:G1583)</f>
        <v>40000</v>
      </c>
      <c r="H1582" s="11">
        <f>SUM(H1583:H1583)</f>
        <v>40000</v>
      </c>
      <c r="I1582" s="11"/>
      <c r="J1582" s="11">
        <f aca="true" t="shared" si="175" ref="J1582:S1582">SUM(J1583:J1583)</f>
        <v>40000</v>
      </c>
      <c r="K1582" s="11">
        <f t="shared" si="175"/>
        <v>40000</v>
      </c>
      <c r="L1582" s="11">
        <f t="shared" si="175"/>
        <v>53800</v>
      </c>
      <c r="M1582" s="11">
        <f t="shared" si="175"/>
        <v>59800</v>
      </c>
      <c r="N1582" s="11">
        <v>59800</v>
      </c>
      <c r="O1582" s="11">
        <v>59800</v>
      </c>
      <c r="P1582" s="11">
        <f t="shared" si="175"/>
        <v>35100</v>
      </c>
      <c r="Q1582" s="186">
        <f t="shared" si="174"/>
        <v>0.5869565217391305</v>
      </c>
      <c r="R1582" s="11">
        <f t="shared" si="175"/>
        <v>61100</v>
      </c>
      <c r="S1582" s="11">
        <f t="shared" si="175"/>
        <v>65000</v>
      </c>
      <c r="T1582" s="11">
        <v>64000</v>
      </c>
      <c r="U1582" s="11">
        <f>SUM(U1583:U1583)</f>
        <v>0</v>
      </c>
      <c r="V1582" s="11">
        <f>SUM(V1583:V1583)</f>
        <v>0</v>
      </c>
      <c r="W1582" s="32">
        <f t="shared" si="167"/>
        <v>64000</v>
      </c>
    </row>
    <row r="1583" spans="1:23" ht="12">
      <c r="A1583" s="25"/>
      <c r="B1583" s="88"/>
      <c r="C1583" s="26">
        <v>3240</v>
      </c>
      <c r="D1583" s="27" t="s">
        <v>243</v>
      </c>
      <c r="E1583" s="55">
        <v>40000</v>
      </c>
      <c r="F1583" s="55">
        <v>40000</v>
      </c>
      <c r="G1583" s="56">
        <v>40000</v>
      </c>
      <c r="H1583" s="56">
        <v>40000</v>
      </c>
      <c r="I1583" s="56"/>
      <c r="J1583" s="56">
        <v>40000</v>
      </c>
      <c r="K1583" s="56">
        <v>40000</v>
      </c>
      <c r="L1583" s="56">
        <v>53800</v>
      </c>
      <c r="M1583" s="56">
        <v>59800</v>
      </c>
      <c r="N1583" s="56">
        <v>59800</v>
      </c>
      <c r="O1583" s="56">
        <v>59800</v>
      </c>
      <c r="P1583" s="56">
        <v>35100</v>
      </c>
      <c r="Q1583" s="186">
        <f t="shared" si="174"/>
        <v>0.5869565217391305</v>
      </c>
      <c r="R1583" s="56">
        <v>61100</v>
      </c>
      <c r="S1583" s="56">
        <v>65000</v>
      </c>
      <c r="T1583" s="56">
        <v>64000</v>
      </c>
      <c r="U1583" s="56"/>
      <c r="V1583" s="56"/>
      <c r="W1583" s="32">
        <f t="shared" si="167"/>
        <v>64000</v>
      </c>
    </row>
    <row r="1584" spans="1:23" ht="24">
      <c r="A1584" s="25"/>
      <c r="B1584" s="88"/>
      <c r="C1584" s="26"/>
      <c r="D1584" s="42" t="s">
        <v>244</v>
      </c>
      <c r="E1584" s="11">
        <f>SUM(E1585)</f>
        <v>3600</v>
      </c>
      <c r="F1584" s="11">
        <f>SUM(F1585)</f>
        <v>3600</v>
      </c>
      <c r="G1584" s="11">
        <f>SUM(G1585)</f>
        <v>0</v>
      </c>
      <c r="H1584" s="11">
        <f>SUM(H1585)</f>
        <v>0</v>
      </c>
      <c r="I1584" s="11"/>
      <c r="J1584" s="11">
        <v>49000</v>
      </c>
      <c r="K1584" s="11">
        <f>SUM(K1585)</f>
        <v>3600</v>
      </c>
      <c r="L1584" s="11">
        <f>SUM(L1585)</f>
        <v>3600</v>
      </c>
      <c r="M1584" s="11">
        <f>SUM(M1585)</f>
        <v>0</v>
      </c>
      <c r="N1584" s="11">
        <v>0</v>
      </c>
      <c r="O1584" s="11">
        <v>3600</v>
      </c>
      <c r="P1584" s="11">
        <f>SUM(P1585)</f>
        <v>3600</v>
      </c>
      <c r="Q1584" s="186">
        <f t="shared" si="174"/>
        <v>1</v>
      </c>
      <c r="R1584" s="11">
        <f>SUM(R1585)</f>
        <v>6000</v>
      </c>
      <c r="S1584" s="11">
        <f>SUM(S1585)</f>
        <v>6000</v>
      </c>
      <c r="T1584" s="11">
        <v>6000</v>
      </c>
      <c r="U1584" s="11">
        <f>SUM(U1585)</f>
        <v>0</v>
      </c>
      <c r="V1584" s="11">
        <f>SUM(V1585)</f>
        <v>0</v>
      </c>
      <c r="W1584" s="32">
        <f t="shared" si="167"/>
        <v>6000</v>
      </c>
    </row>
    <row r="1585" spans="1:23" ht="24">
      <c r="A1585" s="25"/>
      <c r="B1585" s="88"/>
      <c r="C1585" s="26">
        <v>3240</v>
      </c>
      <c r="D1585" s="27" t="s">
        <v>241</v>
      </c>
      <c r="E1585" s="11">
        <v>3600</v>
      </c>
      <c r="F1585" s="11">
        <v>3600</v>
      </c>
      <c r="G1585" s="11"/>
      <c r="H1585" s="11"/>
      <c r="I1585" s="11"/>
      <c r="J1585" s="11">
        <v>3600</v>
      </c>
      <c r="K1585" s="11">
        <v>3600</v>
      </c>
      <c r="L1585" s="11">
        <v>3600</v>
      </c>
      <c r="M1585" s="11">
        <v>0</v>
      </c>
      <c r="N1585" s="11">
        <v>0</v>
      </c>
      <c r="O1585" s="11">
        <v>3600</v>
      </c>
      <c r="P1585" s="11">
        <v>3600</v>
      </c>
      <c r="Q1585" s="186">
        <f t="shared" si="174"/>
        <v>1</v>
      </c>
      <c r="R1585" s="11">
        <v>6000</v>
      </c>
      <c r="S1585" s="11">
        <v>6000</v>
      </c>
      <c r="T1585" s="11">
        <v>6000</v>
      </c>
      <c r="U1585" s="11"/>
      <c r="V1585" s="11"/>
      <c r="W1585" s="32">
        <f aca="true" t="shared" si="176" ref="W1585:W1669">T1585+U1585-V1585</f>
        <v>6000</v>
      </c>
    </row>
    <row r="1586" spans="1:23" ht="24">
      <c r="A1586" s="25"/>
      <c r="B1586" s="88"/>
      <c r="C1586" s="26"/>
      <c r="D1586" s="42" t="s">
        <v>245</v>
      </c>
      <c r="E1586" s="11">
        <f>SUM(E1587:E1587)</f>
        <v>5400</v>
      </c>
      <c r="F1586" s="11">
        <f>SUM(F1587:F1587)</f>
        <v>5400</v>
      </c>
      <c r="G1586" s="11">
        <f>SUM(G1587:G1587)</f>
        <v>0</v>
      </c>
      <c r="H1586" s="11">
        <f>SUM(H1587:H1587)</f>
        <v>0</v>
      </c>
      <c r="I1586" s="11"/>
      <c r="J1586" s="11">
        <f aca="true" t="shared" si="177" ref="J1586:S1586">SUM(J1587:J1587)</f>
        <v>5400</v>
      </c>
      <c r="K1586" s="11">
        <f t="shared" si="177"/>
        <v>5400</v>
      </c>
      <c r="L1586" s="11">
        <f t="shared" si="177"/>
        <v>5400</v>
      </c>
      <c r="M1586" s="11">
        <f t="shared" si="177"/>
        <v>0</v>
      </c>
      <c r="N1586" s="11">
        <v>0</v>
      </c>
      <c r="O1586" s="11">
        <v>5400</v>
      </c>
      <c r="P1586" s="11">
        <f t="shared" si="177"/>
        <v>5400</v>
      </c>
      <c r="Q1586" s="186">
        <f t="shared" si="174"/>
        <v>1</v>
      </c>
      <c r="R1586" s="11">
        <f t="shared" si="177"/>
        <v>9000</v>
      </c>
      <c r="S1586" s="11">
        <f t="shared" si="177"/>
        <v>9000</v>
      </c>
      <c r="T1586" s="11">
        <v>9000</v>
      </c>
      <c r="U1586" s="11">
        <f>SUM(U1587:U1587)</f>
        <v>0</v>
      </c>
      <c r="V1586" s="11">
        <f>SUM(V1587:V1587)</f>
        <v>0</v>
      </c>
      <c r="W1586" s="32">
        <f t="shared" si="176"/>
        <v>9000</v>
      </c>
    </row>
    <row r="1587" spans="1:23" ht="24">
      <c r="A1587" s="25"/>
      <c r="B1587" s="88"/>
      <c r="C1587" s="26">
        <v>3240</v>
      </c>
      <c r="D1587" s="27" t="s">
        <v>241</v>
      </c>
      <c r="E1587" s="11">
        <v>5400</v>
      </c>
      <c r="F1587" s="11">
        <v>5400</v>
      </c>
      <c r="G1587" s="11"/>
      <c r="H1587" s="11"/>
      <c r="I1587" s="11"/>
      <c r="J1587" s="11">
        <v>5400</v>
      </c>
      <c r="K1587" s="11">
        <v>5400</v>
      </c>
      <c r="L1587" s="11">
        <v>5400</v>
      </c>
      <c r="M1587" s="11">
        <v>0</v>
      </c>
      <c r="N1587" s="11">
        <v>0</v>
      </c>
      <c r="O1587" s="11">
        <v>5400</v>
      </c>
      <c r="P1587" s="11">
        <v>5400</v>
      </c>
      <c r="Q1587" s="186">
        <f t="shared" si="174"/>
        <v>1</v>
      </c>
      <c r="R1587" s="11">
        <v>9000</v>
      </c>
      <c r="S1587" s="11">
        <v>9000</v>
      </c>
      <c r="T1587" s="11">
        <v>9000</v>
      </c>
      <c r="U1587" s="11"/>
      <c r="V1587" s="11"/>
      <c r="W1587" s="32">
        <f t="shared" si="176"/>
        <v>9000</v>
      </c>
    </row>
    <row r="1588" spans="1:23" ht="24">
      <c r="A1588" s="25"/>
      <c r="B1588" s="88"/>
      <c r="C1588" s="26"/>
      <c r="D1588" s="42" t="s">
        <v>246</v>
      </c>
      <c r="E1588" s="11">
        <f>SUM(E1589)</f>
        <v>3600</v>
      </c>
      <c r="F1588" s="11">
        <f>SUM(F1589)</f>
        <v>3600</v>
      </c>
      <c r="G1588" s="11">
        <f>SUM(G1589)</f>
        <v>0</v>
      </c>
      <c r="H1588" s="11">
        <f>SUM(H1589)</f>
        <v>0</v>
      </c>
      <c r="I1588" s="11"/>
      <c r="J1588" s="11">
        <f aca="true" t="shared" si="178" ref="J1588:S1588">SUM(J1589)</f>
        <v>0</v>
      </c>
      <c r="K1588" s="11">
        <f t="shared" si="178"/>
        <v>1600</v>
      </c>
      <c r="L1588" s="11">
        <f t="shared" si="178"/>
        <v>1600</v>
      </c>
      <c r="M1588" s="11">
        <f t="shared" si="178"/>
        <v>0</v>
      </c>
      <c r="N1588" s="11">
        <v>0</v>
      </c>
      <c r="O1588" s="11">
        <v>0</v>
      </c>
      <c r="P1588" s="11">
        <f t="shared" si="178"/>
        <v>0</v>
      </c>
      <c r="Q1588" s="186"/>
      <c r="R1588" s="11">
        <f t="shared" si="178"/>
        <v>0</v>
      </c>
      <c r="S1588" s="11">
        <f t="shared" si="178"/>
        <v>0</v>
      </c>
      <c r="T1588" s="11">
        <v>0</v>
      </c>
      <c r="U1588" s="11">
        <f>SUM(U1589)</f>
        <v>0</v>
      </c>
      <c r="V1588" s="11">
        <f>SUM(V1589)</f>
        <v>0</v>
      </c>
      <c r="W1588" s="32">
        <f t="shared" si="176"/>
        <v>0</v>
      </c>
    </row>
    <row r="1589" spans="1:23" ht="24">
      <c r="A1589" s="25"/>
      <c r="B1589" s="88"/>
      <c r="C1589" s="26">
        <v>3240</v>
      </c>
      <c r="D1589" s="27" t="s">
        <v>241</v>
      </c>
      <c r="E1589" s="11">
        <v>3600</v>
      </c>
      <c r="F1589" s="11">
        <v>3600</v>
      </c>
      <c r="G1589" s="11"/>
      <c r="H1589" s="11"/>
      <c r="I1589" s="11"/>
      <c r="J1589" s="11"/>
      <c r="K1589" s="11">
        <v>1600</v>
      </c>
      <c r="L1589" s="11">
        <v>1600</v>
      </c>
      <c r="M1589" s="11">
        <v>0</v>
      </c>
      <c r="N1589" s="11">
        <v>0</v>
      </c>
      <c r="O1589" s="11">
        <v>0</v>
      </c>
      <c r="P1589" s="11">
        <v>0</v>
      </c>
      <c r="Q1589" s="186"/>
      <c r="R1589" s="11">
        <v>0</v>
      </c>
      <c r="S1589" s="11">
        <v>0</v>
      </c>
      <c r="T1589" s="11">
        <v>0</v>
      </c>
      <c r="U1589" s="11">
        <v>0</v>
      </c>
      <c r="V1589" s="11">
        <v>0</v>
      </c>
      <c r="W1589" s="32">
        <f t="shared" si="176"/>
        <v>0</v>
      </c>
    </row>
    <row r="1590" spans="1:23" ht="24">
      <c r="A1590" s="25"/>
      <c r="B1590" s="88"/>
      <c r="C1590" s="26"/>
      <c r="D1590" s="42" t="s">
        <v>247</v>
      </c>
      <c r="E1590" s="11">
        <f>SUM(E1591:E1591)</f>
        <v>5400</v>
      </c>
      <c r="F1590" s="11">
        <f>SUM(F1591:F1591)</f>
        <v>5400</v>
      </c>
      <c r="G1590" s="11">
        <f>SUM(G1591:G1591)</f>
        <v>0</v>
      </c>
      <c r="H1590" s="11">
        <f>SUM(H1591:H1591)</f>
        <v>0</v>
      </c>
      <c r="I1590" s="11"/>
      <c r="J1590" s="11">
        <f aca="true" t="shared" si="179" ref="J1590:S1590">SUM(J1591:J1591)</f>
        <v>0</v>
      </c>
      <c r="K1590" s="11">
        <f t="shared" si="179"/>
        <v>3200</v>
      </c>
      <c r="L1590" s="11">
        <f t="shared" si="179"/>
        <v>3200</v>
      </c>
      <c r="M1590" s="11">
        <f t="shared" si="179"/>
        <v>0</v>
      </c>
      <c r="N1590" s="11">
        <v>0</v>
      </c>
      <c r="O1590" s="11">
        <v>0</v>
      </c>
      <c r="P1590" s="11">
        <f t="shared" si="179"/>
        <v>0</v>
      </c>
      <c r="Q1590" s="186"/>
      <c r="R1590" s="11">
        <f t="shared" si="179"/>
        <v>0</v>
      </c>
      <c r="S1590" s="11">
        <f t="shared" si="179"/>
        <v>0</v>
      </c>
      <c r="T1590" s="11">
        <v>0</v>
      </c>
      <c r="U1590" s="11">
        <f>SUM(U1591:U1591)</f>
        <v>0</v>
      </c>
      <c r="V1590" s="11">
        <f>SUM(V1591:V1591)</f>
        <v>0</v>
      </c>
      <c r="W1590" s="32">
        <f t="shared" si="176"/>
        <v>0</v>
      </c>
    </row>
    <row r="1591" spans="1:23" ht="24">
      <c r="A1591" s="25"/>
      <c r="B1591" s="88"/>
      <c r="C1591" s="26">
        <v>3240</v>
      </c>
      <c r="D1591" s="27" t="s">
        <v>241</v>
      </c>
      <c r="E1591" s="11">
        <v>5400</v>
      </c>
      <c r="F1591" s="11">
        <v>5400</v>
      </c>
      <c r="G1591" s="11"/>
      <c r="H1591" s="11"/>
      <c r="I1591" s="11"/>
      <c r="J1591" s="11"/>
      <c r="K1591" s="11">
        <v>3200</v>
      </c>
      <c r="L1591" s="11">
        <v>3200</v>
      </c>
      <c r="M1591" s="11">
        <v>0</v>
      </c>
      <c r="N1591" s="11">
        <v>0</v>
      </c>
      <c r="O1591" s="11">
        <v>0</v>
      </c>
      <c r="P1591" s="11">
        <v>0</v>
      </c>
      <c r="Q1591" s="186"/>
      <c r="R1591" s="11">
        <v>0</v>
      </c>
      <c r="S1591" s="11">
        <v>0</v>
      </c>
      <c r="T1591" s="11">
        <v>0</v>
      </c>
      <c r="U1591" s="11">
        <v>0</v>
      </c>
      <c r="V1591" s="11">
        <v>0</v>
      </c>
      <c r="W1591" s="32">
        <f t="shared" si="176"/>
        <v>0</v>
      </c>
    </row>
    <row r="1592" spans="1:23" ht="12">
      <c r="A1592" s="25"/>
      <c r="B1592" s="88"/>
      <c r="C1592" s="26"/>
      <c r="D1592" s="27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>
        <v>0</v>
      </c>
      <c r="O1592" s="11">
        <v>0</v>
      </c>
      <c r="P1592" s="11"/>
      <c r="Q1592" s="186"/>
      <c r="R1592" s="11"/>
      <c r="S1592" s="11"/>
      <c r="T1592" s="11">
        <v>0</v>
      </c>
      <c r="U1592" s="11"/>
      <c r="V1592" s="11"/>
      <c r="W1592" s="32">
        <f t="shared" si="176"/>
        <v>0</v>
      </c>
    </row>
    <row r="1593" spans="1:23" ht="24">
      <c r="A1593" s="33"/>
      <c r="B1593" s="33">
        <v>85446</v>
      </c>
      <c r="C1593" s="36"/>
      <c r="D1593" s="42" t="s">
        <v>143</v>
      </c>
      <c r="E1593" s="35">
        <f>SUM(E1594:E1595)</f>
        <v>6930</v>
      </c>
      <c r="F1593" s="35">
        <f>SUM(F1594:F1595)</f>
        <v>4240</v>
      </c>
      <c r="G1593" s="35">
        <f>SUM(G1594:G1595)</f>
        <v>8330</v>
      </c>
      <c r="H1593" s="35">
        <f>SUM(H1594:H1595)</f>
        <v>8330</v>
      </c>
      <c r="I1593" s="35"/>
      <c r="J1593" s="35">
        <f aca="true" t="shared" si="180" ref="J1593:P1593">SUM(J1594:J1595)</f>
        <v>4810</v>
      </c>
      <c r="K1593" s="35">
        <f t="shared" si="180"/>
        <v>4810</v>
      </c>
      <c r="L1593" s="35">
        <f t="shared" si="180"/>
        <v>4810</v>
      </c>
      <c r="M1593" s="35">
        <f t="shared" si="180"/>
        <v>8300</v>
      </c>
      <c r="N1593" s="35">
        <v>8300</v>
      </c>
      <c r="O1593" s="35">
        <v>8300</v>
      </c>
      <c r="P1593" s="35">
        <f t="shared" si="180"/>
        <v>2011</v>
      </c>
      <c r="Q1593" s="186">
        <f aca="true" t="shared" si="181" ref="Q1593:Q1615">P1593/O1593</f>
        <v>0.24228915662650602</v>
      </c>
      <c r="R1593" s="35">
        <f>SUM(R1594:R1595)</f>
        <v>8300</v>
      </c>
      <c r="S1593" s="35">
        <f>SUM(S1594:S1595)</f>
        <v>8770</v>
      </c>
      <c r="T1593" s="35">
        <v>8770</v>
      </c>
      <c r="U1593" s="35">
        <f>SUM(U1594:U1595)</f>
        <v>0</v>
      </c>
      <c r="V1593" s="35">
        <f>SUM(V1594:V1595)</f>
        <v>0</v>
      </c>
      <c r="W1593" s="32">
        <f t="shared" si="176"/>
        <v>8770</v>
      </c>
    </row>
    <row r="1594" spans="1:23" ht="12">
      <c r="A1594" s="25"/>
      <c r="B1594" s="25"/>
      <c r="C1594" s="26">
        <v>4300</v>
      </c>
      <c r="D1594" s="27" t="s">
        <v>81</v>
      </c>
      <c r="E1594" s="85">
        <v>5650</v>
      </c>
      <c r="F1594" s="85">
        <v>3860</v>
      </c>
      <c r="G1594" s="85">
        <v>6790</v>
      </c>
      <c r="H1594" s="85">
        <v>6790</v>
      </c>
      <c r="I1594" s="85"/>
      <c r="J1594" s="85">
        <v>4560</v>
      </c>
      <c r="K1594" s="85">
        <v>4560</v>
      </c>
      <c r="L1594" s="85">
        <v>4560</v>
      </c>
      <c r="M1594" s="85">
        <v>6800</v>
      </c>
      <c r="N1594" s="85">
        <v>6800</v>
      </c>
      <c r="O1594" s="85">
        <v>6800</v>
      </c>
      <c r="P1594" s="85">
        <v>1305</v>
      </c>
      <c r="Q1594" s="186">
        <f t="shared" si="181"/>
        <v>0.19191176470588237</v>
      </c>
      <c r="R1594" s="85">
        <v>6800</v>
      </c>
      <c r="S1594" s="85">
        <v>7180</v>
      </c>
      <c r="T1594" s="85">
        <v>7180</v>
      </c>
      <c r="U1594" s="85">
        <f>U1597</f>
        <v>0</v>
      </c>
      <c r="V1594" s="85"/>
      <c r="W1594" s="32">
        <f t="shared" si="176"/>
        <v>7180</v>
      </c>
    </row>
    <row r="1595" spans="1:23" ht="12">
      <c r="A1595" s="25"/>
      <c r="B1595" s="25"/>
      <c r="C1595" s="26">
        <v>4410</v>
      </c>
      <c r="D1595" s="27" t="s">
        <v>42</v>
      </c>
      <c r="E1595" s="85">
        <v>1280</v>
      </c>
      <c r="F1595" s="85">
        <v>380</v>
      </c>
      <c r="G1595" s="85">
        <v>1540</v>
      </c>
      <c r="H1595" s="85">
        <v>1540</v>
      </c>
      <c r="I1595" s="85"/>
      <c r="J1595" s="85">
        <v>250</v>
      </c>
      <c r="K1595" s="85">
        <v>250</v>
      </c>
      <c r="L1595" s="85">
        <v>250</v>
      </c>
      <c r="M1595" s="85">
        <v>1500</v>
      </c>
      <c r="N1595" s="85">
        <v>1500</v>
      </c>
      <c r="O1595" s="85">
        <v>1500</v>
      </c>
      <c r="P1595" s="85">
        <v>706</v>
      </c>
      <c r="Q1595" s="186">
        <f t="shared" si="181"/>
        <v>0.4706666666666667</v>
      </c>
      <c r="R1595" s="85">
        <v>1500</v>
      </c>
      <c r="S1595" s="85">
        <v>1590</v>
      </c>
      <c r="T1595" s="85">
        <v>1590</v>
      </c>
      <c r="U1595" s="85">
        <f>U1598</f>
        <v>0</v>
      </c>
      <c r="V1595" s="85"/>
      <c r="W1595" s="32">
        <f t="shared" si="176"/>
        <v>1590</v>
      </c>
    </row>
    <row r="1596" spans="1:23" ht="12">
      <c r="A1596" s="25"/>
      <c r="B1596" s="25"/>
      <c r="C1596" s="36" t="s">
        <v>204</v>
      </c>
      <c r="D1596" s="42" t="s">
        <v>242</v>
      </c>
      <c r="E1596" s="85">
        <f>SUM(E1597:E1598)</f>
        <v>2690</v>
      </c>
      <c r="F1596" s="85">
        <f>SUM(F1597:F1598)</f>
        <v>0</v>
      </c>
      <c r="G1596" s="85">
        <f>SUM(G1597:G1598)</f>
        <v>8330</v>
      </c>
      <c r="H1596" s="85">
        <f>SUM(H1597:H1598)</f>
        <v>8330</v>
      </c>
      <c r="I1596" s="85"/>
      <c r="J1596" s="85">
        <f aca="true" t="shared" si="182" ref="J1596:R1596">SUM(J1597:J1598)</f>
        <v>0</v>
      </c>
      <c r="K1596" s="85">
        <f t="shared" si="182"/>
        <v>0</v>
      </c>
      <c r="L1596" s="85">
        <f t="shared" si="182"/>
        <v>0</v>
      </c>
      <c r="M1596" s="85">
        <f t="shared" si="182"/>
        <v>8300</v>
      </c>
      <c r="N1596" s="85">
        <v>8300</v>
      </c>
      <c r="O1596" s="85">
        <v>5210</v>
      </c>
      <c r="P1596" s="85">
        <f t="shared" si="182"/>
        <v>0</v>
      </c>
      <c r="Q1596" s="186">
        <f t="shared" si="181"/>
        <v>0</v>
      </c>
      <c r="R1596" s="85">
        <f t="shared" si="182"/>
        <v>0</v>
      </c>
      <c r="S1596" s="85">
        <f>SUM(S1597:S1598)</f>
        <v>8770</v>
      </c>
      <c r="T1596" s="85">
        <v>0</v>
      </c>
      <c r="U1596" s="85">
        <f>SUM(U1597:U1598)</f>
        <v>0</v>
      </c>
      <c r="V1596" s="85">
        <f>SUM(V1597:V1598)</f>
        <v>0</v>
      </c>
      <c r="W1596" s="32">
        <f t="shared" si="176"/>
        <v>0</v>
      </c>
    </row>
    <row r="1597" spans="1:23" ht="26.25" customHeight="1">
      <c r="A1597" s="25"/>
      <c r="B1597" s="25"/>
      <c r="C1597" s="26">
        <v>4300</v>
      </c>
      <c r="D1597" s="27" t="s">
        <v>81</v>
      </c>
      <c r="E1597" s="85">
        <v>1790</v>
      </c>
      <c r="F1597" s="85">
        <v>0</v>
      </c>
      <c r="G1597" s="85">
        <v>6790</v>
      </c>
      <c r="H1597" s="85">
        <v>6790</v>
      </c>
      <c r="I1597" s="85"/>
      <c r="J1597" s="85"/>
      <c r="K1597" s="85"/>
      <c r="L1597" s="85">
        <v>0</v>
      </c>
      <c r="M1597" s="85">
        <v>6800</v>
      </c>
      <c r="N1597" s="85">
        <v>6800</v>
      </c>
      <c r="O1597" s="85">
        <v>4580</v>
      </c>
      <c r="P1597" s="85">
        <v>0</v>
      </c>
      <c r="Q1597" s="186">
        <f t="shared" si="181"/>
        <v>0</v>
      </c>
      <c r="R1597" s="85">
        <v>0</v>
      </c>
      <c r="S1597" s="85">
        <v>7180</v>
      </c>
      <c r="T1597" s="85">
        <v>0</v>
      </c>
      <c r="U1597" s="85"/>
      <c r="V1597" s="85"/>
      <c r="W1597" s="32">
        <f t="shared" si="176"/>
        <v>0</v>
      </c>
    </row>
    <row r="1598" spans="1:23" ht="12">
      <c r="A1598" s="25"/>
      <c r="B1598" s="25"/>
      <c r="C1598" s="26">
        <v>4410</v>
      </c>
      <c r="D1598" s="27" t="s">
        <v>42</v>
      </c>
      <c r="E1598" s="85">
        <v>900</v>
      </c>
      <c r="F1598" s="85">
        <v>0</v>
      </c>
      <c r="G1598" s="85">
        <v>1540</v>
      </c>
      <c r="H1598" s="85">
        <v>1540</v>
      </c>
      <c r="I1598" s="85"/>
      <c r="J1598" s="85"/>
      <c r="K1598" s="85"/>
      <c r="L1598" s="85">
        <v>0</v>
      </c>
      <c r="M1598" s="85">
        <v>1500</v>
      </c>
      <c r="N1598" s="85">
        <v>1500</v>
      </c>
      <c r="O1598" s="85">
        <v>630</v>
      </c>
      <c r="P1598" s="85"/>
      <c r="Q1598" s="186">
        <f t="shared" si="181"/>
        <v>0</v>
      </c>
      <c r="R1598" s="85">
        <v>0</v>
      </c>
      <c r="S1598" s="85">
        <v>1590</v>
      </c>
      <c r="T1598" s="85">
        <v>0</v>
      </c>
      <c r="U1598" s="85"/>
      <c r="V1598" s="85"/>
      <c r="W1598" s="32">
        <f t="shared" si="176"/>
        <v>0</v>
      </c>
    </row>
    <row r="1599" spans="1:23" ht="18" customHeight="1">
      <c r="A1599" s="25"/>
      <c r="B1599" s="25"/>
      <c r="C1599" s="36"/>
      <c r="D1599" s="42" t="s">
        <v>363</v>
      </c>
      <c r="E1599" s="11">
        <f>SUM(E1600:E1601)</f>
        <v>3280</v>
      </c>
      <c r="F1599" s="11">
        <f>SUM(F1600:F1601)</f>
        <v>3280</v>
      </c>
      <c r="G1599" s="11">
        <f>SUM(G1600:G1601)</f>
        <v>0</v>
      </c>
      <c r="H1599" s="11">
        <f>SUM(H1600:H1601)</f>
        <v>0</v>
      </c>
      <c r="I1599" s="11"/>
      <c r="J1599" s="11">
        <f>SUM(J1600:J1601)</f>
        <v>3760</v>
      </c>
      <c r="K1599" s="11">
        <f>SUM(K1600:K1601)</f>
        <v>3760</v>
      </c>
      <c r="L1599" s="11">
        <f>SUM(L1600:L1601)</f>
        <v>3760</v>
      </c>
      <c r="M1599" s="11">
        <f>SUM(M1600:M1601)</f>
        <v>0</v>
      </c>
      <c r="N1599" s="11">
        <v>0</v>
      </c>
      <c r="O1599" s="11">
        <v>3090</v>
      </c>
      <c r="P1599" s="11">
        <f>SUM(P1600:P1601)</f>
        <v>2011</v>
      </c>
      <c r="Q1599" s="186">
        <f>P1599/O1599</f>
        <v>0.6508090614886731</v>
      </c>
      <c r="R1599" s="11">
        <f>SUM(R1600:R1601)</f>
        <v>3090</v>
      </c>
      <c r="S1599" s="11">
        <f>SUM(S1600:S1601)</f>
        <v>0</v>
      </c>
      <c r="T1599" s="11">
        <v>5050</v>
      </c>
      <c r="U1599" s="11">
        <f>SUM(U1600:U1601)</f>
        <v>0</v>
      </c>
      <c r="V1599" s="11">
        <f>SUM(V1600:V1601)</f>
        <v>0</v>
      </c>
      <c r="W1599" s="32">
        <f>T1599+U1599-V1599</f>
        <v>5050</v>
      </c>
    </row>
    <row r="1600" spans="1:23" ht="18" customHeight="1">
      <c r="A1600" s="25"/>
      <c r="B1600" s="88"/>
      <c r="C1600" s="26">
        <v>4300</v>
      </c>
      <c r="D1600" s="27" t="s">
        <v>81</v>
      </c>
      <c r="E1600" s="85">
        <v>2900</v>
      </c>
      <c r="F1600" s="85">
        <v>2900</v>
      </c>
      <c r="G1600" s="85"/>
      <c r="H1600" s="85"/>
      <c r="I1600" s="85"/>
      <c r="J1600" s="85">
        <v>3510</v>
      </c>
      <c r="K1600" s="85">
        <v>3510</v>
      </c>
      <c r="L1600" s="85">
        <v>3510</v>
      </c>
      <c r="M1600" s="85">
        <v>0</v>
      </c>
      <c r="N1600" s="85">
        <v>0</v>
      </c>
      <c r="O1600" s="85">
        <v>2220</v>
      </c>
      <c r="P1600" s="85">
        <v>1305</v>
      </c>
      <c r="Q1600" s="186">
        <f>P1600/O1600</f>
        <v>0.5878378378378378</v>
      </c>
      <c r="R1600" s="85">
        <v>2220</v>
      </c>
      <c r="S1600" s="85"/>
      <c r="T1600" s="85">
        <v>4420</v>
      </c>
      <c r="U1600" s="85"/>
      <c r="V1600" s="85"/>
      <c r="W1600" s="32">
        <f>T1600+U1600-V1600</f>
        <v>4420</v>
      </c>
    </row>
    <row r="1601" spans="1:23" ht="12">
      <c r="A1601" s="25"/>
      <c r="B1601" s="25"/>
      <c r="C1601" s="26">
        <v>4410</v>
      </c>
      <c r="D1601" s="27" t="s">
        <v>42</v>
      </c>
      <c r="E1601" s="85">
        <v>380</v>
      </c>
      <c r="F1601" s="85">
        <v>380</v>
      </c>
      <c r="G1601" s="85"/>
      <c r="H1601" s="85"/>
      <c r="I1601" s="85"/>
      <c r="J1601" s="85">
        <v>250</v>
      </c>
      <c r="K1601" s="85">
        <v>250</v>
      </c>
      <c r="L1601" s="85">
        <v>250</v>
      </c>
      <c r="M1601" s="85">
        <v>0</v>
      </c>
      <c r="N1601" s="85">
        <v>0</v>
      </c>
      <c r="O1601" s="85">
        <v>870</v>
      </c>
      <c r="P1601" s="85">
        <v>706</v>
      </c>
      <c r="Q1601" s="186">
        <f>P1601/O1601</f>
        <v>0.8114942528735632</v>
      </c>
      <c r="R1601" s="85">
        <v>870</v>
      </c>
      <c r="S1601" s="85"/>
      <c r="T1601" s="85">
        <v>630</v>
      </c>
      <c r="U1601" s="85"/>
      <c r="V1601" s="85"/>
      <c r="W1601" s="32">
        <f>T1601+U1601-V1601</f>
        <v>630</v>
      </c>
    </row>
    <row r="1602" spans="1:23" ht="18" customHeight="1">
      <c r="A1602" s="25"/>
      <c r="B1602" s="25"/>
      <c r="C1602" s="36"/>
      <c r="D1602" s="42" t="s">
        <v>248</v>
      </c>
      <c r="E1602" s="11">
        <f>SUM(E1603:E1604)</f>
        <v>3280</v>
      </c>
      <c r="F1602" s="11">
        <f>SUM(F1603:F1604)</f>
        <v>3280</v>
      </c>
      <c r="G1602" s="11">
        <f>SUM(G1603:G1604)</f>
        <v>0</v>
      </c>
      <c r="H1602" s="11">
        <f>SUM(H1603:H1604)</f>
        <v>0</v>
      </c>
      <c r="I1602" s="11"/>
      <c r="J1602" s="11">
        <f aca="true" t="shared" si="183" ref="J1602:P1602">SUM(J1603:J1604)</f>
        <v>3760</v>
      </c>
      <c r="K1602" s="11">
        <f t="shared" si="183"/>
        <v>3760</v>
      </c>
      <c r="L1602" s="11">
        <f t="shared" si="183"/>
        <v>3760</v>
      </c>
      <c r="M1602" s="11">
        <f t="shared" si="183"/>
        <v>0</v>
      </c>
      <c r="N1602" s="11">
        <v>0</v>
      </c>
      <c r="O1602" s="11">
        <v>3090</v>
      </c>
      <c r="P1602" s="11">
        <f t="shared" si="183"/>
        <v>2011</v>
      </c>
      <c r="Q1602" s="186">
        <f t="shared" si="181"/>
        <v>0.6508090614886731</v>
      </c>
      <c r="R1602" s="11">
        <f>SUM(R1603:R1604)</f>
        <v>3090</v>
      </c>
      <c r="S1602" s="11">
        <f>SUM(S1603:S1604)</f>
        <v>0</v>
      </c>
      <c r="T1602" s="11">
        <v>3720</v>
      </c>
      <c r="U1602" s="11">
        <f>SUM(U1603:U1604)</f>
        <v>0</v>
      </c>
      <c r="V1602" s="11">
        <f>SUM(V1603:V1604)</f>
        <v>0</v>
      </c>
      <c r="W1602" s="32">
        <f t="shared" si="176"/>
        <v>3720</v>
      </c>
    </row>
    <row r="1603" spans="1:23" ht="18" customHeight="1">
      <c r="A1603" s="25"/>
      <c r="B1603" s="88"/>
      <c r="C1603" s="26">
        <v>4300</v>
      </c>
      <c r="D1603" s="27" t="s">
        <v>81</v>
      </c>
      <c r="E1603" s="85">
        <v>2900</v>
      </c>
      <c r="F1603" s="85">
        <v>2900</v>
      </c>
      <c r="G1603" s="85"/>
      <c r="H1603" s="85"/>
      <c r="I1603" s="85"/>
      <c r="J1603" s="85">
        <v>3510</v>
      </c>
      <c r="K1603" s="85">
        <v>3510</v>
      </c>
      <c r="L1603" s="85">
        <v>3510</v>
      </c>
      <c r="M1603" s="85">
        <v>0</v>
      </c>
      <c r="N1603" s="85">
        <v>0</v>
      </c>
      <c r="O1603" s="85">
        <v>2220</v>
      </c>
      <c r="P1603" s="85">
        <v>1305</v>
      </c>
      <c r="Q1603" s="186">
        <f t="shared" si="181"/>
        <v>0.5878378378378378</v>
      </c>
      <c r="R1603" s="85">
        <v>2220</v>
      </c>
      <c r="S1603" s="85"/>
      <c r="T1603" s="85">
        <v>2760</v>
      </c>
      <c r="U1603" s="85"/>
      <c r="V1603" s="85"/>
      <c r="W1603" s="32">
        <f t="shared" si="176"/>
        <v>2760</v>
      </c>
    </row>
    <row r="1604" spans="1:23" ht="12">
      <c r="A1604" s="25"/>
      <c r="B1604" s="25"/>
      <c r="C1604" s="26">
        <v>4410</v>
      </c>
      <c r="D1604" s="27" t="s">
        <v>42</v>
      </c>
      <c r="E1604" s="85">
        <v>380</v>
      </c>
      <c r="F1604" s="85">
        <v>380</v>
      </c>
      <c r="G1604" s="85"/>
      <c r="H1604" s="85"/>
      <c r="I1604" s="85"/>
      <c r="J1604" s="85">
        <v>250</v>
      </c>
      <c r="K1604" s="85">
        <v>250</v>
      </c>
      <c r="L1604" s="85">
        <v>250</v>
      </c>
      <c r="M1604" s="85">
        <v>0</v>
      </c>
      <c r="N1604" s="85">
        <v>0</v>
      </c>
      <c r="O1604" s="85">
        <v>870</v>
      </c>
      <c r="P1604" s="85">
        <v>706</v>
      </c>
      <c r="Q1604" s="186">
        <f t="shared" si="181"/>
        <v>0.8114942528735632</v>
      </c>
      <c r="R1604" s="85">
        <v>870</v>
      </c>
      <c r="S1604" s="85"/>
      <c r="T1604" s="85">
        <v>960</v>
      </c>
      <c r="U1604" s="85"/>
      <c r="V1604" s="85"/>
      <c r="W1604" s="32">
        <f t="shared" si="176"/>
        <v>960</v>
      </c>
    </row>
    <row r="1605" spans="1:23" ht="12">
      <c r="A1605" s="33"/>
      <c r="B1605" s="33">
        <v>85495</v>
      </c>
      <c r="C1605" s="36"/>
      <c r="D1605" s="42" t="s">
        <v>98</v>
      </c>
      <c r="E1605" s="35">
        <f>SUM(E1606)</f>
        <v>8860</v>
      </c>
      <c r="F1605" s="35">
        <f>SUM(F1606)</f>
        <v>8860</v>
      </c>
      <c r="G1605" s="37">
        <f>SUM(G1606)</f>
        <v>8640</v>
      </c>
      <c r="H1605" s="37">
        <f>SUM(H1606)</f>
        <v>8640</v>
      </c>
      <c r="I1605" s="37"/>
      <c r="J1605" s="37">
        <f aca="true" t="shared" si="184" ref="J1605:S1605">SUM(J1606)</f>
        <v>8640</v>
      </c>
      <c r="K1605" s="37">
        <f t="shared" si="184"/>
        <v>8640</v>
      </c>
      <c r="L1605" s="37">
        <f t="shared" si="184"/>
        <v>8640</v>
      </c>
      <c r="M1605" s="37">
        <f t="shared" si="184"/>
        <v>6720</v>
      </c>
      <c r="N1605" s="37">
        <v>6720</v>
      </c>
      <c r="O1605" s="37">
        <v>8109</v>
      </c>
      <c r="P1605" s="37">
        <f t="shared" si="184"/>
        <v>5345</v>
      </c>
      <c r="Q1605" s="186">
        <f t="shared" si="181"/>
        <v>0.6591441608089776</v>
      </c>
      <c r="R1605" s="37">
        <f t="shared" si="184"/>
        <v>8109</v>
      </c>
      <c r="S1605" s="37">
        <f t="shared" si="184"/>
        <v>8190</v>
      </c>
      <c r="T1605" s="37">
        <v>8550</v>
      </c>
      <c r="U1605" s="37">
        <f>SUM(U1606)</f>
        <v>0</v>
      </c>
      <c r="V1605" s="37">
        <f>SUM(V1606)</f>
        <v>0</v>
      </c>
      <c r="W1605" s="32">
        <f t="shared" si="176"/>
        <v>8550</v>
      </c>
    </row>
    <row r="1606" spans="1:23" ht="24">
      <c r="A1606" s="25"/>
      <c r="B1606" s="25"/>
      <c r="C1606" s="26">
        <v>4440</v>
      </c>
      <c r="D1606" s="27" t="s">
        <v>44</v>
      </c>
      <c r="E1606" s="11">
        <v>8860</v>
      </c>
      <c r="F1606" s="11">
        <v>8860</v>
      </c>
      <c r="G1606" s="12">
        <v>8640</v>
      </c>
      <c r="H1606" s="12">
        <v>8640</v>
      </c>
      <c r="I1606" s="12"/>
      <c r="J1606" s="12">
        <v>8640</v>
      </c>
      <c r="K1606" s="12">
        <v>8640</v>
      </c>
      <c r="L1606" s="12">
        <v>8640</v>
      </c>
      <c r="M1606" s="12">
        <v>6720</v>
      </c>
      <c r="N1606" s="12">
        <v>8109</v>
      </c>
      <c r="O1606" s="12">
        <v>8109</v>
      </c>
      <c r="P1606" s="12">
        <v>5345</v>
      </c>
      <c r="Q1606" s="186">
        <f t="shared" si="181"/>
        <v>0.6591441608089776</v>
      </c>
      <c r="R1606" s="12">
        <v>8109</v>
      </c>
      <c r="S1606" s="12">
        <v>8190</v>
      </c>
      <c r="T1606" s="12">
        <v>8550</v>
      </c>
      <c r="U1606" s="12"/>
      <c r="V1606" s="12"/>
      <c r="W1606" s="32">
        <f t="shared" si="176"/>
        <v>8550</v>
      </c>
    </row>
    <row r="1607" spans="1:23" ht="12">
      <c r="A1607" s="25"/>
      <c r="B1607" s="25"/>
      <c r="C1607" s="26"/>
      <c r="D1607" s="27" t="s">
        <v>58</v>
      </c>
      <c r="E1607" s="11"/>
      <c r="F1607" s="11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86"/>
      <c r="R1607" s="12"/>
      <c r="S1607" s="12"/>
      <c r="T1607" s="12"/>
      <c r="U1607" s="12"/>
      <c r="V1607" s="12"/>
      <c r="W1607" s="32"/>
    </row>
    <row r="1608" spans="1:23" ht="18" customHeight="1">
      <c r="A1608" s="25"/>
      <c r="B1608" s="25"/>
      <c r="C1608" s="26"/>
      <c r="D1608" s="42" t="s">
        <v>298</v>
      </c>
      <c r="E1608" s="11">
        <f>E1609</f>
        <v>8860</v>
      </c>
      <c r="F1608" s="11">
        <f>F1609</f>
        <v>2945</v>
      </c>
      <c r="G1608" s="12">
        <f>G1609</f>
        <v>8640</v>
      </c>
      <c r="H1608" s="12">
        <f>H1609</f>
        <v>8640</v>
      </c>
      <c r="I1608" s="12"/>
      <c r="J1608" s="12">
        <f aca="true" t="shared" si="185" ref="J1608:S1608">J1609</f>
        <v>0</v>
      </c>
      <c r="K1608" s="12">
        <f t="shared" si="185"/>
        <v>7831</v>
      </c>
      <c r="L1608" s="12">
        <f t="shared" si="185"/>
        <v>7831</v>
      </c>
      <c r="M1608" s="12">
        <f t="shared" si="185"/>
        <v>0</v>
      </c>
      <c r="N1608" s="12">
        <v>0</v>
      </c>
      <c r="O1608" s="12">
        <v>6307</v>
      </c>
      <c r="P1608" s="12">
        <f t="shared" si="185"/>
        <v>4125</v>
      </c>
      <c r="Q1608" s="186">
        <f>P1608/O1608</f>
        <v>0.6540351989852545</v>
      </c>
      <c r="R1608" s="12">
        <f t="shared" si="185"/>
        <v>6307</v>
      </c>
      <c r="S1608" s="12">
        <f t="shared" si="185"/>
        <v>0</v>
      </c>
      <c r="T1608" s="12">
        <v>0</v>
      </c>
      <c r="U1608" s="12">
        <f>U1609</f>
        <v>0</v>
      </c>
      <c r="V1608" s="12">
        <f>V1609</f>
        <v>0</v>
      </c>
      <c r="W1608" s="32">
        <f>T1608+U1608-V1608</f>
        <v>0</v>
      </c>
    </row>
    <row r="1609" spans="1:23" ht="24">
      <c r="A1609" s="25"/>
      <c r="B1609" s="88"/>
      <c r="C1609" s="26">
        <v>4440</v>
      </c>
      <c r="D1609" s="27" t="s">
        <v>44</v>
      </c>
      <c r="E1609" s="11">
        <v>8860</v>
      </c>
      <c r="F1609" s="11">
        <v>2945</v>
      </c>
      <c r="G1609" s="12">
        <v>8640</v>
      </c>
      <c r="H1609" s="12">
        <v>8640</v>
      </c>
      <c r="I1609" s="12"/>
      <c r="J1609" s="12"/>
      <c r="K1609" s="12">
        <v>7831</v>
      </c>
      <c r="L1609" s="12">
        <v>7831</v>
      </c>
      <c r="M1609" s="12">
        <v>0</v>
      </c>
      <c r="N1609" s="12">
        <v>0</v>
      </c>
      <c r="O1609" s="12">
        <v>6307</v>
      </c>
      <c r="P1609" s="12">
        <v>4125</v>
      </c>
      <c r="Q1609" s="186">
        <f>P1609/O1609</f>
        <v>0.6540351989852545</v>
      </c>
      <c r="R1609" s="12">
        <v>6307</v>
      </c>
      <c r="S1609" s="12"/>
      <c r="T1609" s="12">
        <v>0</v>
      </c>
      <c r="U1609" s="12"/>
      <c r="V1609" s="12"/>
      <c r="W1609" s="32">
        <f>T1609+U1609-V1609</f>
        <v>0</v>
      </c>
    </row>
    <row r="1610" spans="1:23" ht="18" customHeight="1">
      <c r="A1610" s="25"/>
      <c r="B1610" s="25"/>
      <c r="C1610" s="26"/>
      <c r="D1610" s="42" t="s">
        <v>298</v>
      </c>
      <c r="E1610" s="11">
        <f>E1611</f>
        <v>8860</v>
      </c>
      <c r="F1610" s="11">
        <f>F1611</f>
        <v>2945</v>
      </c>
      <c r="G1610" s="12">
        <f>G1611</f>
        <v>8640</v>
      </c>
      <c r="H1610" s="12">
        <f>H1611</f>
        <v>8640</v>
      </c>
      <c r="I1610" s="12"/>
      <c r="J1610" s="12">
        <f aca="true" t="shared" si="186" ref="J1610:S1610">J1611</f>
        <v>0</v>
      </c>
      <c r="K1610" s="12">
        <f t="shared" si="186"/>
        <v>7831</v>
      </c>
      <c r="L1610" s="12">
        <f t="shared" si="186"/>
        <v>7831</v>
      </c>
      <c r="M1610" s="12">
        <f t="shared" si="186"/>
        <v>0</v>
      </c>
      <c r="N1610" s="12">
        <v>0</v>
      </c>
      <c r="O1610" s="12">
        <v>6307</v>
      </c>
      <c r="P1610" s="12">
        <f t="shared" si="186"/>
        <v>4125</v>
      </c>
      <c r="Q1610" s="186">
        <f t="shared" si="181"/>
        <v>0.6540351989852545</v>
      </c>
      <c r="R1610" s="12">
        <f t="shared" si="186"/>
        <v>6307</v>
      </c>
      <c r="S1610" s="12">
        <f t="shared" si="186"/>
        <v>0</v>
      </c>
      <c r="T1610" s="12">
        <v>5700</v>
      </c>
      <c r="U1610" s="12">
        <f>U1611</f>
        <v>0</v>
      </c>
      <c r="V1610" s="12">
        <f>V1611</f>
        <v>0</v>
      </c>
      <c r="W1610" s="32">
        <f t="shared" si="176"/>
        <v>5700</v>
      </c>
    </row>
    <row r="1611" spans="1:23" ht="24">
      <c r="A1611" s="25"/>
      <c r="B1611" s="88"/>
      <c r="C1611" s="26">
        <v>4440</v>
      </c>
      <c r="D1611" s="27" t="s">
        <v>44</v>
      </c>
      <c r="E1611" s="11">
        <v>8860</v>
      </c>
      <c r="F1611" s="11">
        <v>2945</v>
      </c>
      <c r="G1611" s="12">
        <v>8640</v>
      </c>
      <c r="H1611" s="12">
        <v>8640</v>
      </c>
      <c r="I1611" s="12"/>
      <c r="J1611" s="12"/>
      <c r="K1611" s="12">
        <v>7831</v>
      </c>
      <c r="L1611" s="12">
        <v>7831</v>
      </c>
      <c r="M1611" s="12">
        <v>0</v>
      </c>
      <c r="N1611" s="12">
        <v>0</v>
      </c>
      <c r="O1611" s="12">
        <v>6307</v>
      </c>
      <c r="P1611" s="12">
        <v>4125</v>
      </c>
      <c r="Q1611" s="186">
        <f t="shared" si="181"/>
        <v>0.6540351989852545</v>
      </c>
      <c r="R1611" s="12">
        <v>6307</v>
      </c>
      <c r="S1611" s="12"/>
      <c r="T1611" s="12">
        <v>5700</v>
      </c>
      <c r="U1611" s="12"/>
      <c r="V1611" s="12"/>
      <c r="W1611" s="32">
        <f t="shared" si="176"/>
        <v>5700</v>
      </c>
    </row>
    <row r="1612" spans="1:23" ht="18" customHeight="1">
      <c r="A1612" s="25"/>
      <c r="B1612" s="25"/>
      <c r="C1612" s="26"/>
      <c r="D1612" s="42" t="s">
        <v>249</v>
      </c>
      <c r="E1612" s="11">
        <f>E1613</f>
        <v>8860</v>
      </c>
      <c r="F1612" s="11">
        <f>F1613</f>
        <v>2945</v>
      </c>
      <c r="G1612" s="12">
        <f>G1613</f>
        <v>8640</v>
      </c>
      <c r="H1612" s="12">
        <f>H1613</f>
        <v>8640</v>
      </c>
      <c r="I1612" s="12"/>
      <c r="J1612" s="12">
        <f aca="true" t="shared" si="187" ref="J1612:S1612">J1613</f>
        <v>0</v>
      </c>
      <c r="K1612" s="12">
        <f t="shared" si="187"/>
        <v>809</v>
      </c>
      <c r="L1612" s="12">
        <f t="shared" si="187"/>
        <v>809</v>
      </c>
      <c r="M1612" s="12">
        <f t="shared" si="187"/>
        <v>0</v>
      </c>
      <c r="N1612" s="12">
        <v>0</v>
      </c>
      <c r="O1612" s="12">
        <v>901</v>
      </c>
      <c r="P1612" s="12">
        <f t="shared" si="187"/>
        <v>620</v>
      </c>
      <c r="Q1612" s="186">
        <f t="shared" si="181"/>
        <v>0.6881243063263041</v>
      </c>
      <c r="R1612" s="12">
        <f t="shared" si="187"/>
        <v>901</v>
      </c>
      <c r="S1612" s="12">
        <f t="shared" si="187"/>
        <v>0</v>
      </c>
      <c r="T1612" s="12">
        <v>950</v>
      </c>
      <c r="U1612" s="12">
        <f>U1613</f>
        <v>0</v>
      </c>
      <c r="V1612" s="12">
        <f>V1613</f>
        <v>0</v>
      </c>
      <c r="W1612" s="32">
        <f t="shared" si="176"/>
        <v>950</v>
      </c>
    </row>
    <row r="1613" spans="1:23" ht="24">
      <c r="A1613" s="25"/>
      <c r="B1613" s="25"/>
      <c r="C1613" s="26">
        <v>4440</v>
      </c>
      <c r="D1613" s="27" t="s">
        <v>44</v>
      </c>
      <c r="E1613" s="11">
        <v>8860</v>
      </c>
      <c r="F1613" s="11">
        <v>2945</v>
      </c>
      <c r="G1613" s="12">
        <v>8640</v>
      </c>
      <c r="H1613" s="12">
        <v>8640</v>
      </c>
      <c r="I1613" s="12"/>
      <c r="J1613" s="12"/>
      <c r="K1613" s="12">
        <v>809</v>
      </c>
      <c r="L1613" s="12">
        <v>809</v>
      </c>
      <c r="M1613" s="12">
        <v>0</v>
      </c>
      <c r="N1613" s="12">
        <v>0</v>
      </c>
      <c r="O1613" s="12">
        <v>901</v>
      </c>
      <c r="P1613" s="12">
        <v>620</v>
      </c>
      <c r="Q1613" s="186">
        <f t="shared" si="181"/>
        <v>0.6881243063263041</v>
      </c>
      <c r="R1613" s="12">
        <v>901</v>
      </c>
      <c r="S1613" s="12"/>
      <c r="T1613" s="12">
        <v>950</v>
      </c>
      <c r="U1613" s="12"/>
      <c r="V1613" s="12"/>
      <c r="W1613" s="32">
        <f t="shared" si="176"/>
        <v>950</v>
      </c>
    </row>
    <row r="1614" spans="1:23" ht="12">
      <c r="A1614" s="25"/>
      <c r="B1614" s="25"/>
      <c r="C1614" s="26"/>
      <c r="D1614" s="42" t="s">
        <v>309</v>
      </c>
      <c r="E1614" s="11">
        <f>E1615</f>
        <v>8860</v>
      </c>
      <c r="F1614" s="11">
        <f>F1615</f>
        <v>2945</v>
      </c>
      <c r="G1614" s="12">
        <f>G1615</f>
        <v>8640</v>
      </c>
      <c r="H1614" s="12">
        <f>H1615</f>
        <v>8640</v>
      </c>
      <c r="I1614" s="12"/>
      <c r="J1614" s="12">
        <f aca="true" t="shared" si="188" ref="J1614:S1614">J1615</f>
        <v>0</v>
      </c>
      <c r="K1614" s="12">
        <f t="shared" si="188"/>
        <v>0</v>
      </c>
      <c r="L1614" s="12">
        <f t="shared" si="188"/>
        <v>2427</v>
      </c>
      <c r="M1614" s="12">
        <f t="shared" si="188"/>
        <v>0</v>
      </c>
      <c r="N1614" s="12">
        <v>0</v>
      </c>
      <c r="O1614" s="12">
        <v>901</v>
      </c>
      <c r="P1614" s="12">
        <f t="shared" si="188"/>
        <v>600</v>
      </c>
      <c r="Q1614" s="186">
        <f t="shared" si="181"/>
        <v>0.6659267480577137</v>
      </c>
      <c r="R1614" s="12">
        <f t="shared" si="188"/>
        <v>901</v>
      </c>
      <c r="S1614" s="12">
        <f t="shared" si="188"/>
        <v>0</v>
      </c>
      <c r="T1614" s="12">
        <v>1900</v>
      </c>
      <c r="U1614" s="12">
        <f>U1615</f>
        <v>0</v>
      </c>
      <c r="V1614" s="12">
        <f>V1615</f>
        <v>0</v>
      </c>
      <c r="W1614" s="32">
        <f t="shared" si="176"/>
        <v>1900</v>
      </c>
    </row>
    <row r="1615" spans="1:23" ht="24">
      <c r="A1615" s="25"/>
      <c r="B1615" s="25"/>
      <c r="C1615" s="26">
        <v>4440</v>
      </c>
      <c r="D1615" s="27" t="s">
        <v>44</v>
      </c>
      <c r="E1615" s="11">
        <v>8860</v>
      </c>
      <c r="F1615" s="11">
        <v>2945</v>
      </c>
      <c r="G1615" s="12">
        <v>8640</v>
      </c>
      <c r="H1615" s="12">
        <v>8640</v>
      </c>
      <c r="I1615" s="12"/>
      <c r="J1615" s="12"/>
      <c r="K1615" s="12"/>
      <c r="L1615" s="12">
        <v>2427</v>
      </c>
      <c r="M1615" s="12"/>
      <c r="N1615" s="12">
        <v>0</v>
      </c>
      <c r="O1615" s="12">
        <v>901</v>
      </c>
      <c r="P1615" s="12">
        <v>600</v>
      </c>
      <c r="Q1615" s="186">
        <f t="shared" si="181"/>
        <v>0.6659267480577137</v>
      </c>
      <c r="R1615" s="12">
        <v>901</v>
      </c>
      <c r="S1615" s="12"/>
      <c r="T1615" s="12">
        <v>1900</v>
      </c>
      <c r="U1615" s="12"/>
      <c r="V1615" s="12"/>
      <c r="W1615" s="32">
        <f t="shared" si="176"/>
        <v>1900</v>
      </c>
    </row>
    <row r="1616" spans="1:26" s="79" customFormat="1" ht="24">
      <c r="A1616" s="8">
        <v>900</v>
      </c>
      <c r="B1616" s="8"/>
      <c r="C1616" s="29"/>
      <c r="D1616" s="43" t="s">
        <v>357</v>
      </c>
      <c r="E1616" s="31"/>
      <c r="F1616" s="31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186"/>
      <c r="R1616" s="32"/>
      <c r="S1616" s="32"/>
      <c r="T1616" s="32">
        <v>1674172</v>
      </c>
      <c r="U1616" s="32">
        <f>U1617</f>
        <v>0</v>
      </c>
      <c r="V1616" s="32">
        <f>V1617</f>
        <v>0</v>
      </c>
      <c r="W1616" s="32">
        <f t="shared" si="176"/>
        <v>1674172</v>
      </c>
      <c r="Y1616" s="226"/>
      <c r="Z1616" s="226"/>
    </row>
    <row r="1617" spans="1:26" s="80" customFormat="1" ht="48">
      <c r="A1617" s="33"/>
      <c r="B1617" s="33">
        <v>90019</v>
      </c>
      <c r="C1617" s="36"/>
      <c r="D1617" s="42" t="s">
        <v>358</v>
      </c>
      <c r="E1617" s="35"/>
      <c r="F1617" s="35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  <c r="Q1617" s="186"/>
      <c r="R1617" s="37"/>
      <c r="S1617" s="37"/>
      <c r="T1617" s="213">
        <v>1674172</v>
      </c>
      <c r="U1617" s="213">
        <f>SUM(U1618:U1627)</f>
        <v>0</v>
      </c>
      <c r="V1617" s="212">
        <f>SUM(V1618:V1627)</f>
        <v>0</v>
      </c>
      <c r="W1617" s="32">
        <f t="shared" si="176"/>
        <v>1674172</v>
      </c>
      <c r="Y1617" s="227"/>
      <c r="Z1617" s="227"/>
    </row>
    <row r="1618" spans="1:26" s="80" customFormat="1" ht="48">
      <c r="A1618" s="33"/>
      <c r="B1618" s="33"/>
      <c r="C1618" s="26">
        <v>2810</v>
      </c>
      <c r="D1618" s="27" t="s">
        <v>365</v>
      </c>
      <c r="E1618" s="35"/>
      <c r="F1618" s="35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  <c r="Q1618" s="186"/>
      <c r="R1618" s="37"/>
      <c r="S1618" s="37"/>
      <c r="T1618" s="212">
        <v>16000</v>
      </c>
      <c r="U1618" s="212"/>
      <c r="V1618" s="212"/>
      <c r="W1618" s="32">
        <f t="shared" si="176"/>
        <v>16000</v>
      </c>
      <c r="Y1618" s="227"/>
      <c r="Z1618" s="227"/>
    </row>
    <row r="1619" spans="1:26" s="80" customFormat="1" ht="48">
      <c r="A1619" s="33"/>
      <c r="B1619" s="33"/>
      <c r="C1619" s="26">
        <v>2820</v>
      </c>
      <c r="D1619" s="27" t="s">
        <v>252</v>
      </c>
      <c r="E1619" s="35"/>
      <c r="F1619" s="35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  <c r="Q1619" s="186"/>
      <c r="R1619" s="37"/>
      <c r="S1619" s="37"/>
      <c r="T1619" s="212">
        <v>24000</v>
      </c>
      <c r="U1619" s="212"/>
      <c r="V1619" s="212"/>
      <c r="W1619" s="32">
        <f t="shared" si="176"/>
        <v>24000</v>
      </c>
      <c r="Y1619" s="227"/>
      <c r="Z1619" s="227"/>
    </row>
    <row r="1620" spans="1:23" ht="12">
      <c r="A1620" s="25"/>
      <c r="B1620" s="25"/>
      <c r="C1620" s="26">
        <v>4210</v>
      </c>
      <c r="D1620" s="27" t="s">
        <v>34</v>
      </c>
      <c r="E1620" s="11"/>
      <c r="F1620" s="11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86"/>
      <c r="R1620" s="12"/>
      <c r="S1620" s="12"/>
      <c r="T1620" s="12">
        <v>116000</v>
      </c>
      <c r="U1620" s="12"/>
      <c r="V1620" s="12"/>
      <c r="W1620" s="32">
        <f t="shared" si="176"/>
        <v>116000</v>
      </c>
    </row>
    <row r="1621" spans="1:23" ht="12">
      <c r="A1621" s="25"/>
      <c r="B1621" s="25"/>
      <c r="C1621" s="26">
        <v>4270</v>
      </c>
      <c r="D1621" s="27" t="s">
        <v>36</v>
      </c>
      <c r="E1621" s="11"/>
      <c r="F1621" s="11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86"/>
      <c r="R1621" s="12"/>
      <c r="S1621" s="12"/>
      <c r="T1621" s="12">
        <v>174000</v>
      </c>
      <c r="U1621" s="12"/>
      <c r="V1621" s="12"/>
      <c r="W1621" s="32">
        <f t="shared" si="176"/>
        <v>174000</v>
      </c>
    </row>
    <row r="1622" spans="1:23" ht="12">
      <c r="A1622" s="25"/>
      <c r="B1622" s="25"/>
      <c r="C1622" s="26">
        <v>4300</v>
      </c>
      <c r="D1622" s="27" t="s">
        <v>81</v>
      </c>
      <c r="E1622" s="85">
        <v>5650</v>
      </c>
      <c r="F1622" s="85">
        <v>3860</v>
      </c>
      <c r="G1622" s="85">
        <v>6790</v>
      </c>
      <c r="H1622" s="85">
        <v>6790</v>
      </c>
      <c r="I1622" s="85"/>
      <c r="J1622" s="85">
        <v>4560</v>
      </c>
      <c r="K1622" s="85">
        <v>4560</v>
      </c>
      <c r="L1622" s="85">
        <v>4560</v>
      </c>
      <c r="M1622" s="85">
        <v>6800</v>
      </c>
      <c r="N1622" s="85">
        <v>6800</v>
      </c>
      <c r="O1622" s="85">
        <v>6800</v>
      </c>
      <c r="P1622" s="85">
        <v>1305</v>
      </c>
      <c r="Q1622" s="186">
        <f>P1622/O1622</f>
        <v>0.19191176470588237</v>
      </c>
      <c r="R1622" s="85">
        <v>6800</v>
      </c>
      <c r="S1622" s="85">
        <v>7180</v>
      </c>
      <c r="T1622" s="85">
        <v>177721</v>
      </c>
      <c r="U1622" s="85"/>
      <c r="V1622" s="85"/>
      <c r="W1622" s="32">
        <f t="shared" si="176"/>
        <v>177721</v>
      </c>
    </row>
    <row r="1623" spans="1:23" ht="36">
      <c r="A1623" s="25"/>
      <c r="B1623" s="25"/>
      <c r="C1623" s="26">
        <v>4700</v>
      </c>
      <c r="D1623" s="27" t="s">
        <v>46</v>
      </c>
      <c r="E1623" s="11"/>
      <c r="F1623" s="11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86"/>
      <c r="R1623" s="12"/>
      <c r="S1623" s="12"/>
      <c r="T1623" s="12">
        <v>10000</v>
      </c>
      <c r="U1623" s="12"/>
      <c r="V1623" s="12"/>
      <c r="W1623" s="32">
        <f t="shared" si="176"/>
        <v>10000</v>
      </c>
    </row>
    <row r="1624" spans="1:23" ht="48">
      <c r="A1624" s="25"/>
      <c r="B1624" s="25"/>
      <c r="C1624" s="26">
        <v>6170</v>
      </c>
      <c r="D1624" s="27" t="s">
        <v>359</v>
      </c>
      <c r="E1624" s="11"/>
      <c r="F1624" s="11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86"/>
      <c r="R1624" s="12"/>
      <c r="S1624" s="12"/>
      <c r="T1624" s="12">
        <v>50000</v>
      </c>
      <c r="U1624" s="12"/>
      <c r="V1624" s="12"/>
      <c r="W1624" s="32">
        <f t="shared" si="176"/>
        <v>50000</v>
      </c>
    </row>
    <row r="1625" spans="1:23" ht="72">
      <c r="A1625" s="8"/>
      <c r="B1625" s="8"/>
      <c r="C1625" s="26">
        <v>6620</v>
      </c>
      <c r="D1625" s="290" t="s">
        <v>367</v>
      </c>
      <c r="E1625" s="11"/>
      <c r="F1625" s="1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86"/>
      <c r="R1625" s="239"/>
      <c r="S1625" s="239"/>
      <c r="T1625" s="239">
        <v>50000</v>
      </c>
      <c r="U1625" s="239"/>
      <c r="V1625" s="239"/>
      <c r="W1625" s="32">
        <f t="shared" si="176"/>
        <v>50000</v>
      </c>
    </row>
    <row r="1626" spans="1:23" ht="24">
      <c r="A1626" s="25"/>
      <c r="B1626" s="25"/>
      <c r="C1626" s="26">
        <v>6050</v>
      </c>
      <c r="D1626" s="27" t="s">
        <v>193</v>
      </c>
      <c r="E1626" s="11"/>
      <c r="F1626" s="11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86"/>
      <c r="R1626" s="12"/>
      <c r="S1626" s="12"/>
      <c r="T1626" s="12">
        <v>452875</v>
      </c>
      <c r="U1626" s="12"/>
      <c r="V1626" s="12"/>
      <c r="W1626" s="32">
        <f t="shared" si="176"/>
        <v>452875</v>
      </c>
    </row>
    <row r="1627" spans="1:23" ht="24">
      <c r="A1627" s="25"/>
      <c r="B1627" s="25"/>
      <c r="C1627" s="26">
        <v>6059</v>
      </c>
      <c r="D1627" s="27" t="s">
        <v>193</v>
      </c>
      <c r="E1627" s="11"/>
      <c r="F1627" s="11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86"/>
      <c r="R1627" s="12"/>
      <c r="S1627" s="12"/>
      <c r="T1627" s="12">
        <v>603576</v>
      </c>
      <c r="U1627" s="12"/>
      <c r="V1627" s="12"/>
      <c r="W1627" s="32">
        <f>T1627+U1627-V1627</f>
        <v>603576</v>
      </c>
    </row>
    <row r="1628" spans="1:23" ht="24">
      <c r="A1628" s="8">
        <v>921</v>
      </c>
      <c r="B1628" s="8"/>
      <c r="C1628" s="29"/>
      <c r="D1628" s="43" t="s">
        <v>250</v>
      </c>
      <c r="E1628" s="31" t="e">
        <f>E1634+E1631+#REF!</f>
        <v>#REF!</v>
      </c>
      <c r="F1628" s="31" t="e">
        <f>F1634+F1631+#REF!</f>
        <v>#REF!</v>
      </c>
      <c r="G1628" s="32" t="e">
        <f>G1634+G1631+#REF!</f>
        <v>#REF!</v>
      </c>
      <c r="H1628" s="32" t="e">
        <f>H1634+H1631+#REF!</f>
        <v>#REF!</v>
      </c>
      <c r="I1628" s="32"/>
      <c r="J1628" s="32">
        <f aca="true" t="shared" si="189" ref="J1628:P1628">J1629+J1634+J1631</f>
        <v>108380</v>
      </c>
      <c r="K1628" s="32">
        <f t="shared" si="189"/>
        <v>110380</v>
      </c>
      <c r="L1628" s="32">
        <f t="shared" si="189"/>
        <v>55880</v>
      </c>
      <c r="M1628" s="32">
        <f t="shared" si="189"/>
        <v>64450</v>
      </c>
      <c r="N1628" s="32">
        <v>136850</v>
      </c>
      <c r="O1628" s="32">
        <v>126850</v>
      </c>
      <c r="P1628" s="32">
        <f t="shared" si="189"/>
        <v>45479</v>
      </c>
      <c r="Q1628" s="186">
        <f aca="true" t="shared" si="190" ref="Q1628:Q1634">P1628/O1628</f>
        <v>0.35852581789515175</v>
      </c>
      <c r="R1628" s="32">
        <f>R1629+R1634+R1631</f>
        <v>126850</v>
      </c>
      <c r="S1628" s="32">
        <f>S1629+S1634+S1631</f>
        <v>154300</v>
      </c>
      <c r="T1628" s="32">
        <v>160000</v>
      </c>
      <c r="U1628" s="32">
        <f>U1629+U1634+U1631</f>
        <v>0</v>
      </c>
      <c r="V1628" s="32">
        <f>V1629+V1634+V1631</f>
        <v>0</v>
      </c>
      <c r="W1628" s="32">
        <f t="shared" si="176"/>
        <v>160000</v>
      </c>
    </row>
    <row r="1629" spans="1:23" ht="24">
      <c r="A1629" s="33"/>
      <c r="B1629" s="33">
        <v>92108</v>
      </c>
      <c r="C1629" s="36"/>
      <c r="D1629" s="42" t="s">
        <v>251</v>
      </c>
      <c r="E1629" s="35">
        <f>SUM(E1630:E1632)</f>
        <v>96538</v>
      </c>
      <c r="F1629" s="35">
        <f>SUM(F1630:F1632)</f>
        <v>111538</v>
      </c>
      <c r="G1629" s="35">
        <f>SUM(G1630:G1632)</f>
        <v>113760</v>
      </c>
      <c r="H1629" s="35">
        <f>SUM(H1630:H1632)</f>
        <v>113760</v>
      </c>
      <c r="I1629" s="35"/>
      <c r="J1629" s="35">
        <f aca="true" t="shared" si="191" ref="J1629:S1629">SUM(J1630)</f>
        <v>0</v>
      </c>
      <c r="K1629" s="35">
        <f t="shared" si="191"/>
        <v>6500</v>
      </c>
      <c r="L1629" s="35">
        <f t="shared" si="191"/>
        <v>6500</v>
      </c>
      <c r="M1629" s="35">
        <f t="shared" si="191"/>
        <v>0</v>
      </c>
      <c r="N1629" s="35">
        <v>0</v>
      </c>
      <c r="O1629" s="35">
        <v>5000</v>
      </c>
      <c r="P1629" s="35">
        <f t="shared" si="191"/>
        <v>1000</v>
      </c>
      <c r="Q1629" s="186">
        <f t="shared" si="190"/>
        <v>0.2</v>
      </c>
      <c r="R1629" s="35">
        <f t="shared" si="191"/>
        <v>5000</v>
      </c>
      <c r="S1629" s="35">
        <f t="shared" si="191"/>
        <v>5000</v>
      </c>
      <c r="T1629" s="35">
        <v>5200</v>
      </c>
      <c r="U1629" s="35">
        <f>SUM(U1630)</f>
        <v>0</v>
      </c>
      <c r="V1629" s="35">
        <f>SUM(V1630)</f>
        <v>0</v>
      </c>
      <c r="W1629" s="32">
        <f t="shared" si="176"/>
        <v>5200</v>
      </c>
    </row>
    <row r="1630" spans="1:23" ht="48">
      <c r="A1630" s="25"/>
      <c r="B1630" s="25"/>
      <c r="C1630" s="26">
        <v>2820</v>
      </c>
      <c r="D1630" s="27" t="s">
        <v>252</v>
      </c>
      <c r="E1630" s="55"/>
      <c r="F1630" s="55">
        <v>15000</v>
      </c>
      <c r="G1630" s="56">
        <v>15000</v>
      </c>
      <c r="H1630" s="56">
        <v>15000</v>
      </c>
      <c r="I1630" s="56"/>
      <c r="J1630" s="56"/>
      <c r="K1630" s="56">
        <v>6500</v>
      </c>
      <c r="L1630" s="56">
        <v>6500</v>
      </c>
      <c r="M1630" s="56"/>
      <c r="N1630" s="56">
        <v>0</v>
      </c>
      <c r="O1630" s="56">
        <v>5000</v>
      </c>
      <c r="P1630" s="56">
        <v>1000</v>
      </c>
      <c r="Q1630" s="186">
        <f t="shared" si="190"/>
        <v>0.2</v>
      </c>
      <c r="R1630" s="56">
        <v>5000</v>
      </c>
      <c r="S1630" s="56">
        <v>5000</v>
      </c>
      <c r="T1630" s="56">
        <v>5200</v>
      </c>
      <c r="U1630" s="56"/>
      <c r="V1630" s="56"/>
      <c r="W1630" s="32">
        <f t="shared" si="176"/>
        <v>5200</v>
      </c>
    </row>
    <row r="1631" spans="1:23" ht="12">
      <c r="A1631" s="33"/>
      <c r="B1631" s="33">
        <v>92116</v>
      </c>
      <c r="C1631" s="36"/>
      <c r="D1631" s="42" t="s">
        <v>253</v>
      </c>
      <c r="E1631" s="35">
        <f>SUM(E1632:E1632)</f>
        <v>48269</v>
      </c>
      <c r="F1631" s="35">
        <f>SUM(F1632:F1632)</f>
        <v>48269</v>
      </c>
      <c r="G1631" s="37">
        <f>SUM(G1632:G1632)</f>
        <v>49380</v>
      </c>
      <c r="H1631" s="37">
        <f>SUM(H1632:H1632)</f>
        <v>49380</v>
      </c>
      <c r="I1631" s="37"/>
      <c r="J1631" s="37">
        <f aca="true" t="shared" si="192" ref="J1631:P1631">SUM(J1632:J1633)</f>
        <v>49380</v>
      </c>
      <c r="K1631" s="37">
        <f t="shared" si="192"/>
        <v>51380</v>
      </c>
      <c r="L1631" s="37">
        <f t="shared" si="192"/>
        <v>49380</v>
      </c>
      <c r="M1631" s="37">
        <f t="shared" si="192"/>
        <v>64450</v>
      </c>
      <c r="N1631" s="37">
        <v>57850</v>
      </c>
      <c r="O1631" s="37">
        <v>57850</v>
      </c>
      <c r="P1631" s="37">
        <f t="shared" si="192"/>
        <v>23489</v>
      </c>
      <c r="Q1631" s="186">
        <f t="shared" si="190"/>
        <v>0.40603284356093344</v>
      </c>
      <c r="R1631" s="37">
        <f>SUM(R1632:R1633)</f>
        <v>57850</v>
      </c>
      <c r="S1631" s="37">
        <f>SUM(S1632:S1633)</f>
        <v>64000</v>
      </c>
      <c r="T1631" s="37">
        <v>76000</v>
      </c>
      <c r="U1631" s="37">
        <f>SUM(U1632:U1633)</f>
        <v>0</v>
      </c>
      <c r="V1631" s="37">
        <f>SUM(V1632:V1633)</f>
        <v>0</v>
      </c>
      <c r="W1631" s="32">
        <f t="shared" si="176"/>
        <v>76000</v>
      </c>
    </row>
    <row r="1632" spans="1:23" ht="60">
      <c r="A1632" s="25"/>
      <c r="B1632" s="25"/>
      <c r="C1632" s="26">
        <v>2310</v>
      </c>
      <c r="D1632" s="27" t="s">
        <v>254</v>
      </c>
      <c r="E1632" s="11">
        <v>48269</v>
      </c>
      <c r="F1632" s="11">
        <v>48269</v>
      </c>
      <c r="G1632" s="12">
        <v>49380</v>
      </c>
      <c r="H1632" s="12">
        <v>49380</v>
      </c>
      <c r="I1632" s="12"/>
      <c r="J1632" s="12">
        <v>49380</v>
      </c>
      <c r="K1632" s="12">
        <v>49380</v>
      </c>
      <c r="L1632" s="12">
        <v>49380</v>
      </c>
      <c r="M1632" s="12">
        <v>64450</v>
      </c>
      <c r="N1632" s="12">
        <v>55850</v>
      </c>
      <c r="O1632" s="12">
        <v>55850</v>
      </c>
      <c r="P1632" s="12">
        <v>23270</v>
      </c>
      <c r="Q1632" s="186">
        <f t="shared" si="190"/>
        <v>0.41665174574753805</v>
      </c>
      <c r="R1632" s="12">
        <v>55850</v>
      </c>
      <c r="S1632" s="12">
        <v>64000</v>
      </c>
      <c r="T1632" s="12">
        <v>76000</v>
      </c>
      <c r="U1632" s="12"/>
      <c r="V1632" s="12"/>
      <c r="W1632" s="32">
        <f t="shared" si="176"/>
        <v>76000</v>
      </c>
    </row>
    <row r="1633" spans="1:23" ht="12" hidden="1">
      <c r="A1633" s="25"/>
      <c r="B1633" s="25"/>
      <c r="C1633" s="26">
        <v>4210</v>
      </c>
      <c r="D1633" s="27" t="s">
        <v>34</v>
      </c>
      <c r="E1633" s="11">
        <v>18300</v>
      </c>
      <c r="F1633" s="11">
        <v>16347</v>
      </c>
      <c r="G1633" s="12">
        <v>22840</v>
      </c>
      <c r="H1633" s="12">
        <v>22840</v>
      </c>
      <c r="I1633" s="12"/>
      <c r="J1633" s="12"/>
      <c r="K1633" s="12">
        <v>2000</v>
      </c>
      <c r="L1633" s="12"/>
      <c r="M1633" s="12"/>
      <c r="N1633" s="12">
        <v>2000</v>
      </c>
      <c r="O1633" s="12">
        <v>2000</v>
      </c>
      <c r="P1633" s="12">
        <v>219</v>
      </c>
      <c r="Q1633" s="186">
        <f t="shared" si="190"/>
        <v>0.1095</v>
      </c>
      <c r="R1633" s="12">
        <v>2000</v>
      </c>
      <c r="S1633" s="12" t="s">
        <v>340</v>
      </c>
      <c r="T1633" s="12" t="e">
        <v>#VALUE!</v>
      </c>
      <c r="U1633" s="12" t="s">
        <v>340</v>
      </c>
      <c r="V1633" s="12" t="s">
        <v>340</v>
      </c>
      <c r="W1633" s="32" t="e">
        <f t="shared" si="176"/>
        <v>#VALUE!</v>
      </c>
    </row>
    <row r="1634" spans="1:23" ht="12">
      <c r="A1634" s="33"/>
      <c r="B1634" s="33">
        <v>92195</v>
      </c>
      <c r="C1634" s="36"/>
      <c r="D1634" s="42" t="s">
        <v>98</v>
      </c>
      <c r="E1634" s="35">
        <f>SUM(E1635:E1639)</f>
        <v>28150</v>
      </c>
      <c r="F1634" s="35">
        <f>SUM(F1635:F1639)</f>
        <v>57547</v>
      </c>
      <c r="G1634" s="35">
        <f>SUM(G1635:G1639)</f>
        <v>55430</v>
      </c>
      <c r="H1634" s="35">
        <f>SUM(H1635:H1639)</f>
        <v>55430</v>
      </c>
      <c r="I1634" s="35"/>
      <c r="J1634" s="35">
        <f aca="true" t="shared" si="193" ref="J1634:P1634">SUM(J1635:J1642)</f>
        <v>59000</v>
      </c>
      <c r="K1634" s="35">
        <f t="shared" si="193"/>
        <v>52500</v>
      </c>
      <c r="L1634" s="35">
        <f t="shared" si="193"/>
        <v>0</v>
      </c>
      <c r="M1634" s="35">
        <f t="shared" si="193"/>
        <v>0</v>
      </c>
      <c r="N1634" s="35">
        <v>79000</v>
      </c>
      <c r="O1634" s="35">
        <v>64000</v>
      </c>
      <c r="P1634" s="35">
        <f t="shared" si="193"/>
        <v>20990</v>
      </c>
      <c r="Q1634" s="186">
        <f t="shared" si="190"/>
        <v>0.32796875</v>
      </c>
      <c r="R1634" s="35">
        <f>SUM(R1635:R1642)</f>
        <v>64000</v>
      </c>
      <c r="S1634" s="35">
        <f>SUM(S1635:S1642)</f>
        <v>85300</v>
      </c>
      <c r="T1634" s="35">
        <v>78800</v>
      </c>
      <c r="U1634" s="35">
        <f>SUM(U1635:U1642)</f>
        <v>0</v>
      </c>
      <c r="V1634" s="35">
        <f>SUM(V1635:V1642)</f>
        <v>0</v>
      </c>
      <c r="W1634" s="32">
        <f t="shared" si="176"/>
        <v>78800</v>
      </c>
    </row>
    <row r="1635" spans="1:23" ht="45.75" customHeight="1">
      <c r="A1635" s="25"/>
      <c r="B1635" s="25"/>
      <c r="C1635" s="26">
        <v>2810</v>
      </c>
      <c r="D1635" s="27" t="s">
        <v>255</v>
      </c>
      <c r="E1635" s="55"/>
      <c r="F1635" s="55">
        <v>8000</v>
      </c>
      <c r="G1635" s="56">
        <v>8000</v>
      </c>
      <c r="H1635" s="56">
        <v>8000</v>
      </c>
      <c r="I1635" s="56"/>
      <c r="J1635" s="56">
        <v>8000</v>
      </c>
      <c r="K1635" s="56">
        <v>0</v>
      </c>
      <c r="L1635" s="56"/>
      <c r="M1635" s="56"/>
      <c r="N1635" s="56">
        <v>0</v>
      </c>
      <c r="O1635" s="56">
        <v>0</v>
      </c>
      <c r="P1635" s="56"/>
      <c r="Q1635" s="186"/>
      <c r="R1635" s="56"/>
      <c r="S1635" s="56"/>
      <c r="T1635" s="56">
        <v>1800</v>
      </c>
      <c r="U1635" s="56"/>
      <c r="V1635" s="56"/>
      <c r="W1635" s="32">
        <f t="shared" si="176"/>
        <v>1800</v>
      </c>
    </row>
    <row r="1636" spans="1:23" ht="48">
      <c r="A1636" s="25"/>
      <c r="B1636" s="25"/>
      <c r="C1636" s="26">
        <v>2820</v>
      </c>
      <c r="D1636" s="27" t="s">
        <v>252</v>
      </c>
      <c r="E1636" s="55"/>
      <c r="F1636" s="55">
        <v>15000</v>
      </c>
      <c r="G1636" s="56">
        <v>15000</v>
      </c>
      <c r="H1636" s="56">
        <v>15000</v>
      </c>
      <c r="I1636" s="56"/>
      <c r="J1636" s="56">
        <v>12000</v>
      </c>
      <c r="K1636" s="56">
        <v>13500</v>
      </c>
      <c r="L1636" s="56"/>
      <c r="M1636" s="56"/>
      <c r="N1636" s="56">
        <v>14000</v>
      </c>
      <c r="O1636" s="56">
        <v>9000</v>
      </c>
      <c r="P1636" s="56">
        <v>6000</v>
      </c>
      <c r="Q1636" s="186">
        <f>P1636/O1636</f>
        <v>0.6666666666666666</v>
      </c>
      <c r="R1636" s="56">
        <v>9000</v>
      </c>
      <c r="S1636" s="56">
        <v>9000</v>
      </c>
      <c r="T1636" s="56">
        <v>7000</v>
      </c>
      <c r="U1636" s="56">
        <f>U1646</f>
        <v>0</v>
      </c>
      <c r="V1636" s="56">
        <f>V1646</f>
        <v>0</v>
      </c>
      <c r="W1636" s="32">
        <f t="shared" si="176"/>
        <v>7000</v>
      </c>
    </row>
    <row r="1637" spans="1:23" ht="12">
      <c r="A1637" s="25"/>
      <c r="B1637" s="25"/>
      <c r="C1637" s="26">
        <v>4170</v>
      </c>
      <c r="D1637" s="27" t="s">
        <v>210</v>
      </c>
      <c r="E1637" s="55"/>
      <c r="F1637" s="55"/>
      <c r="G1637" s="56"/>
      <c r="H1637" s="56"/>
      <c r="I1637" s="56"/>
      <c r="J1637" s="56"/>
      <c r="K1637" s="56"/>
      <c r="L1637" s="56"/>
      <c r="M1637" s="56"/>
      <c r="N1637" s="56"/>
      <c r="O1637" s="56"/>
      <c r="P1637" s="56"/>
      <c r="Q1637" s="186"/>
      <c r="R1637" s="56"/>
      <c r="S1637" s="56"/>
      <c r="T1637" s="56">
        <v>1600</v>
      </c>
      <c r="U1637" s="56">
        <f>U1645</f>
        <v>0</v>
      </c>
      <c r="V1637" s="56">
        <f>V1645</f>
        <v>0</v>
      </c>
      <c r="W1637" s="32">
        <f>T1637+U1637-V1637</f>
        <v>1600</v>
      </c>
    </row>
    <row r="1638" spans="1:23" ht="12">
      <c r="A1638" s="25"/>
      <c r="B1638" s="25"/>
      <c r="C1638" s="26">
        <v>4210</v>
      </c>
      <c r="D1638" s="27" t="s">
        <v>34</v>
      </c>
      <c r="E1638" s="11">
        <v>18300</v>
      </c>
      <c r="F1638" s="11">
        <v>16347</v>
      </c>
      <c r="G1638" s="12">
        <v>22840</v>
      </c>
      <c r="H1638" s="12">
        <v>22840</v>
      </c>
      <c r="I1638" s="12"/>
      <c r="J1638" s="12">
        <v>20000</v>
      </c>
      <c r="K1638" s="12">
        <v>19050</v>
      </c>
      <c r="L1638" s="12"/>
      <c r="M1638" s="12"/>
      <c r="N1638" s="12">
        <v>35000</v>
      </c>
      <c r="O1638" s="12">
        <v>35000</v>
      </c>
      <c r="P1638" s="12">
        <v>11294</v>
      </c>
      <c r="Q1638" s="186">
        <f>P1638/O1638</f>
        <v>0.3226857142857143</v>
      </c>
      <c r="R1638" s="12">
        <v>35000</v>
      </c>
      <c r="S1638" s="12">
        <f>35000+5400+1000</f>
        <v>41400</v>
      </c>
      <c r="T1638" s="12">
        <v>33600</v>
      </c>
      <c r="U1638" s="56"/>
      <c r="V1638" s="56">
        <f>V1647</f>
        <v>0</v>
      </c>
      <c r="W1638" s="32">
        <f t="shared" si="176"/>
        <v>33600</v>
      </c>
    </row>
    <row r="1639" spans="1:23" ht="12">
      <c r="A1639" s="25"/>
      <c r="B1639" s="25"/>
      <c r="C1639" s="26">
        <v>4300</v>
      </c>
      <c r="D1639" s="27" t="s">
        <v>81</v>
      </c>
      <c r="E1639" s="11">
        <v>9850</v>
      </c>
      <c r="F1639" s="11">
        <v>18200</v>
      </c>
      <c r="G1639" s="12">
        <v>9590</v>
      </c>
      <c r="H1639" s="12">
        <v>9590</v>
      </c>
      <c r="I1639" s="12"/>
      <c r="J1639" s="12">
        <v>19000</v>
      </c>
      <c r="K1639" s="12">
        <v>19700</v>
      </c>
      <c r="L1639" s="12"/>
      <c r="M1639" s="12"/>
      <c r="N1639" s="12">
        <v>30000</v>
      </c>
      <c r="O1639" s="12">
        <v>20000</v>
      </c>
      <c r="P1639" s="12">
        <v>3696</v>
      </c>
      <c r="Q1639" s="186">
        <f>P1639/O1639</f>
        <v>0.1848</v>
      </c>
      <c r="R1639" s="12">
        <v>20000</v>
      </c>
      <c r="S1639" s="12">
        <v>33500</v>
      </c>
      <c r="T1639" s="12">
        <v>34800</v>
      </c>
      <c r="U1639" s="56">
        <f>U1648</f>
        <v>0</v>
      </c>
      <c r="V1639" s="56">
        <f>V1648</f>
        <v>0</v>
      </c>
      <c r="W1639" s="32">
        <f t="shared" si="176"/>
        <v>34800</v>
      </c>
    </row>
    <row r="1640" spans="1:23" ht="46.5" customHeight="1" hidden="1">
      <c r="A1640" s="25"/>
      <c r="B1640" s="25"/>
      <c r="C1640" s="26">
        <v>4740</v>
      </c>
      <c r="D1640" s="27" t="s">
        <v>73</v>
      </c>
      <c r="E1640" s="11">
        <v>1530</v>
      </c>
      <c r="F1640" s="11">
        <v>1030</v>
      </c>
      <c r="G1640" s="12">
        <v>1054</v>
      </c>
      <c r="H1640" s="12">
        <v>1050</v>
      </c>
      <c r="I1640" s="12"/>
      <c r="J1640" s="12"/>
      <c r="K1640" s="12">
        <v>50</v>
      </c>
      <c r="L1640" s="12"/>
      <c r="M1640" s="12"/>
      <c r="N1640" s="12">
        <v>0</v>
      </c>
      <c r="O1640" s="12">
        <v>0</v>
      </c>
      <c r="P1640" s="12"/>
      <c r="Q1640" s="186"/>
      <c r="R1640" s="12"/>
      <c r="S1640" s="12"/>
      <c r="T1640" s="12">
        <v>0</v>
      </c>
      <c r="U1640" s="12"/>
      <c r="V1640" s="12"/>
      <c r="W1640" s="32">
        <f t="shared" si="176"/>
        <v>0</v>
      </c>
    </row>
    <row r="1641" spans="1:23" ht="41.25" customHeight="1" hidden="1">
      <c r="A1641" s="25"/>
      <c r="B1641" s="25"/>
      <c r="C1641" s="26">
        <v>4170</v>
      </c>
      <c r="D1641" s="27" t="s">
        <v>69</v>
      </c>
      <c r="E1641" s="11"/>
      <c r="F1641" s="11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86"/>
      <c r="R1641" s="12"/>
      <c r="S1641" s="12">
        <v>1400</v>
      </c>
      <c r="T1641" s="12">
        <v>0</v>
      </c>
      <c r="U1641" s="12"/>
      <c r="V1641" s="12"/>
      <c r="W1641" s="32">
        <f t="shared" si="176"/>
        <v>0</v>
      </c>
    </row>
    <row r="1642" spans="1:23" ht="36" customHeight="1" hidden="1">
      <c r="A1642" s="25"/>
      <c r="B1642" s="25"/>
      <c r="C1642" s="26">
        <v>4750</v>
      </c>
      <c r="D1642" s="27" t="s">
        <v>118</v>
      </c>
      <c r="E1642" s="11">
        <v>820</v>
      </c>
      <c r="F1642" s="11">
        <v>1320</v>
      </c>
      <c r="G1642" s="12">
        <v>1850</v>
      </c>
      <c r="H1642" s="12">
        <v>1350</v>
      </c>
      <c r="I1642" s="12"/>
      <c r="J1642" s="12"/>
      <c r="K1642" s="12">
        <v>200</v>
      </c>
      <c r="L1642" s="12"/>
      <c r="M1642" s="12"/>
      <c r="N1642" s="12">
        <v>0</v>
      </c>
      <c r="O1642" s="12">
        <v>0</v>
      </c>
      <c r="P1642" s="12"/>
      <c r="Q1642" s="186"/>
      <c r="R1642" s="12"/>
      <c r="S1642" s="12"/>
      <c r="T1642" s="12">
        <v>0</v>
      </c>
      <c r="U1642" s="12"/>
      <c r="V1642" s="12"/>
      <c r="W1642" s="32">
        <f t="shared" si="176"/>
        <v>0</v>
      </c>
    </row>
    <row r="1643" spans="1:23" ht="24">
      <c r="A1643" s="25"/>
      <c r="B1643" s="25"/>
      <c r="C1643" s="27" t="s">
        <v>58</v>
      </c>
      <c r="D1643" s="42" t="s">
        <v>256</v>
      </c>
      <c r="E1643" s="11">
        <f>SUM(E1644:E1648)</f>
        <v>21000</v>
      </c>
      <c r="F1643" s="11">
        <f>SUM(F1644:F1648)</f>
        <v>44000</v>
      </c>
      <c r="G1643" s="12">
        <f>SUM(G1644:G1648)</f>
        <v>44490</v>
      </c>
      <c r="H1643" s="12">
        <f>SUM(H1644:H1648)</f>
        <v>44490</v>
      </c>
      <c r="I1643" s="12"/>
      <c r="J1643" s="12">
        <f aca="true" t="shared" si="194" ref="J1643:P1643">SUM(J1644:J1648)</f>
        <v>48000</v>
      </c>
      <c r="K1643" s="12">
        <f t="shared" si="194"/>
        <v>39500</v>
      </c>
      <c r="L1643" s="12">
        <f t="shared" si="194"/>
        <v>0</v>
      </c>
      <c r="M1643" s="12">
        <f t="shared" si="194"/>
        <v>0</v>
      </c>
      <c r="N1643" s="12">
        <v>69000</v>
      </c>
      <c r="O1643" s="12">
        <v>64000</v>
      </c>
      <c r="P1643" s="12">
        <f t="shared" si="194"/>
        <v>20990</v>
      </c>
      <c r="Q1643" s="186">
        <f>P1643/O1643</f>
        <v>0.32796875</v>
      </c>
      <c r="R1643" s="37">
        <f>SUM(R1644:R1648)</f>
        <v>64000</v>
      </c>
      <c r="S1643" s="37">
        <f>SUM(S1644:S1648)</f>
        <v>64000</v>
      </c>
      <c r="T1643" s="37">
        <v>78800</v>
      </c>
      <c r="U1643" s="37">
        <f>SUM(U1644:U1648)</f>
        <v>0</v>
      </c>
      <c r="V1643" s="37">
        <f>SUM(V1644:V1648)</f>
        <v>0</v>
      </c>
      <c r="W1643" s="32">
        <f t="shared" si="176"/>
        <v>78800</v>
      </c>
    </row>
    <row r="1644" spans="1:23" ht="46.5" customHeight="1">
      <c r="A1644" s="25"/>
      <c r="B1644" s="25"/>
      <c r="C1644" s="26">
        <v>2810</v>
      </c>
      <c r="D1644" s="27" t="s">
        <v>255</v>
      </c>
      <c r="E1644" s="55"/>
      <c r="F1644" s="55">
        <v>8000</v>
      </c>
      <c r="G1644" s="56">
        <v>8000</v>
      </c>
      <c r="H1644" s="56">
        <v>8000</v>
      </c>
      <c r="I1644" s="56"/>
      <c r="J1644" s="56">
        <v>8000</v>
      </c>
      <c r="K1644" s="56">
        <v>0</v>
      </c>
      <c r="L1644" s="56"/>
      <c r="M1644" s="56"/>
      <c r="N1644" s="56">
        <v>0</v>
      </c>
      <c r="O1644" s="56">
        <v>0</v>
      </c>
      <c r="P1644" s="56"/>
      <c r="Q1644" s="186"/>
      <c r="R1644" s="56"/>
      <c r="S1644" s="56"/>
      <c r="T1644" s="56">
        <v>1800</v>
      </c>
      <c r="U1644" s="56"/>
      <c r="V1644" s="56"/>
      <c r="W1644" s="32">
        <f t="shared" si="176"/>
        <v>1800</v>
      </c>
    </row>
    <row r="1645" spans="1:23" ht="12">
      <c r="A1645" s="25"/>
      <c r="B1645" s="25"/>
      <c r="C1645" s="26">
        <v>4170</v>
      </c>
      <c r="D1645" s="27" t="s">
        <v>210</v>
      </c>
      <c r="E1645" s="55"/>
      <c r="F1645" s="55"/>
      <c r="G1645" s="56"/>
      <c r="H1645" s="56"/>
      <c r="I1645" s="56"/>
      <c r="J1645" s="56"/>
      <c r="K1645" s="56"/>
      <c r="L1645" s="56"/>
      <c r="M1645" s="56"/>
      <c r="N1645" s="56"/>
      <c r="O1645" s="56"/>
      <c r="P1645" s="56"/>
      <c r="Q1645" s="186"/>
      <c r="R1645" s="56"/>
      <c r="S1645" s="56"/>
      <c r="T1645" s="56">
        <v>1600</v>
      </c>
      <c r="U1645" s="56"/>
      <c r="V1645" s="56"/>
      <c r="W1645" s="32">
        <f t="shared" si="176"/>
        <v>1600</v>
      </c>
    </row>
    <row r="1646" spans="1:23" ht="48">
      <c r="A1646" s="25"/>
      <c r="B1646" s="25"/>
      <c r="C1646" s="26">
        <v>2820</v>
      </c>
      <c r="D1646" s="27" t="s">
        <v>257</v>
      </c>
      <c r="E1646" s="55"/>
      <c r="F1646" s="55">
        <v>15000</v>
      </c>
      <c r="G1646" s="56">
        <v>15000</v>
      </c>
      <c r="H1646" s="56">
        <v>15000</v>
      </c>
      <c r="I1646" s="56"/>
      <c r="J1646" s="56">
        <v>12000</v>
      </c>
      <c r="K1646" s="56">
        <v>13500</v>
      </c>
      <c r="L1646" s="56"/>
      <c r="M1646" s="56"/>
      <c r="N1646" s="56">
        <v>14000</v>
      </c>
      <c r="O1646" s="56">
        <v>9000</v>
      </c>
      <c r="P1646" s="56">
        <v>6000</v>
      </c>
      <c r="Q1646" s="186">
        <f>P1646/O1646</f>
        <v>0.6666666666666666</v>
      </c>
      <c r="R1646" s="56">
        <v>9000</v>
      </c>
      <c r="S1646" s="56">
        <v>9000</v>
      </c>
      <c r="T1646" s="56">
        <v>7000</v>
      </c>
      <c r="U1646" s="56"/>
      <c r="V1646" s="56"/>
      <c r="W1646" s="32">
        <f t="shared" si="176"/>
        <v>7000</v>
      </c>
    </row>
    <row r="1647" spans="1:23" ht="12">
      <c r="A1647" s="25"/>
      <c r="B1647" s="25"/>
      <c r="C1647" s="26">
        <v>4210</v>
      </c>
      <c r="D1647" s="27" t="s">
        <v>34</v>
      </c>
      <c r="E1647" s="11">
        <v>12800</v>
      </c>
      <c r="F1647" s="11">
        <v>12800</v>
      </c>
      <c r="G1647" s="12">
        <v>13100</v>
      </c>
      <c r="H1647" s="12">
        <v>13100</v>
      </c>
      <c r="I1647" s="12"/>
      <c r="J1647" s="12">
        <v>19000</v>
      </c>
      <c r="K1647" s="12">
        <v>17000</v>
      </c>
      <c r="L1647" s="12"/>
      <c r="M1647" s="12"/>
      <c r="N1647" s="12">
        <v>35000</v>
      </c>
      <c r="O1647" s="12">
        <v>35000</v>
      </c>
      <c r="P1647" s="12">
        <v>11294</v>
      </c>
      <c r="Q1647" s="186">
        <f>P1647/O1647</f>
        <v>0.3226857142857143</v>
      </c>
      <c r="R1647" s="12">
        <v>35000</v>
      </c>
      <c r="S1647" s="12">
        <v>35000</v>
      </c>
      <c r="T1647" s="12">
        <v>33600</v>
      </c>
      <c r="U1647" s="12"/>
      <c r="V1647" s="12"/>
      <c r="W1647" s="32">
        <f t="shared" si="176"/>
        <v>33600</v>
      </c>
    </row>
    <row r="1648" spans="1:23" ht="12">
      <c r="A1648" s="25"/>
      <c r="B1648" s="25"/>
      <c r="C1648" s="26">
        <v>4300</v>
      </c>
      <c r="D1648" s="27" t="s">
        <v>81</v>
      </c>
      <c r="E1648" s="11">
        <v>8200</v>
      </c>
      <c r="F1648" s="11">
        <v>8200</v>
      </c>
      <c r="G1648" s="12">
        <v>8390</v>
      </c>
      <c r="H1648" s="12">
        <v>8390</v>
      </c>
      <c r="I1648" s="12"/>
      <c r="J1648" s="12">
        <v>9000</v>
      </c>
      <c r="K1648" s="12">
        <v>9000</v>
      </c>
      <c r="L1648" s="12"/>
      <c r="M1648" s="12"/>
      <c r="N1648" s="12">
        <v>20000</v>
      </c>
      <c r="O1648" s="12">
        <v>20000</v>
      </c>
      <c r="P1648" s="12">
        <v>3696</v>
      </c>
      <c r="Q1648" s="186">
        <f>P1648/O1648</f>
        <v>0.1848</v>
      </c>
      <c r="R1648" s="12">
        <v>20000</v>
      </c>
      <c r="S1648" s="12">
        <v>20000</v>
      </c>
      <c r="T1648" s="12">
        <v>34800</v>
      </c>
      <c r="U1648" s="12"/>
      <c r="V1648" s="12"/>
      <c r="W1648" s="32">
        <f t="shared" si="176"/>
        <v>34800</v>
      </c>
    </row>
    <row r="1649" spans="1:23" ht="12">
      <c r="A1649" s="25"/>
      <c r="B1649" s="25"/>
      <c r="C1649" s="26"/>
      <c r="D1649" s="42" t="s">
        <v>328</v>
      </c>
      <c r="E1649" s="11"/>
      <c r="F1649" s="11"/>
      <c r="G1649" s="12"/>
      <c r="H1649" s="12"/>
      <c r="I1649" s="12"/>
      <c r="J1649" s="12"/>
      <c r="K1649" s="12"/>
      <c r="L1649" s="12"/>
      <c r="M1649" s="12"/>
      <c r="N1649" s="12">
        <v>10000</v>
      </c>
      <c r="O1649" s="12"/>
      <c r="P1649" s="12"/>
      <c r="Q1649" s="186"/>
      <c r="R1649" s="12">
        <v>0</v>
      </c>
      <c r="S1649" s="37">
        <v>10000</v>
      </c>
      <c r="T1649" s="37">
        <v>0</v>
      </c>
      <c r="U1649" s="37">
        <f>SUM(U1650:U1651)</f>
        <v>0</v>
      </c>
      <c r="V1649" s="37">
        <f>SUM(V1650:V1651)</f>
        <v>0</v>
      </c>
      <c r="W1649" s="32">
        <f t="shared" si="176"/>
        <v>0</v>
      </c>
    </row>
    <row r="1650" spans="1:23" ht="12">
      <c r="A1650" s="25"/>
      <c r="B1650" s="25"/>
      <c r="C1650" s="26">
        <v>4210</v>
      </c>
      <c r="D1650" s="27" t="s">
        <v>34</v>
      </c>
      <c r="E1650" s="11"/>
      <c r="F1650" s="11"/>
      <c r="G1650" s="12"/>
      <c r="H1650" s="12"/>
      <c r="I1650" s="12"/>
      <c r="J1650" s="12"/>
      <c r="K1650" s="12"/>
      <c r="L1650" s="12"/>
      <c r="M1650" s="12"/>
      <c r="N1650" s="12">
        <v>0</v>
      </c>
      <c r="O1650" s="12">
        <v>0</v>
      </c>
      <c r="P1650" s="12">
        <v>0</v>
      </c>
      <c r="Q1650" s="186">
        <v>0</v>
      </c>
      <c r="R1650" s="12">
        <v>0</v>
      </c>
      <c r="S1650" s="12">
        <v>3000</v>
      </c>
      <c r="T1650" s="12">
        <v>0</v>
      </c>
      <c r="U1650" s="12"/>
      <c r="V1650" s="12"/>
      <c r="W1650" s="32">
        <f>T1650+U1650-V1650</f>
        <v>0</v>
      </c>
    </row>
    <row r="1651" spans="1:23" ht="12">
      <c r="A1651" s="25"/>
      <c r="B1651" s="25"/>
      <c r="C1651" s="26">
        <v>4300</v>
      </c>
      <c r="D1651" s="27" t="s">
        <v>81</v>
      </c>
      <c r="E1651" s="11"/>
      <c r="F1651" s="11"/>
      <c r="G1651" s="12"/>
      <c r="H1651" s="12"/>
      <c r="I1651" s="12"/>
      <c r="J1651" s="12"/>
      <c r="K1651" s="12"/>
      <c r="L1651" s="12"/>
      <c r="M1651" s="12"/>
      <c r="N1651" s="12">
        <v>10000</v>
      </c>
      <c r="O1651" s="12"/>
      <c r="P1651" s="12"/>
      <c r="Q1651" s="186"/>
      <c r="R1651" s="12">
        <v>0</v>
      </c>
      <c r="S1651" s="12">
        <v>10000</v>
      </c>
      <c r="T1651" s="12">
        <v>0</v>
      </c>
      <c r="U1651" s="12"/>
      <c r="V1651" s="12"/>
      <c r="W1651" s="32">
        <f t="shared" si="176"/>
        <v>0</v>
      </c>
    </row>
    <row r="1652" spans="1:23" ht="48" hidden="1">
      <c r="A1652" s="25"/>
      <c r="B1652" s="25"/>
      <c r="C1652" s="26"/>
      <c r="D1652" s="42" t="s">
        <v>336</v>
      </c>
      <c r="E1652" s="11"/>
      <c r="F1652" s="11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86"/>
      <c r="R1652" s="12"/>
      <c r="S1652" s="37">
        <v>3000</v>
      </c>
      <c r="T1652" s="37">
        <v>0</v>
      </c>
      <c r="U1652" s="37">
        <v>0</v>
      </c>
      <c r="V1652" s="37">
        <v>0</v>
      </c>
      <c r="W1652" s="32">
        <f t="shared" si="176"/>
        <v>0</v>
      </c>
    </row>
    <row r="1653" spans="1:23" ht="12" hidden="1">
      <c r="A1653" s="25"/>
      <c r="B1653" s="25"/>
      <c r="C1653" s="26">
        <v>4210</v>
      </c>
      <c r="D1653" s="27" t="s">
        <v>34</v>
      </c>
      <c r="E1653" s="11"/>
      <c r="F1653" s="11"/>
      <c r="G1653" s="12"/>
      <c r="H1653" s="12"/>
      <c r="I1653" s="12"/>
      <c r="J1653" s="12"/>
      <c r="K1653" s="12"/>
      <c r="L1653" s="12"/>
      <c r="M1653" s="12"/>
      <c r="N1653" s="12">
        <v>0</v>
      </c>
      <c r="O1653" s="12">
        <v>0</v>
      </c>
      <c r="P1653" s="12">
        <v>0</v>
      </c>
      <c r="Q1653" s="186">
        <v>0</v>
      </c>
      <c r="R1653" s="12">
        <v>0</v>
      </c>
      <c r="S1653" s="12">
        <v>3000</v>
      </c>
      <c r="T1653" s="12">
        <v>0</v>
      </c>
      <c r="U1653" s="12"/>
      <c r="V1653" s="12"/>
      <c r="W1653" s="32">
        <f t="shared" si="176"/>
        <v>0</v>
      </c>
    </row>
    <row r="1654" spans="1:23" ht="24" hidden="1">
      <c r="A1654" s="25"/>
      <c r="B1654" s="25"/>
      <c r="C1654" s="26"/>
      <c r="D1654" s="42" t="s">
        <v>337</v>
      </c>
      <c r="E1654" s="11"/>
      <c r="F1654" s="11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86"/>
      <c r="R1654" s="12">
        <v>0</v>
      </c>
      <c r="S1654" s="37">
        <v>7300</v>
      </c>
      <c r="T1654" s="37">
        <v>0</v>
      </c>
      <c r="U1654" s="37">
        <v>0</v>
      </c>
      <c r="V1654" s="37">
        <v>0</v>
      </c>
      <c r="W1654" s="32">
        <f t="shared" si="176"/>
        <v>0</v>
      </c>
    </row>
    <row r="1655" spans="1:23" ht="12" hidden="1">
      <c r="A1655" s="25"/>
      <c r="B1655" s="25"/>
      <c r="C1655" s="26">
        <v>4170</v>
      </c>
      <c r="D1655" s="27" t="s">
        <v>69</v>
      </c>
      <c r="E1655" s="11"/>
      <c r="F1655" s="11"/>
      <c r="G1655" s="12"/>
      <c r="H1655" s="12"/>
      <c r="I1655" s="12"/>
      <c r="J1655" s="12"/>
      <c r="K1655" s="12"/>
      <c r="L1655" s="12"/>
      <c r="M1655" s="12"/>
      <c r="N1655" s="12">
        <v>0</v>
      </c>
      <c r="O1655" s="12">
        <v>0</v>
      </c>
      <c r="P1655" s="12">
        <v>0</v>
      </c>
      <c r="Q1655" s="186">
        <v>0</v>
      </c>
      <c r="R1655" s="12">
        <v>0</v>
      </c>
      <c r="S1655" s="12">
        <v>1400</v>
      </c>
      <c r="T1655" s="12">
        <v>0</v>
      </c>
      <c r="U1655" s="12"/>
      <c r="V1655" s="12"/>
      <c r="W1655" s="32">
        <f t="shared" si="176"/>
        <v>0</v>
      </c>
    </row>
    <row r="1656" spans="1:23" ht="12" hidden="1">
      <c r="A1656" s="25"/>
      <c r="B1656" s="25"/>
      <c r="C1656" s="26">
        <v>4210</v>
      </c>
      <c r="D1656" s="27" t="s">
        <v>34</v>
      </c>
      <c r="E1656" s="11"/>
      <c r="F1656" s="11"/>
      <c r="G1656" s="12"/>
      <c r="H1656" s="12"/>
      <c r="I1656" s="12"/>
      <c r="J1656" s="12"/>
      <c r="K1656" s="12"/>
      <c r="L1656" s="12"/>
      <c r="M1656" s="12"/>
      <c r="N1656" s="12">
        <v>0</v>
      </c>
      <c r="O1656" s="12">
        <v>0</v>
      </c>
      <c r="P1656" s="12">
        <v>0</v>
      </c>
      <c r="Q1656" s="186">
        <v>0</v>
      </c>
      <c r="R1656" s="12">
        <v>0</v>
      </c>
      <c r="S1656" s="12">
        <v>2400</v>
      </c>
      <c r="T1656" s="12">
        <v>0</v>
      </c>
      <c r="U1656" s="12"/>
      <c r="V1656" s="12"/>
      <c r="W1656" s="32">
        <f t="shared" si="176"/>
        <v>0</v>
      </c>
    </row>
    <row r="1657" spans="1:23" ht="12" hidden="1">
      <c r="A1657" s="25"/>
      <c r="B1657" s="25"/>
      <c r="C1657" s="26">
        <v>4300</v>
      </c>
      <c r="D1657" s="27" t="s">
        <v>81</v>
      </c>
      <c r="E1657" s="11"/>
      <c r="F1657" s="11"/>
      <c r="G1657" s="12"/>
      <c r="H1657" s="12"/>
      <c r="I1657" s="12"/>
      <c r="J1657" s="12"/>
      <c r="K1657" s="12"/>
      <c r="L1657" s="12"/>
      <c r="M1657" s="12"/>
      <c r="N1657" s="12">
        <v>0</v>
      </c>
      <c r="O1657" s="12">
        <v>0</v>
      </c>
      <c r="P1657" s="12">
        <v>0</v>
      </c>
      <c r="Q1657" s="186">
        <v>0</v>
      </c>
      <c r="R1657" s="12">
        <v>0</v>
      </c>
      <c r="S1657" s="12">
        <v>3500</v>
      </c>
      <c r="T1657" s="12">
        <v>0</v>
      </c>
      <c r="U1657" s="12"/>
      <c r="V1657" s="12"/>
      <c r="W1657" s="32">
        <f t="shared" si="176"/>
        <v>0</v>
      </c>
    </row>
    <row r="1658" spans="1:23" ht="36" hidden="1">
      <c r="A1658" s="25"/>
      <c r="B1658" s="25"/>
      <c r="C1658" s="26"/>
      <c r="D1658" s="42" t="s">
        <v>338</v>
      </c>
      <c r="E1658" s="11"/>
      <c r="F1658" s="11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86"/>
      <c r="R1658" s="37">
        <v>4500</v>
      </c>
      <c r="S1658" s="37">
        <v>1000</v>
      </c>
      <c r="T1658" s="37">
        <v>0</v>
      </c>
      <c r="U1658" s="37">
        <v>0</v>
      </c>
      <c r="V1658" s="37">
        <v>0</v>
      </c>
      <c r="W1658" s="32">
        <f t="shared" si="176"/>
        <v>0</v>
      </c>
    </row>
    <row r="1659" spans="1:23" ht="12" hidden="1">
      <c r="A1659" s="25"/>
      <c r="B1659" s="25"/>
      <c r="C1659" s="26">
        <v>4210</v>
      </c>
      <c r="D1659" s="27" t="s">
        <v>34</v>
      </c>
      <c r="E1659" s="11"/>
      <c r="F1659" s="11"/>
      <c r="G1659" s="12"/>
      <c r="H1659" s="12"/>
      <c r="I1659" s="12"/>
      <c r="J1659" s="12"/>
      <c r="K1659" s="12"/>
      <c r="L1659" s="12"/>
      <c r="M1659" s="12"/>
      <c r="N1659" s="12">
        <v>0</v>
      </c>
      <c r="O1659" s="12">
        <v>0</v>
      </c>
      <c r="P1659" s="12">
        <v>0</v>
      </c>
      <c r="Q1659" s="186">
        <v>0</v>
      </c>
      <c r="R1659" s="12">
        <v>4500</v>
      </c>
      <c r="S1659" s="12">
        <v>1000</v>
      </c>
      <c r="T1659" s="12">
        <v>0</v>
      </c>
      <c r="U1659" s="12"/>
      <c r="V1659" s="12"/>
      <c r="W1659" s="32">
        <f t="shared" si="176"/>
        <v>0</v>
      </c>
    </row>
    <row r="1660" spans="1:23" ht="12">
      <c r="A1660" s="8">
        <v>926</v>
      </c>
      <c r="B1660" s="8"/>
      <c r="C1660" s="29"/>
      <c r="D1660" s="43" t="s">
        <v>259</v>
      </c>
      <c r="E1660" s="31">
        <f>SUM(E1661:E1661)</f>
        <v>26410</v>
      </c>
      <c r="F1660" s="31">
        <f>SUM(F1661:F1661)</f>
        <v>94380</v>
      </c>
      <c r="G1660" s="32">
        <f>SUM(G1661:G1661)</f>
        <v>95900</v>
      </c>
      <c r="H1660" s="32">
        <f>SUM(H1661:H1661)</f>
        <v>95900</v>
      </c>
      <c r="I1660" s="32"/>
      <c r="J1660" s="32">
        <f aca="true" t="shared" si="195" ref="J1660:S1660">SUM(J1661:J1661)</f>
        <v>89849</v>
      </c>
      <c r="K1660" s="32">
        <f t="shared" si="195"/>
        <v>109849</v>
      </c>
      <c r="L1660" s="32">
        <f t="shared" si="195"/>
        <v>0</v>
      </c>
      <c r="M1660" s="32">
        <f t="shared" si="195"/>
        <v>0</v>
      </c>
      <c r="N1660" s="32">
        <v>138000</v>
      </c>
      <c r="O1660" s="32">
        <v>138000</v>
      </c>
      <c r="P1660" s="32">
        <f t="shared" si="195"/>
        <v>72722</v>
      </c>
      <c r="Q1660" s="186">
        <f aca="true" t="shared" si="196" ref="Q1660:Q1666">P1660/O1660</f>
        <v>0.5269710144927536</v>
      </c>
      <c r="R1660" s="32">
        <f t="shared" si="195"/>
        <v>138000</v>
      </c>
      <c r="S1660" s="32">
        <f t="shared" si="195"/>
        <v>138000</v>
      </c>
      <c r="T1660" s="32">
        <v>138000</v>
      </c>
      <c r="U1660" s="32">
        <f>SUM(U1661:U1661)</f>
        <v>0</v>
      </c>
      <c r="V1660" s="32">
        <f>SUM(V1661:V1661)</f>
        <v>0</v>
      </c>
      <c r="W1660" s="32">
        <f t="shared" si="176"/>
        <v>138000</v>
      </c>
    </row>
    <row r="1661" spans="1:23" ht="24">
      <c r="A1661" s="33"/>
      <c r="B1661" s="33">
        <v>92605</v>
      </c>
      <c r="C1661" s="36"/>
      <c r="D1661" s="42" t="s">
        <v>260</v>
      </c>
      <c r="E1661" s="35">
        <f>SUM(E1662:E1671)</f>
        <v>26410</v>
      </c>
      <c r="F1661" s="35">
        <f>SUM(F1662:F1671)</f>
        <v>94380</v>
      </c>
      <c r="G1661" s="37">
        <f>SUM(G1662:G1671)</f>
        <v>95900</v>
      </c>
      <c r="H1661" s="37">
        <f>SUM(H1662:H1671)</f>
        <v>95900</v>
      </c>
      <c r="I1661" s="37"/>
      <c r="J1661" s="37">
        <f aca="true" t="shared" si="197" ref="J1661:P1661">SUM(J1662:J1671)</f>
        <v>89849</v>
      </c>
      <c r="K1661" s="37">
        <f t="shared" si="197"/>
        <v>109849</v>
      </c>
      <c r="L1661" s="37">
        <f t="shared" si="197"/>
        <v>0</v>
      </c>
      <c r="M1661" s="37">
        <f t="shared" si="197"/>
        <v>0</v>
      </c>
      <c r="N1661" s="37">
        <v>138000</v>
      </c>
      <c r="O1661" s="37">
        <v>138000</v>
      </c>
      <c r="P1661" s="37">
        <f t="shared" si="197"/>
        <v>72722</v>
      </c>
      <c r="Q1661" s="186">
        <f t="shared" si="196"/>
        <v>0.5269710144927536</v>
      </c>
      <c r="R1661" s="37">
        <v>138000</v>
      </c>
      <c r="S1661" s="37">
        <v>138000</v>
      </c>
      <c r="T1661" s="37">
        <v>138000</v>
      </c>
      <c r="U1661" s="37">
        <f>SUM(U1662:U1671)</f>
        <v>0</v>
      </c>
      <c r="V1661" s="37">
        <f>SUM(V1662:V1671)</f>
        <v>0</v>
      </c>
      <c r="W1661" s="32">
        <f t="shared" si="176"/>
        <v>138000</v>
      </c>
    </row>
    <row r="1662" spans="1:23" ht="48">
      <c r="A1662" s="25"/>
      <c r="B1662" s="25"/>
      <c r="C1662" s="26">
        <v>2820</v>
      </c>
      <c r="D1662" s="27" t="s">
        <v>257</v>
      </c>
      <c r="E1662" s="55"/>
      <c r="F1662" s="55">
        <v>60000</v>
      </c>
      <c r="G1662" s="55">
        <v>60000</v>
      </c>
      <c r="H1662" s="55">
        <v>60000</v>
      </c>
      <c r="I1662" s="55"/>
      <c r="J1662" s="55">
        <v>53000</v>
      </c>
      <c r="K1662" s="55">
        <v>53000</v>
      </c>
      <c r="L1662" s="55"/>
      <c r="M1662" s="55"/>
      <c r="N1662" s="55">
        <v>50000</v>
      </c>
      <c r="O1662" s="55">
        <v>50000</v>
      </c>
      <c r="P1662" s="55">
        <v>39000</v>
      </c>
      <c r="Q1662" s="186">
        <f t="shared" si="196"/>
        <v>0.78</v>
      </c>
      <c r="R1662" s="55">
        <v>50000</v>
      </c>
      <c r="S1662" s="55">
        <v>50000</v>
      </c>
      <c r="T1662" s="55">
        <v>50000</v>
      </c>
      <c r="U1662" s="55">
        <f aca="true" t="shared" si="198" ref="U1662:V1666">U1673</f>
        <v>0</v>
      </c>
      <c r="V1662" s="55">
        <f t="shared" si="198"/>
        <v>0</v>
      </c>
      <c r="W1662" s="32">
        <f t="shared" si="176"/>
        <v>50000</v>
      </c>
    </row>
    <row r="1663" spans="1:23" ht="24">
      <c r="A1663" s="25"/>
      <c r="B1663" s="25"/>
      <c r="C1663" s="26">
        <v>4110</v>
      </c>
      <c r="D1663" s="27" t="s">
        <v>113</v>
      </c>
      <c r="E1663" s="55"/>
      <c r="F1663" s="55"/>
      <c r="G1663" s="55"/>
      <c r="H1663" s="55"/>
      <c r="I1663" s="55"/>
      <c r="J1663" s="55"/>
      <c r="K1663" s="55"/>
      <c r="L1663" s="55"/>
      <c r="M1663" s="55"/>
      <c r="N1663" s="55">
        <v>646</v>
      </c>
      <c r="O1663" s="55">
        <v>646</v>
      </c>
      <c r="P1663" s="55">
        <v>484</v>
      </c>
      <c r="Q1663" s="186">
        <f t="shared" si="196"/>
        <v>0.7492260061919505</v>
      </c>
      <c r="R1663" s="55">
        <v>646</v>
      </c>
      <c r="S1663" s="55">
        <v>646</v>
      </c>
      <c r="T1663" s="55">
        <v>600</v>
      </c>
      <c r="U1663" s="55">
        <f t="shared" si="198"/>
        <v>0</v>
      </c>
      <c r="V1663" s="55">
        <f t="shared" si="198"/>
        <v>0</v>
      </c>
      <c r="W1663" s="32">
        <f t="shared" si="176"/>
        <v>600</v>
      </c>
    </row>
    <row r="1664" spans="1:23" ht="12">
      <c r="A1664" s="25"/>
      <c r="B1664" s="25"/>
      <c r="C1664" s="26">
        <v>4120</v>
      </c>
      <c r="D1664" s="27" t="s">
        <v>32</v>
      </c>
      <c r="E1664" s="55"/>
      <c r="F1664" s="55"/>
      <c r="G1664" s="55"/>
      <c r="H1664" s="55"/>
      <c r="I1664" s="55"/>
      <c r="J1664" s="55"/>
      <c r="K1664" s="55"/>
      <c r="L1664" s="55"/>
      <c r="M1664" s="55"/>
      <c r="N1664" s="55">
        <v>104</v>
      </c>
      <c r="O1664" s="55">
        <v>104</v>
      </c>
      <c r="P1664" s="55">
        <v>74</v>
      </c>
      <c r="Q1664" s="186">
        <f t="shared" si="196"/>
        <v>0.7115384615384616</v>
      </c>
      <c r="R1664" s="55">
        <v>104</v>
      </c>
      <c r="S1664" s="55">
        <v>104</v>
      </c>
      <c r="T1664" s="55">
        <v>100</v>
      </c>
      <c r="U1664" s="55">
        <f t="shared" si="198"/>
        <v>0</v>
      </c>
      <c r="V1664" s="55">
        <f t="shared" si="198"/>
        <v>0</v>
      </c>
      <c r="W1664" s="32">
        <f t="shared" si="176"/>
        <v>100</v>
      </c>
    </row>
    <row r="1665" spans="1:23" ht="12">
      <c r="A1665" s="25"/>
      <c r="B1665" s="25"/>
      <c r="C1665" s="26">
        <v>4210</v>
      </c>
      <c r="D1665" s="27" t="s">
        <v>34</v>
      </c>
      <c r="E1665" s="11">
        <v>20300</v>
      </c>
      <c r="F1665" s="11">
        <v>25620</v>
      </c>
      <c r="G1665" s="12">
        <v>27610</v>
      </c>
      <c r="H1665" s="12">
        <v>27610</v>
      </c>
      <c r="I1665" s="12"/>
      <c r="J1665" s="12">
        <v>28559</v>
      </c>
      <c r="K1665" s="12">
        <v>34279</v>
      </c>
      <c r="L1665" s="12"/>
      <c r="M1665" s="12"/>
      <c r="N1665" s="12">
        <v>51000</v>
      </c>
      <c r="O1665" s="12">
        <v>51000</v>
      </c>
      <c r="P1665" s="12">
        <v>17937</v>
      </c>
      <c r="Q1665" s="186">
        <f t="shared" si="196"/>
        <v>0.3517058823529412</v>
      </c>
      <c r="R1665" s="12">
        <v>56000</v>
      </c>
      <c r="S1665" s="12">
        <v>56000</v>
      </c>
      <c r="T1665" s="12">
        <v>56000</v>
      </c>
      <c r="U1665" s="12">
        <f t="shared" si="198"/>
        <v>0</v>
      </c>
      <c r="V1665" s="12">
        <f t="shared" si="198"/>
        <v>0</v>
      </c>
      <c r="W1665" s="32">
        <f t="shared" si="176"/>
        <v>56000</v>
      </c>
    </row>
    <row r="1666" spans="1:23" ht="12">
      <c r="A1666" s="25"/>
      <c r="B1666" s="25"/>
      <c r="C1666" s="26">
        <v>4170</v>
      </c>
      <c r="D1666" s="27" t="s">
        <v>69</v>
      </c>
      <c r="E1666" s="11">
        <v>1520</v>
      </c>
      <c r="F1666" s="11">
        <v>1520</v>
      </c>
      <c r="G1666" s="12">
        <v>1550</v>
      </c>
      <c r="H1666" s="12">
        <v>1550</v>
      </c>
      <c r="I1666" s="12"/>
      <c r="J1666" s="12">
        <v>1550</v>
      </c>
      <c r="K1666" s="12">
        <v>7830</v>
      </c>
      <c r="L1666" s="12"/>
      <c r="M1666" s="12"/>
      <c r="N1666" s="12">
        <v>19950</v>
      </c>
      <c r="O1666" s="12">
        <v>19950</v>
      </c>
      <c r="P1666" s="12">
        <v>8200</v>
      </c>
      <c r="Q1666" s="186">
        <f t="shared" si="196"/>
        <v>0.41102756892230574</v>
      </c>
      <c r="R1666" s="12">
        <v>15950</v>
      </c>
      <c r="S1666" s="12">
        <v>15950</v>
      </c>
      <c r="T1666" s="12">
        <v>15000</v>
      </c>
      <c r="U1666" s="12">
        <f t="shared" si="198"/>
        <v>0</v>
      </c>
      <c r="V1666" s="12">
        <f t="shared" si="198"/>
        <v>0</v>
      </c>
      <c r="W1666" s="32">
        <f t="shared" si="176"/>
        <v>15000</v>
      </c>
    </row>
    <row r="1667" spans="1:23" ht="36" hidden="1">
      <c r="A1667" s="25"/>
      <c r="B1667" s="25"/>
      <c r="C1667" s="26">
        <v>4400</v>
      </c>
      <c r="D1667" s="27" t="s">
        <v>72</v>
      </c>
      <c r="E1667" s="11"/>
      <c r="F1667" s="11"/>
      <c r="G1667" s="12"/>
      <c r="H1667" s="12"/>
      <c r="I1667" s="12"/>
      <c r="J1667" s="12"/>
      <c r="K1667" s="12">
        <v>700</v>
      </c>
      <c r="L1667" s="12"/>
      <c r="M1667" s="12"/>
      <c r="N1667" s="12">
        <v>0</v>
      </c>
      <c r="O1667" s="12">
        <v>0</v>
      </c>
      <c r="P1667" s="12"/>
      <c r="Q1667" s="186"/>
      <c r="R1667" s="12"/>
      <c r="S1667" s="12"/>
      <c r="T1667" s="12">
        <v>0</v>
      </c>
      <c r="U1667" s="12"/>
      <c r="V1667" s="12"/>
      <c r="W1667" s="32">
        <f t="shared" si="176"/>
        <v>0</v>
      </c>
    </row>
    <row r="1668" spans="1:23" ht="18" customHeight="1" hidden="1">
      <c r="A1668" s="25"/>
      <c r="B1668" s="25"/>
      <c r="C1668" s="26"/>
      <c r="D1668" s="27"/>
      <c r="E1668" s="11"/>
      <c r="F1668" s="11"/>
      <c r="G1668" s="12"/>
      <c r="H1668" s="12"/>
      <c r="I1668" s="12"/>
      <c r="J1668" s="12"/>
      <c r="K1668" s="12"/>
      <c r="L1668" s="12"/>
      <c r="M1668" s="12"/>
      <c r="N1668" s="12">
        <v>0</v>
      </c>
      <c r="O1668" s="12">
        <v>0</v>
      </c>
      <c r="P1668" s="12"/>
      <c r="Q1668" s="186"/>
      <c r="R1668" s="12"/>
      <c r="S1668" s="12"/>
      <c r="T1668" s="12">
        <v>0</v>
      </c>
      <c r="U1668" s="12"/>
      <c r="V1668" s="12"/>
      <c r="W1668" s="32">
        <f t="shared" si="176"/>
        <v>0</v>
      </c>
    </row>
    <row r="1669" spans="1:23" ht="12">
      <c r="A1669" s="25"/>
      <c r="B1669" s="25"/>
      <c r="C1669" s="26">
        <v>4300</v>
      </c>
      <c r="D1669" s="27" t="s">
        <v>81</v>
      </c>
      <c r="E1669" s="11">
        <v>3570</v>
      </c>
      <c r="F1669" s="11">
        <v>6220</v>
      </c>
      <c r="G1669" s="12">
        <v>5700</v>
      </c>
      <c r="H1669" s="12">
        <v>5700</v>
      </c>
      <c r="I1669" s="12"/>
      <c r="J1669" s="12">
        <v>5700</v>
      </c>
      <c r="K1669" s="12">
        <v>13000</v>
      </c>
      <c r="L1669" s="12"/>
      <c r="M1669" s="12"/>
      <c r="N1669" s="12">
        <v>16000</v>
      </c>
      <c r="O1669" s="12">
        <v>16000</v>
      </c>
      <c r="P1669" s="12">
        <v>6727</v>
      </c>
      <c r="Q1669" s="186">
        <f>P1669/O1669</f>
        <v>0.4204375</v>
      </c>
      <c r="R1669" s="12">
        <v>16000</v>
      </c>
      <c r="S1669" s="12">
        <v>16000</v>
      </c>
      <c r="T1669" s="12">
        <v>16000</v>
      </c>
      <c r="U1669" s="12">
        <f>U1680</f>
        <v>0</v>
      </c>
      <c r="V1669" s="12">
        <f>V1680</f>
        <v>0</v>
      </c>
      <c r="W1669" s="32">
        <f t="shared" si="176"/>
        <v>16000</v>
      </c>
    </row>
    <row r="1670" spans="1:23" ht="28.5" customHeight="1" hidden="1">
      <c r="A1670" s="25"/>
      <c r="B1670" s="25"/>
      <c r="C1670" s="26">
        <v>4440</v>
      </c>
      <c r="D1670" s="27" t="s">
        <v>44</v>
      </c>
      <c r="E1670" s="11"/>
      <c r="F1670" s="11"/>
      <c r="G1670" s="12"/>
      <c r="H1670" s="12"/>
      <c r="I1670" s="12"/>
      <c r="J1670" s="12">
        <v>0</v>
      </c>
      <c r="K1670" s="12">
        <v>0</v>
      </c>
      <c r="L1670" s="12"/>
      <c r="M1670" s="12"/>
      <c r="N1670" s="12">
        <v>0</v>
      </c>
      <c r="O1670" s="12">
        <v>0</v>
      </c>
      <c r="P1670" s="12"/>
      <c r="Q1670" s="186"/>
      <c r="R1670" s="12"/>
      <c r="S1670" s="12"/>
      <c r="T1670" s="12">
        <v>0</v>
      </c>
      <c r="U1670" s="12"/>
      <c r="V1670" s="12"/>
      <c r="W1670" s="32">
        <f aca="true" t="shared" si="199" ref="W1670:W1690">T1670+U1670-V1670</f>
        <v>0</v>
      </c>
    </row>
    <row r="1671" spans="1:23" ht="12">
      <c r="A1671" s="25"/>
      <c r="B1671" s="25"/>
      <c r="C1671" s="26">
        <v>4410</v>
      </c>
      <c r="D1671" s="27" t="s">
        <v>42</v>
      </c>
      <c r="E1671" s="11">
        <v>1020</v>
      </c>
      <c r="F1671" s="11">
        <v>1020</v>
      </c>
      <c r="G1671" s="12">
        <v>1040</v>
      </c>
      <c r="H1671" s="12">
        <v>1040</v>
      </c>
      <c r="I1671" s="12"/>
      <c r="J1671" s="12">
        <v>1040</v>
      </c>
      <c r="K1671" s="12">
        <v>1040</v>
      </c>
      <c r="L1671" s="12"/>
      <c r="M1671" s="12"/>
      <c r="N1671" s="12">
        <v>300</v>
      </c>
      <c r="O1671" s="12">
        <v>300</v>
      </c>
      <c r="P1671" s="12">
        <v>300</v>
      </c>
      <c r="Q1671" s="186">
        <f aca="true" t="shared" si="200" ref="Q1671:Q1677">P1671/O1671</f>
        <v>1</v>
      </c>
      <c r="R1671" s="12">
        <v>300</v>
      </c>
      <c r="S1671" s="12">
        <v>300</v>
      </c>
      <c r="T1671" s="12">
        <v>300</v>
      </c>
      <c r="U1671" s="12">
        <f>U1682</f>
        <v>0</v>
      </c>
      <c r="V1671" s="12">
        <f>V1682</f>
        <v>0</v>
      </c>
      <c r="W1671" s="32">
        <f t="shared" si="199"/>
        <v>300</v>
      </c>
    </row>
    <row r="1672" spans="1:23" ht="24">
      <c r="A1672" s="25"/>
      <c r="B1672" s="25"/>
      <c r="C1672" s="27" t="s">
        <v>58</v>
      </c>
      <c r="D1672" s="42" t="s">
        <v>261</v>
      </c>
      <c r="E1672" s="11" t="e">
        <f>SUM(#REF!)</f>
        <v>#REF!</v>
      </c>
      <c r="F1672" s="11" t="e">
        <f>SUM(#REF!)</f>
        <v>#REF!</v>
      </c>
      <c r="G1672" s="12" t="e">
        <f>SUM(#REF!)</f>
        <v>#REF!</v>
      </c>
      <c r="H1672" s="12" t="e">
        <f>SUM(#REF!)</f>
        <v>#REF!</v>
      </c>
      <c r="I1672" s="12"/>
      <c r="J1672" s="12">
        <f aca="true" t="shared" si="201" ref="J1672:P1672">SUM(J1673:J1682)</f>
        <v>89849</v>
      </c>
      <c r="K1672" s="12">
        <f t="shared" si="201"/>
        <v>109849</v>
      </c>
      <c r="L1672" s="12">
        <f t="shared" si="201"/>
        <v>0</v>
      </c>
      <c r="M1672" s="12">
        <f t="shared" si="201"/>
        <v>0</v>
      </c>
      <c r="N1672" s="12">
        <v>138000</v>
      </c>
      <c r="O1672" s="12">
        <v>138000</v>
      </c>
      <c r="P1672" s="12">
        <f t="shared" si="201"/>
        <v>72722</v>
      </c>
      <c r="Q1672" s="186">
        <f t="shared" si="200"/>
        <v>0.5269710144927536</v>
      </c>
      <c r="R1672" s="12">
        <f>SUM(R1673:R1682)</f>
        <v>88600</v>
      </c>
      <c r="S1672" s="12">
        <f>SUM(S1673:S1682)</f>
        <v>139000</v>
      </c>
      <c r="T1672" s="12">
        <v>138000</v>
      </c>
      <c r="U1672" s="12">
        <f>SUM(U1673:U1682)</f>
        <v>0</v>
      </c>
      <c r="V1672" s="12">
        <f>SUM(V1673:V1682)</f>
        <v>0</v>
      </c>
      <c r="W1672" s="32">
        <f t="shared" si="199"/>
        <v>138000</v>
      </c>
    </row>
    <row r="1673" spans="1:23" ht="48">
      <c r="A1673" s="25"/>
      <c r="B1673" s="25"/>
      <c r="C1673" s="26">
        <v>2820</v>
      </c>
      <c r="D1673" s="27" t="s">
        <v>257</v>
      </c>
      <c r="E1673" s="55"/>
      <c r="F1673" s="55">
        <v>60000</v>
      </c>
      <c r="G1673" s="55">
        <v>60000</v>
      </c>
      <c r="H1673" s="55">
        <v>60000</v>
      </c>
      <c r="I1673" s="55"/>
      <c r="J1673" s="55">
        <v>53000</v>
      </c>
      <c r="K1673" s="55">
        <v>53000</v>
      </c>
      <c r="L1673" s="55"/>
      <c r="M1673" s="55"/>
      <c r="N1673" s="55">
        <v>50000</v>
      </c>
      <c r="O1673" s="55">
        <v>50000</v>
      </c>
      <c r="P1673" s="55">
        <v>39000</v>
      </c>
      <c r="Q1673" s="186">
        <f t="shared" si="200"/>
        <v>0.78</v>
      </c>
      <c r="R1673" s="55">
        <v>50000</v>
      </c>
      <c r="S1673" s="55">
        <v>50000</v>
      </c>
      <c r="T1673" s="55">
        <v>50000</v>
      </c>
      <c r="U1673" s="55"/>
      <c r="V1673" s="55"/>
      <c r="W1673" s="32">
        <f t="shared" si="199"/>
        <v>50000</v>
      </c>
    </row>
    <row r="1674" spans="1:23" ht="24">
      <c r="A1674" s="25"/>
      <c r="B1674" s="25"/>
      <c r="C1674" s="26">
        <v>4110</v>
      </c>
      <c r="D1674" s="27" t="s">
        <v>113</v>
      </c>
      <c r="E1674" s="55"/>
      <c r="F1674" s="55"/>
      <c r="G1674" s="55"/>
      <c r="H1674" s="55"/>
      <c r="I1674" s="55"/>
      <c r="J1674" s="55"/>
      <c r="K1674" s="55"/>
      <c r="L1674" s="55"/>
      <c r="M1674" s="55"/>
      <c r="N1674" s="55">
        <v>646</v>
      </c>
      <c r="O1674" s="55">
        <v>646</v>
      </c>
      <c r="P1674" s="55">
        <v>484</v>
      </c>
      <c r="Q1674" s="186">
        <f t="shared" si="200"/>
        <v>0.7492260061919505</v>
      </c>
      <c r="R1674" s="55">
        <v>646</v>
      </c>
      <c r="S1674" s="55">
        <v>646</v>
      </c>
      <c r="T1674" s="55">
        <v>600</v>
      </c>
      <c r="U1674" s="55"/>
      <c r="V1674" s="55"/>
      <c r="W1674" s="32">
        <f t="shared" si="199"/>
        <v>600</v>
      </c>
    </row>
    <row r="1675" spans="1:23" ht="12">
      <c r="A1675" s="25"/>
      <c r="B1675" s="25"/>
      <c r="C1675" s="26">
        <v>4120</v>
      </c>
      <c r="D1675" s="27" t="s">
        <v>32</v>
      </c>
      <c r="E1675" s="55"/>
      <c r="F1675" s="55"/>
      <c r="G1675" s="55"/>
      <c r="H1675" s="55"/>
      <c r="I1675" s="55"/>
      <c r="J1675" s="55"/>
      <c r="K1675" s="55"/>
      <c r="L1675" s="55"/>
      <c r="M1675" s="55"/>
      <c r="N1675" s="55">
        <v>104</v>
      </c>
      <c r="O1675" s="55">
        <v>104</v>
      </c>
      <c r="P1675" s="55">
        <v>74</v>
      </c>
      <c r="Q1675" s="186">
        <f t="shared" si="200"/>
        <v>0.7115384615384616</v>
      </c>
      <c r="R1675" s="55">
        <v>104</v>
      </c>
      <c r="S1675" s="55">
        <v>104</v>
      </c>
      <c r="T1675" s="55">
        <v>100</v>
      </c>
      <c r="U1675" s="55"/>
      <c r="V1675" s="55"/>
      <c r="W1675" s="32">
        <f t="shared" si="199"/>
        <v>100</v>
      </c>
    </row>
    <row r="1676" spans="1:23" ht="12">
      <c r="A1676" s="25"/>
      <c r="B1676" s="25"/>
      <c r="C1676" s="26">
        <v>4210</v>
      </c>
      <c r="D1676" s="27" t="s">
        <v>34</v>
      </c>
      <c r="E1676" s="11">
        <v>20300</v>
      </c>
      <c r="F1676" s="11">
        <v>25620</v>
      </c>
      <c r="G1676" s="12">
        <v>27610</v>
      </c>
      <c r="H1676" s="12">
        <v>27610</v>
      </c>
      <c r="I1676" s="12"/>
      <c r="J1676" s="12">
        <v>28559</v>
      </c>
      <c r="K1676" s="12">
        <v>34279</v>
      </c>
      <c r="L1676" s="12"/>
      <c r="M1676" s="12"/>
      <c r="N1676" s="12">
        <v>51000</v>
      </c>
      <c r="O1676" s="12">
        <v>51000</v>
      </c>
      <c r="P1676" s="12">
        <v>17937</v>
      </c>
      <c r="Q1676" s="186">
        <f t="shared" si="200"/>
        <v>0.3517058823529412</v>
      </c>
      <c r="R1676" s="12">
        <v>5600</v>
      </c>
      <c r="S1676" s="12">
        <v>56000</v>
      </c>
      <c r="T1676" s="12">
        <v>56000</v>
      </c>
      <c r="U1676" s="12"/>
      <c r="V1676" s="12"/>
      <c r="W1676" s="32">
        <f t="shared" si="199"/>
        <v>56000</v>
      </c>
    </row>
    <row r="1677" spans="1:23" ht="12">
      <c r="A1677" s="25"/>
      <c r="B1677" s="25"/>
      <c r="C1677" s="26">
        <v>4170</v>
      </c>
      <c r="D1677" s="27" t="s">
        <v>69</v>
      </c>
      <c r="E1677" s="11">
        <v>1520</v>
      </c>
      <c r="F1677" s="11">
        <v>1520</v>
      </c>
      <c r="G1677" s="12">
        <v>1550</v>
      </c>
      <c r="H1677" s="12">
        <v>1550</v>
      </c>
      <c r="I1677" s="12"/>
      <c r="J1677" s="12">
        <v>1550</v>
      </c>
      <c r="K1677" s="12">
        <v>7830</v>
      </c>
      <c r="L1677" s="12"/>
      <c r="M1677" s="12"/>
      <c r="N1677" s="12">
        <v>19950</v>
      </c>
      <c r="O1677" s="12">
        <v>19950</v>
      </c>
      <c r="P1677" s="12">
        <v>8200</v>
      </c>
      <c r="Q1677" s="186">
        <f t="shared" si="200"/>
        <v>0.41102756892230574</v>
      </c>
      <c r="R1677" s="12">
        <v>15950</v>
      </c>
      <c r="S1677" s="12">
        <v>15950</v>
      </c>
      <c r="T1677" s="12">
        <v>15000</v>
      </c>
      <c r="U1677" s="12"/>
      <c r="V1677" s="12"/>
      <c r="W1677" s="32">
        <f t="shared" si="199"/>
        <v>15000</v>
      </c>
    </row>
    <row r="1678" spans="1:23" ht="60" customHeight="1" hidden="1">
      <c r="A1678" s="25"/>
      <c r="B1678" s="25"/>
      <c r="C1678" s="26">
        <v>4400</v>
      </c>
      <c r="D1678" s="27" t="s">
        <v>72</v>
      </c>
      <c r="E1678" s="11"/>
      <c r="F1678" s="11"/>
      <c r="G1678" s="12"/>
      <c r="H1678" s="12"/>
      <c r="I1678" s="12"/>
      <c r="J1678" s="12"/>
      <c r="K1678" s="12">
        <v>700</v>
      </c>
      <c r="L1678" s="12"/>
      <c r="M1678" s="12"/>
      <c r="N1678" s="12">
        <v>0</v>
      </c>
      <c r="O1678" s="12">
        <v>0</v>
      </c>
      <c r="P1678" s="12"/>
      <c r="Q1678" s="186"/>
      <c r="R1678" s="12"/>
      <c r="S1678" s="12"/>
      <c r="T1678" s="12">
        <v>0</v>
      </c>
      <c r="U1678" s="12"/>
      <c r="V1678" s="12"/>
      <c r="W1678" s="32">
        <f t="shared" si="199"/>
        <v>0</v>
      </c>
    </row>
    <row r="1679" spans="1:23" ht="18" customHeight="1" hidden="1">
      <c r="A1679" s="25"/>
      <c r="B1679" s="25"/>
      <c r="C1679" s="26"/>
      <c r="D1679" s="27"/>
      <c r="E1679" s="11"/>
      <c r="F1679" s="11"/>
      <c r="G1679" s="12"/>
      <c r="H1679" s="12"/>
      <c r="I1679" s="12"/>
      <c r="J1679" s="12"/>
      <c r="K1679" s="12"/>
      <c r="L1679" s="12"/>
      <c r="M1679" s="12"/>
      <c r="N1679" s="12">
        <v>0</v>
      </c>
      <c r="O1679" s="12">
        <v>0</v>
      </c>
      <c r="P1679" s="12"/>
      <c r="Q1679" s="186"/>
      <c r="R1679" s="12"/>
      <c r="S1679" s="12"/>
      <c r="T1679" s="12">
        <v>0</v>
      </c>
      <c r="U1679" s="12"/>
      <c r="V1679" s="12"/>
      <c r="W1679" s="32">
        <f t="shared" si="199"/>
        <v>0</v>
      </c>
    </row>
    <row r="1680" spans="1:23" ht="24.75" customHeight="1">
      <c r="A1680" s="25"/>
      <c r="B1680" s="25"/>
      <c r="C1680" s="26">
        <v>4300</v>
      </c>
      <c r="D1680" s="27" t="s">
        <v>81</v>
      </c>
      <c r="E1680" s="11">
        <v>3570</v>
      </c>
      <c r="F1680" s="11">
        <v>6220</v>
      </c>
      <c r="G1680" s="12">
        <v>5700</v>
      </c>
      <c r="H1680" s="12">
        <v>5700</v>
      </c>
      <c r="I1680" s="12"/>
      <c r="J1680" s="12">
        <v>5700</v>
      </c>
      <c r="K1680" s="12">
        <v>13000</v>
      </c>
      <c r="L1680" s="12"/>
      <c r="M1680" s="12"/>
      <c r="N1680" s="12">
        <v>16000</v>
      </c>
      <c r="O1680" s="12">
        <v>16000</v>
      </c>
      <c r="P1680" s="12">
        <v>6727</v>
      </c>
      <c r="Q1680" s="186">
        <f>P1680/O1680</f>
        <v>0.4204375</v>
      </c>
      <c r="R1680" s="12">
        <v>16000</v>
      </c>
      <c r="S1680" s="12">
        <v>16000</v>
      </c>
      <c r="T1680" s="12">
        <v>16000</v>
      </c>
      <c r="U1680" s="12"/>
      <c r="V1680" s="12"/>
      <c r="W1680" s="32">
        <f t="shared" si="199"/>
        <v>16000</v>
      </c>
    </row>
    <row r="1681" spans="1:23" ht="42.75" customHeight="1" hidden="1">
      <c r="A1681" s="25"/>
      <c r="B1681" s="25"/>
      <c r="C1681" s="26">
        <v>4440</v>
      </c>
      <c r="D1681" s="27" t="s">
        <v>44</v>
      </c>
      <c r="E1681" s="11"/>
      <c r="F1681" s="11"/>
      <c r="G1681" s="12"/>
      <c r="H1681" s="12"/>
      <c r="I1681" s="12"/>
      <c r="J1681" s="12">
        <v>0</v>
      </c>
      <c r="K1681" s="12">
        <v>0</v>
      </c>
      <c r="L1681" s="12"/>
      <c r="M1681" s="12"/>
      <c r="N1681" s="12">
        <v>0</v>
      </c>
      <c r="O1681" s="12">
        <v>0</v>
      </c>
      <c r="P1681" s="12"/>
      <c r="Q1681" s="186"/>
      <c r="R1681" s="12"/>
      <c r="S1681" s="12"/>
      <c r="T1681" s="12">
        <v>0</v>
      </c>
      <c r="U1681" s="12"/>
      <c r="V1681" s="12"/>
      <c r="W1681" s="32">
        <f t="shared" si="199"/>
        <v>0</v>
      </c>
    </row>
    <row r="1682" spans="1:23" ht="12">
      <c r="A1682" s="25"/>
      <c r="B1682" s="25"/>
      <c r="C1682" s="26">
        <v>4410</v>
      </c>
      <c r="D1682" s="27" t="s">
        <v>42</v>
      </c>
      <c r="E1682" s="11">
        <v>1020</v>
      </c>
      <c r="F1682" s="11">
        <v>1020</v>
      </c>
      <c r="G1682" s="12">
        <v>1040</v>
      </c>
      <c r="H1682" s="12">
        <v>1040</v>
      </c>
      <c r="I1682" s="12"/>
      <c r="J1682" s="12">
        <v>1040</v>
      </c>
      <c r="K1682" s="12">
        <v>1040</v>
      </c>
      <c r="L1682" s="12"/>
      <c r="M1682" s="12"/>
      <c r="N1682" s="12">
        <v>300</v>
      </c>
      <c r="O1682" s="12">
        <v>300</v>
      </c>
      <c r="P1682" s="12">
        <v>300</v>
      </c>
      <c r="Q1682" s="186">
        <f>P1682/O1682</f>
        <v>1</v>
      </c>
      <c r="R1682" s="12">
        <v>300</v>
      </c>
      <c r="S1682" s="12">
        <v>300</v>
      </c>
      <c r="T1682" s="12">
        <v>300</v>
      </c>
      <c r="U1682" s="12"/>
      <c r="V1682" s="12"/>
      <c r="W1682" s="32">
        <f t="shared" si="199"/>
        <v>300</v>
      </c>
    </row>
    <row r="1683" spans="1:23" ht="24.75" customHeight="1" hidden="1">
      <c r="A1683" s="25"/>
      <c r="B1683" s="25"/>
      <c r="C1683" s="36"/>
      <c r="D1683" s="42" t="s">
        <v>262</v>
      </c>
      <c r="E1683" s="11">
        <v>3500</v>
      </c>
      <c r="F1683" s="11">
        <f>SUM(F1684:F1685)</f>
        <v>4150</v>
      </c>
      <c r="G1683" s="11">
        <f>SUM(G1684:G1685)</f>
        <v>5000</v>
      </c>
      <c r="H1683" s="11">
        <f>SUM(H1684:H1685)</f>
        <v>5000</v>
      </c>
      <c r="I1683" s="11"/>
      <c r="J1683" s="11">
        <f aca="true" t="shared" si="202" ref="J1683:P1683">SUM(J1684:J1685)</f>
        <v>5000</v>
      </c>
      <c r="K1683" s="11">
        <f t="shared" si="202"/>
        <v>5000</v>
      </c>
      <c r="L1683" s="11">
        <f t="shared" si="202"/>
        <v>5000</v>
      </c>
      <c r="M1683" s="11">
        <f t="shared" si="202"/>
        <v>5000</v>
      </c>
      <c r="N1683" s="11">
        <v>0</v>
      </c>
      <c r="O1683" s="11">
        <v>0</v>
      </c>
      <c r="P1683" s="11">
        <f t="shared" si="202"/>
        <v>0</v>
      </c>
      <c r="Q1683" s="186"/>
      <c r="R1683" s="11">
        <f>SUM(R1684:R1685)</f>
        <v>0</v>
      </c>
      <c r="S1683" s="11">
        <f>SUM(S1684:S1685)</f>
        <v>0</v>
      </c>
      <c r="T1683" s="11">
        <v>0</v>
      </c>
      <c r="U1683" s="11">
        <f>SUM(U1684:U1685)</f>
        <v>0</v>
      </c>
      <c r="V1683" s="11">
        <f>SUM(V1684:V1685)</f>
        <v>0</v>
      </c>
      <c r="W1683" s="32">
        <f t="shared" si="199"/>
        <v>0</v>
      </c>
    </row>
    <row r="1684" spans="1:23" ht="24" customHeight="1" hidden="1">
      <c r="A1684" s="25"/>
      <c r="B1684" s="25"/>
      <c r="C1684" s="26">
        <v>4210</v>
      </c>
      <c r="D1684" s="27" t="s">
        <v>34</v>
      </c>
      <c r="E1684" s="11">
        <v>3500</v>
      </c>
      <c r="F1684" s="11">
        <v>3500</v>
      </c>
      <c r="G1684" s="12">
        <v>5000</v>
      </c>
      <c r="H1684" s="12">
        <v>5000</v>
      </c>
      <c r="I1684" s="12"/>
      <c r="J1684" s="12">
        <v>5000</v>
      </c>
      <c r="K1684" s="12">
        <v>5000</v>
      </c>
      <c r="L1684" s="12">
        <v>5000</v>
      </c>
      <c r="M1684" s="12">
        <v>5000</v>
      </c>
      <c r="N1684" s="12">
        <v>0</v>
      </c>
      <c r="O1684" s="12">
        <v>0</v>
      </c>
      <c r="P1684" s="12"/>
      <c r="Q1684" s="186"/>
      <c r="R1684" s="12"/>
      <c r="S1684" s="12"/>
      <c r="T1684" s="12">
        <v>0</v>
      </c>
      <c r="U1684" s="12"/>
      <c r="V1684" s="12"/>
      <c r="W1684" s="32">
        <f t="shared" si="199"/>
        <v>0</v>
      </c>
    </row>
    <row r="1685" spans="1:23" ht="18" customHeight="1" hidden="1">
      <c r="A1685" s="25"/>
      <c r="B1685" s="25"/>
      <c r="C1685" s="26">
        <v>4300</v>
      </c>
      <c r="D1685" s="27" t="s">
        <v>81</v>
      </c>
      <c r="E1685" s="11"/>
      <c r="F1685" s="11">
        <v>650</v>
      </c>
      <c r="G1685" s="12">
        <v>0</v>
      </c>
      <c r="H1685" s="12">
        <v>0</v>
      </c>
      <c r="I1685" s="12"/>
      <c r="J1685" s="12">
        <v>0</v>
      </c>
      <c r="K1685" s="12">
        <v>0</v>
      </c>
      <c r="L1685" s="12"/>
      <c r="M1685" s="12"/>
      <c r="N1685" s="12">
        <v>0</v>
      </c>
      <c r="O1685" s="12">
        <v>0</v>
      </c>
      <c r="P1685" s="12"/>
      <c r="Q1685" s="186"/>
      <c r="R1685" s="12"/>
      <c r="S1685" s="12"/>
      <c r="T1685" s="12">
        <v>0</v>
      </c>
      <c r="U1685" s="12"/>
      <c r="V1685" s="12"/>
      <c r="W1685" s="32">
        <f t="shared" si="199"/>
        <v>0</v>
      </c>
    </row>
    <row r="1686" spans="1:23" ht="18" customHeight="1" hidden="1">
      <c r="A1686" s="25"/>
      <c r="B1686" s="25"/>
      <c r="C1686" s="36"/>
      <c r="D1686" s="42" t="s">
        <v>263</v>
      </c>
      <c r="E1686" s="11">
        <f>SUM(E1687)</f>
        <v>1000</v>
      </c>
      <c r="F1686" s="11">
        <f>SUM(F1687)</f>
        <v>1000</v>
      </c>
      <c r="G1686" s="12">
        <f>SUM(G1687)</f>
        <v>1000</v>
      </c>
      <c r="H1686" s="12">
        <f>SUM(H1687)</f>
        <v>1000</v>
      </c>
      <c r="I1686" s="12"/>
      <c r="J1686" s="12">
        <f aca="true" t="shared" si="203" ref="J1686:S1686">SUM(J1687)</f>
        <v>1000</v>
      </c>
      <c r="K1686" s="12">
        <f t="shared" si="203"/>
        <v>1000</v>
      </c>
      <c r="L1686" s="12">
        <f t="shared" si="203"/>
        <v>1000</v>
      </c>
      <c r="M1686" s="12">
        <f t="shared" si="203"/>
        <v>1000</v>
      </c>
      <c r="N1686" s="12">
        <v>0</v>
      </c>
      <c r="O1686" s="12">
        <v>0</v>
      </c>
      <c r="P1686" s="12">
        <f t="shared" si="203"/>
        <v>0</v>
      </c>
      <c r="Q1686" s="186"/>
      <c r="R1686" s="12">
        <f t="shared" si="203"/>
        <v>0</v>
      </c>
      <c r="S1686" s="12">
        <f t="shared" si="203"/>
        <v>0</v>
      </c>
      <c r="T1686" s="12">
        <v>0</v>
      </c>
      <c r="U1686" s="12">
        <f>SUM(U1687)</f>
        <v>0</v>
      </c>
      <c r="V1686" s="12">
        <f>SUM(V1687)</f>
        <v>0</v>
      </c>
      <c r="W1686" s="32">
        <f t="shared" si="199"/>
        <v>0</v>
      </c>
    </row>
    <row r="1687" spans="1:23" ht="26.25" customHeight="1" hidden="1">
      <c r="A1687" s="25"/>
      <c r="B1687" s="25"/>
      <c r="C1687" s="26">
        <v>4210</v>
      </c>
      <c r="D1687" s="27" t="s">
        <v>34</v>
      </c>
      <c r="E1687" s="55">
        <v>1000</v>
      </c>
      <c r="F1687" s="55">
        <v>1000</v>
      </c>
      <c r="G1687" s="56">
        <v>1000</v>
      </c>
      <c r="H1687" s="56">
        <v>1000</v>
      </c>
      <c r="I1687" s="56"/>
      <c r="J1687" s="56">
        <v>1000</v>
      </c>
      <c r="K1687" s="56">
        <v>1000</v>
      </c>
      <c r="L1687" s="56">
        <v>1000</v>
      </c>
      <c r="M1687" s="56">
        <v>1000</v>
      </c>
      <c r="N1687" s="56">
        <v>0</v>
      </c>
      <c r="O1687" s="56">
        <v>0</v>
      </c>
      <c r="P1687" s="56"/>
      <c r="Q1687" s="186"/>
      <c r="R1687" s="56"/>
      <c r="S1687" s="56"/>
      <c r="T1687" s="56">
        <v>0</v>
      </c>
      <c r="U1687" s="56"/>
      <c r="V1687" s="56"/>
      <c r="W1687" s="32">
        <f t="shared" si="199"/>
        <v>0</v>
      </c>
    </row>
    <row r="1688" spans="1:23" ht="12">
      <c r="A1688" s="8"/>
      <c r="B1688" s="8"/>
      <c r="C1688" s="29"/>
      <c r="D1688" s="43" t="s">
        <v>264</v>
      </c>
      <c r="E1688" s="140" t="e">
        <f>+E8+E12+E17+E76+E120+E158+E276+E287+E293+E706+E723+E1055+E301+#REF!+E1500+E1628+E1660</f>
        <v>#REF!</v>
      </c>
      <c r="F1688" s="140" t="e">
        <f>+F8+F12+F17+F76+F120+F158+F276+F287+F293+F706+F723+F1055+F301+#REF!+F1500+F1628+F1660</f>
        <v>#REF!</v>
      </c>
      <c r="G1688" s="140" t="e">
        <f>+G8+G12+G17+G76+G120+G158+G276+G287+G293+G706+G723+G1055+G301+#REF!+G1500+G1628+G1660</f>
        <v>#REF!</v>
      </c>
      <c r="H1688" s="140" t="e">
        <f>+H8+H12+H17+H76+H120+H158+H276+H287+H293+H706+H723+H1055+H301+#REF!+H1500+H1628+H1660</f>
        <v>#REF!</v>
      </c>
      <c r="I1688" s="140"/>
      <c r="J1688" s="140" t="e">
        <f>+J8+J12+J17+J76+J120+J158+J276+J287+J293+J706+J723+J1055+J301+J1500+J1628+J1660+J270</f>
        <v>#REF!</v>
      </c>
      <c r="K1688" s="140" t="e">
        <f>+K8+K12+K17+K76+K120+K158+K276+K287+K293+K706+K723+K1055+K301+K1500+K1628+K1660+K270</f>
        <v>#REF!</v>
      </c>
      <c r="L1688" s="140" t="e">
        <f>+L8+L12+L17+L76+L120+L158+L276+L287+L293+L706+L723+L1055+L301+L1500+L1628+L1660+L270</f>
        <v>#REF!</v>
      </c>
      <c r="M1688" s="140" t="e">
        <f>+M8+M12+M17+M76+M120+M158+M276+M287+M293+M706+M723+M1055+M301+M1500+M1628+M1660+M270</f>
        <v>#REF!</v>
      </c>
      <c r="N1688" s="140">
        <v>67188804</v>
      </c>
      <c r="O1688" s="140">
        <v>68004705</v>
      </c>
      <c r="P1688" s="140">
        <f>+P8+P12+P17+P76+P120+P158+P276+P287+P293+P706+P723+P1055+P301+P1500+P1628+P1660+P270</f>
        <v>24997197</v>
      </c>
      <c r="Q1688" s="186">
        <f>P1688/O1688</f>
        <v>0.36758040491463057</v>
      </c>
      <c r="R1688" s="140">
        <f>+R8+R12+R17+R76+R120+R158+R276+R287+R293+R706+R723+R1055+R301+R1500+R1628+R1660+R270</f>
        <v>64353522</v>
      </c>
      <c r="S1688" s="140">
        <f>+S8+S12+S17+S76+S120+S158+S276+S287+S293+S706+S723+S1055+S301+S1500+S1628+S1660+S270</f>
        <v>93397769</v>
      </c>
      <c r="T1688" s="140">
        <v>75160917</v>
      </c>
      <c r="U1688" s="140">
        <f>+U8+U12+U17+U76+U120+U158+U276+U287+U293+U706+U723+U1055+U301+U1500+U1628+U1660+U270+U1616</f>
        <v>494192</v>
      </c>
      <c r="V1688" s="140">
        <f>+V8+V12+V17+V76+V120+V158+V276+V287+V293+V706+V723+V1055+V301+V1500+V1628+V1660+V270+V1616</f>
        <v>1990236</v>
      </c>
      <c r="W1688" s="32">
        <f t="shared" si="199"/>
        <v>73664873</v>
      </c>
    </row>
    <row r="1689" spans="1:23" ht="24">
      <c r="A1689" s="141"/>
      <c r="B1689" s="141"/>
      <c r="C1689" s="142"/>
      <c r="D1689" s="43" t="s">
        <v>376</v>
      </c>
      <c r="E1689" s="41" t="e">
        <f>#REF!+#REF!+#REF!+#REF!+#REF!+#REF!+#REF!</f>
        <v>#REF!</v>
      </c>
      <c r="F1689" s="41" t="e">
        <f>#REF!+#REF!+#REF!+#REF!+#REF!+#REF!+#REF!</f>
        <v>#REF!</v>
      </c>
      <c r="G1689" s="41" t="e">
        <f>#REF!+#REF!+#REF!+#REF!+#REF!+#REF!+#REF!</f>
        <v>#REF!</v>
      </c>
      <c r="H1689" s="41" t="e">
        <f>#REF!+#REF!+#REF!+#REF!+#REF!+#REF!+#REF!</f>
        <v>#REF!</v>
      </c>
      <c r="I1689" s="41"/>
      <c r="J1689" s="41" t="e">
        <f>SUM(J43:J44)+SUM(#REF!)+SUM(J1115:J1172)+SUM(#REF!+J1089+J1086+#REF!+J1111+J1092+J1097)</f>
        <v>#REF!</v>
      </c>
      <c r="K1689" s="41" t="e">
        <f>SUM(K43:K44)+SUM(#REF!)+SUM(K1115:K1172)+SUM(#REF!+K1089+K1086+#REF!+K1111+K1092+K1097)</f>
        <v>#REF!</v>
      </c>
      <c r="L1689" s="41" t="e">
        <f>SUM(L43:L44)+SUM(#REF!)+SUM(L1115:L1172)+SUM(#REF!+L1089+L1086+#REF!+L1111+L1092+L1097)</f>
        <v>#REF!</v>
      </c>
      <c r="M1689" s="41" t="e">
        <f>SUM(M43:M44)+SUM(#REF!)+SUM(M1115:M1172)+SUM(#REF!+M1089+M1086+#REF!+M1111+M1092+M1097)</f>
        <v>#REF!</v>
      </c>
      <c r="N1689" s="41">
        <v>3926832</v>
      </c>
      <c r="O1689" s="41">
        <v>10014480</v>
      </c>
      <c r="P1689" s="41">
        <v>10014480</v>
      </c>
      <c r="Q1689" s="186"/>
      <c r="R1689" s="150">
        <v>1952866</v>
      </c>
      <c r="S1689" s="150"/>
      <c r="T1689" s="41">
        <v>9708839</v>
      </c>
      <c r="U1689" s="41">
        <f>U1114+U44+U1080+U1082+U1085+U1088+U1104+U1108+U309+U1627+U812+U811</f>
        <v>43119</v>
      </c>
      <c r="V1689" s="41">
        <f>V1114+V44+V1080+V1082+V1085+V1088+V1104+V1108+V309+V1627+V812+V811</f>
        <v>103513</v>
      </c>
      <c r="W1689" s="32">
        <f>T1689+U1689-V1689</f>
        <v>9648445</v>
      </c>
    </row>
    <row r="1690" spans="1:23" ht="12">
      <c r="A1690" s="13"/>
      <c r="B1690" s="13"/>
      <c r="C1690" s="13"/>
      <c r="D1690" s="143" t="s">
        <v>265</v>
      </c>
      <c r="E1690" s="144" t="e">
        <f>E1688-E1689</f>
        <v>#REF!</v>
      </c>
      <c r="F1690" s="144" t="e">
        <f>F1688-F1689</f>
        <v>#REF!</v>
      </c>
      <c r="G1690" s="144" t="e">
        <f>G1688-G1689</f>
        <v>#REF!</v>
      </c>
      <c r="H1690" s="144" t="e">
        <f>H1688-H1689</f>
        <v>#REF!</v>
      </c>
      <c r="I1690" s="144"/>
      <c r="J1690" s="145" t="e">
        <f aca="true" t="shared" si="204" ref="J1690:P1690">J1688-J1689</f>
        <v>#REF!</v>
      </c>
      <c r="K1690" s="145" t="e">
        <f t="shared" si="204"/>
        <v>#REF!</v>
      </c>
      <c r="L1690" s="145" t="e">
        <f t="shared" si="204"/>
        <v>#REF!</v>
      </c>
      <c r="M1690" s="145" t="e">
        <f t="shared" si="204"/>
        <v>#REF!</v>
      </c>
      <c r="N1690" s="145">
        <v>63261972</v>
      </c>
      <c r="O1690" s="145">
        <v>57990225</v>
      </c>
      <c r="P1690" s="145">
        <f t="shared" si="204"/>
        <v>14982717</v>
      </c>
      <c r="Q1690" s="186">
        <f>P1690/O1690</f>
        <v>0.25836625051894524</v>
      </c>
      <c r="R1690" s="145">
        <f>R1688-R1689</f>
        <v>62400656</v>
      </c>
      <c r="S1690" s="145">
        <f>S1688-S1689</f>
        <v>93397769</v>
      </c>
      <c r="T1690" s="145">
        <v>65452078</v>
      </c>
      <c r="U1690" s="145">
        <f>U1688-U1689</f>
        <v>451073</v>
      </c>
      <c r="V1690" s="145">
        <f>V1688-V1689</f>
        <v>1886723</v>
      </c>
      <c r="W1690" s="32">
        <f t="shared" si="199"/>
        <v>64016428</v>
      </c>
    </row>
    <row r="1692" spans="11:23" ht="12">
      <c r="K1692" s="146"/>
      <c r="N1692" s="146"/>
      <c r="O1692" s="146"/>
      <c r="P1692" s="146"/>
      <c r="Q1692" s="190"/>
      <c r="R1692" s="146"/>
      <c r="S1692" s="146"/>
      <c r="T1692" s="146"/>
      <c r="U1692" s="146"/>
      <c r="V1692" s="146"/>
      <c r="W1692" s="146"/>
    </row>
  </sheetData>
  <sheetProtection/>
  <printOptions/>
  <pageMargins left="0.5905511811023623" right="0.5905511811023623" top="0.5905511811023623" bottom="0.5905511811023623" header="0.5118110236220472" footer="0.5118110236220472"/>
  <pageSetup firstPageNumber="8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G46"/>
  <sheetViews>
    <sheetView zoomScalePageLayoutView="0" workbookViewId="0" topLeftCell="A3">
      <pane xSplit="2" ySplit="7" topLeftCell="C31" activePane="bottomRight" state="frozen"/>
      <selection pane="topLeft" activeCell="A3" sqref="A3"/>
      <selection pane="topRight" activeCell="C3" sqref="C3"/>
      <selection pane="bottomLeft" activeCell="A10" sqref="A10"/>
      <selection pane="bottomRight" activeCell="C46" sqref="C46"/>
    </sheetView>
  </sheetViews>
  <sheetFormatPr defaultColWidth="9.00390625" defaultRowHeight="12.75"/>
  <cols>
    <col min="1" max="1" width="3.00390625" style="203" customWidth="1"/>
    <col min="2" max="2" width="20.00390625" style="205" customWidth="1"/>
    <col min="3" max="3" width="13.375" style="205" customWidth="1"/>
    <col min="4" max="4" width="9.25390625" style="205" customWidth="1"/>
    <col min="5" max="5" width="6.875" style="205" customWidth="1"/>
    <col min="6" max="6" width="9.25390625" style="205" customWidth="1"/>
    <col min="7" max="7" width="14.00390625" style="206" customWidth="1"/>
    <col min="8" max="16384" width="9.125" style="203" customWidth="1"/>
  </cols>
  <sheetData>
    <row r="8" spans="1:7" s="199" customFormat="1" ht="60">
      <c r="A8" s="197" t="s">
        <v>268</v>
      </c>
      <c r="B8" s="198" t="s">
        <v>269</v>
      </c>
      <c r="C8" s="198" t="s">
        <v>289</v>
      </c>
      <c r="D8" s="198" t="s">
        <v>290</v>
      </c>
      <c r="E8" s="198" t="s">
        <v>267</v>
      </c>
      <c r="F8" s="198" t="s">
        <v>288</v>
      </c>
      <c r="G8" s="7" t="s">
        <v>348</v>
      </c>
    </row>
    <row r="9" spans="1:7" ht="18.75" customHeight="1">
      <c r="A9" s="200">
        <v>1</v>
      </c>
      <c r="B9" s="201" t="s">
        <v>281</v>
      </c>
      <c r="C9" s="201">
        <v>19.5</v>
      </c>
      <c r="D9" s="201">
        <v>19.5</v>
      </c>
      <c r="E9" s="201">
        <v>0</v>
      </c>
      <c r="F9" s="201">
        <f>D9+E9</f>
        <v>19.5</v>
      </c>
      <c r="G9" s="202">
        <v>4680</v>
      </c>
    </row>
    <row r="10" spans="1:7" ht="38.25">
      <c r="A10" s="200">
        <v>2</v>
      </c>
      <c r="B10" s="201" t="s">
        <v>279</v>
      </c>
      <c r="C10" s="201"/>
      <c r="D10" s="201"/>
      <c r="E10" s="201"/>
      <c r="F10" s="201"/>
      <c r="G10" s="202"/>
    </row>
    <row r="11" spans="1:7" ht="12.75">
      <c r="A11" s="200"/>
      <c r="B11" s="201">
        <v>75011</v>
      </c>
      <c r="C11" s="201">
        <v>11</v>
      </c>
      <c r="D11" s="201">
        <v>11</v>
      </c>
      <c r="E11" s="201"/>
      <c r="F11" s="201">
        <f aca="true" t="shared" si="0" ref="F11:F45">D11+E11</f>
        <v>11</v>
      </c>
      <c r="G11" s="202">
        <f>39108+9890</f>
        <v>48998</v>
      </c>
    </row>
    <row r="12" spans="1:7" ht="12.75">
      <c r="A12" s="200"/>
      <c r="B12" s="201">
        <v>75020</v>
      </c>
      <c r="C12" s="201">
        <v>85.6</v>
      </c>
      <c r="D12" s="201">
        <v>83.1</v>
      </c>
      <c r="E12" s="201"/>
      <c r="F12" s="201">
        <f t="shared" si="0"/>
        <v>83.1</v>
      </c>
      <c r="G12" s="202">
        <v>204929</v>
      </c>
    </row>
    <row r="13" spans="1:7" ht="12.75">
      <c r="A13" s="200"/>
      <c r="B13" s="201">
        <v>80195</v>
      </c>
      <c r="C13" s="201">
        <v>1</v>
      </c>
      <c r="D13" s="201">
        <v>1</v>
      </c>
      <c r="E13" s="201"/>
      <c r="F13" s="201">
        <f t="shared" si="0"/>
        <v>1</v>
      </c>
      <c r="G13" s="204">
        <v>30672</v>
      </c>
    </row>
    <row r="14" spans="1:7" ht="12.75">
      <c r="A14" s="200"/>
      <c r="B14" s="201" t="s">
        <v>347</v>
      </c>
      <c r="C14" s="201">
        <v>3</v>
      </c>
      <c r="D14" s="201">
        <v>3</v>
      </c>
      <c r="E14" s="201"/>
      <c r="F14" s="201">
        <f t="shared" si="0"/>
        <v>3</v>
      </c>
      <c r="G14" s="204">
        <v>0</v>
      </c>
    </row>
    <row r="15" spans="1:7" ht="12.75">
      <c r="A15" s="200">
        <v>2</v>
      </c>
      <c r="B15" s="201" t="s">
        <v>280</v>
      </c>
      <c r="C15" s="201">
        <v>26</v>
      </c>
      <c r="D15" s="201">
        <v>17</v>
      </c>
      <c r="E15" s="201">
        <v>9</v>
      </c>
      <c r="F15" s="201">
        <f t="shared" si="0"/>
        <v>26</v>
      </c>
      <c r="G15" s="202">
        <f>72134</f>
        <v>72134</v>
      </c>
    </row>
    <row r="16" spans="1:7" ht="25.5">
      <c r="A16" s="200">
        <v>3</v>
      </c>
      <c r="B16" s="201" t="s">
        <v>277</v>
      </c>
      <c r="C16" s="201">
        <f>57.5+4</f>
        <v>61.5</v>
      </c>
      <c r="D16" s="201">
        <f>57.5+4</f>
        <v>61.5</v>
      </c>
      <c r="E16" s="201">
        <v>0</v>
      </c>
      <c r="F16" s="201">
        <f t="shared" si="0"/>
        <v>61.5</v>
      </c>
      <c r="G16" s="202">
        <v>78780</v>
      </c>
    </row>
    <row r="17" spans="1:7" ht="12.75">
      <c r="A17" s="200">
        <v>4</v>
      </c>
      <c r="B17" s="201" t="s">
        <v>270</v>
      </c>
      <c r="C17" s="201">
        <v>45</v>
      </c>
      <c r="D17" s="201">
        <v>45</v>
      </c>
      <c r="E17" s="201">
        <v>0</v>
      </c>
      <c r="F17" s="201">
        <f t="shared" si="0"/>
        <v>45</v>
      </c>
      <c r="G17" s="202">
        <v>22300</v>
      </c>
    </row>
    <row r="18" spans="1:7" ht="12.75">
      <c r="A18" s="200">
        <v>5</v>
      </c>
      <c r="B18" s="201" t="s">
        <v>271</v>
      </c>
      <c r="C18" s="201">
        <v>78</v>
      </c>
      <c r="D18" s="207">
        <v>66.84</v>
      </c>
      <c r="E18" s="201">
        <v>0</v>
      </c>
      <c r="F18" s="201">
        <f t="shared" si="0"/>
        <v>66.84</v>
      </c>
      <c r="G18" s="202">
        <v>39400</v>
      </c>
    </row>
    <row r="19" spans="1:7" ht="12.75">
      <c r="A19" s="200"/>
      <c r="B19" s="201" t="s">
        <v>274</v>
      </c>
      <c r="C19" s="201">
        <v>8</v>
      </c>
      <c r="D19" s="201">
        <v>8</v>
      </c>
      <c r="E19" s="201">
        <v>0</v>
      </c>
      <c r="F19" s="201">
        <f t="shared" si="0"/>
        <v>8</v>
      </c>
      <c r="G19" s="202" t="s">
        <v>276</v>
      </c>
    </row>
    <row r="20" spans="1:7" ht="25.5">
      <c r="A20" s="200">
        <v>6</v>
      </c>
      <c r="B20" s="201" t="s">
        <v>272</v>
      </c>
      <c r="C20" s="201">
        <v>52</v>
      </c>
      <c r="D20" s="201">
        <v>48</v>
      </c>
      <c r="E20" s="201">
        <v>0</v>
      </c>
      <c r="F20" s="201">
        <f t="shared" si="0"/>
        <v>48</v>
      </c>
      <c r="G20" s="202">
        <v>68000</v>
      </c>
    </row>
    <row r="21" spans="1:7" ht="25.5">
      <c r="A21" s="200">
        <v>7</v>
      </c>
      <c r="B21" s="201" t="s">
        <v>273</v>
      </c>
      <c r="C21" s="201">
        <v>35.5</v>
      </c>
      <c r="D21" s="201">
        <v>35.5</v>
      </c>
      <c r="E21" s="201">
        <v>0</v>
      </c>
      <c r="F21" s="201">
        <f t="shared" si="0"/>
        <v>35.5</v>
      </c>
      <c r="G21" s="202">
        <v>14000</v>
      </c>
    </row>
    <row r="22" spans="1:7" ht="25.5">
      <c r="A22" s="200"/>
      <c r="B22" s="201" t="s">
        <v>291</v>
      </c>
      <c r="C22" s="201">
        <v>9</v>
      </c>
      <c r="D22" s="201">
        <v>9</v>
      </c>
      <c r="E22" s="201">
        <v>0</v>
      </c>
      <c r="F22" s="201">
        <f t="shared" si="0"/>
        <v>9</v>
      </c>
      <c r="G22" s="202">
        <v>4000</v>
      </c>
    </row>
    <row r="23" spans="1:6" ht="12.75">
      <c r="A23" s="200">
        <v>8</v>
      </c>
      <c r="B23" s="201" t="s">
        <v>275</v>
      </c>
      <c r="F23" s="201">
        <f t="shared" si="0"/>
        <v>0</v>
      </c>
    </row>
    <row r="24" spans="1:7" ht="12.75">
      <c r="A24" s="200"/>
      <c r="B24" s="201">
        <v>85218</v>
      </c>
      <c r="C24" s="201">
        <v>12</v>
      </c>
      <c r="D24" s="201">
        <v>11</v>
      </c>
      <c r="E24" s="201">
        <v>0</v>
      </c>
      <c r="F24" s="201">
        <f t="shared" si="0"/>
        <v>11</v>
      </c>
      <c r="G24" s="202">
        <v>12173</v>
      </c>
    </row>
    <row r="25" spans="1:7" ht="12.75">
      <c r="A25" s="200"/>
      <c r="B25" s="201">
        <v>85220</v>
      </c>
      <c r="C25" s="201">
        <v>1</v>
      </c>
      <c r="D25" s="201">
        <v>1</v>
      </c>
      <c r="E25" s="201">
        <v>0</v>
      </c>
      <c r="F25" s="201">
        <f t="shared" si="0"/>
        <v>1</v>
      </c>
      <c r="G25" s="202" t="s">
        <v>276</v>
      </c>
    </row>
    <row r="26" spans="1:7" ht="12.75">
      <c r="A26" s="200"/>
      <c r="B26" s="205">
        <v>85321</v>
      </c>
      <c r="C26" s="201">
        <v>0</v>
      </c>
      <c r="D26" s="201">
        <v>0</v>
      </c>
      <c r="E26" s="201">
        <v>0</v>
      </c>
      <c r="F26" s="201">
        <f t="shared" si="0"/>
        <v>0</v>
      </c>
      <c r="G26" s="202" t="s">
        <v>276</v>
      </c>
    </row>
    <row r="27" spans="1:7" ht="12.75">
      <c r="A27" s="200">
        <v>9</v>
      </c>
      <c r="B27" s="201" t="s">
        <v>278</v>
      </c>
      <c r="C27" s="201">
        <v>8.5</v>
      </c>
      <c r="D27" s="201">
        <v>8.5</v>
      </c>
      <c r="E27" s="201"/>
      <c r="F27" s="201">
        <f t="shared" si="0"/>
        <v>8.5</v>
      </c>
      <c r="G27" s="202" t="s">
        <v>276</v>
      </c>
    </row>
    <row r="28" spans="1:7" ht="25.5">
      <c r="A28" s="200">
        <v>10</v>
      </c>
      <c r="B28" s="201" t="s">
        <v>283</v>
      </c>
      <c r="C28" s="201"/>
      <c r="D28" s="201"/>
      <c r="E28" s="201"/>
      <c r="F28" s="201">
        <f t="shared" si="0"/>
        <v>0</v>
      </c>
      <c r="G28" s="202"/>
    </row>
    <row r="29" spans="1:7" ht="12.75">
      <c r="A29" s="200"/>
      <c r="B29" s="201">
        <v>80120</v>
      </c>
      <c r="C29" s="201">
        <v>19</v>
      </c>
      <c r="D29" s="201">
        <v>0</v>
      </c>
      <c r="E29" s="201">
        <v>19</v>
      </c>
      <c r="F29" s="201">
        <f t="shared" si="0"/>
        <v>19</v>
      </c>
      <c r="G29" s="202">
        <v>14588</v>
      </c>
    </row>
    <row r="30" spans="1:7" ht="12.75">
      <c r="A30" s="200"/>
      <c r="B30" s="201">
        <v>80130</v>
      </c>
      <c r="C30" s="201">
        <v>92.11</v>
      </c>
      <c r="D30" s="201">
        <v>24</v>
      </c>
      <c r="E30" s="201">
        <v>68.11</v>
      </c>
      <c r="F30" s="201">
        <f t="shared" si="0"/>
        <v>92.11</v>
      </c>
      <c r="G30" s="202">
        <v>49377</v>
      </c>
    </row>
    <row r="31" spans="1:7" ht="12.75">
      <c r="A31" s="200"/>
      <c r="B31" s="201">
        <v>80148</v>
      </c>
      <c r="C31" s="201">
        <v>7</v>
      </c>
      <c r="D31" s="201">
        <v>7</v>
      </c>
      <c r="E31" s="201">
        <v>0</v>
      </c>
      <c r="F31" s="201">
        <f t="shared" si="0"/>
        <v>7</v>
      </c>
      <c r="G31" s="202">
        <v>0</v>
      </c>
    </row>
    <row r="32" spans="1:7" ht="12.75">
      <c r="A32" s="200"/>
      <c r="B32" s="201">
        <v>85410</v>
      </c>
      <c r="C32" s="201">
        <v>10</v>
      </c>
      <c r="D32" s="201">
        <v>3</v>
      </c>
      <c r="E32" s="201">
        <v>7</v>
      </c>
      <c r="F32" s="201">
        <f t="shared" si="0"/>
        <v>10</v>
      </c>
      <c r="G32" s="202">
        <v>16068</v>
      </c>
    </row>
    <row r="33" spans="1:7" ht="12.75">
      <c r="A33" s="200">
        <v>11</v>
      </c>
      <c r="B33" s="201" t="s">
        <v>282</v>
      </c>
      <c r="C33" s="201"/>
      <c r="D33" s="201"/>
      <c r="E33" s="201"/>
      <c r="F33" s="201">
        <f t="shared" si="0"/>
        <v>0</v>
      </c>
      <c r="G33" s="202"/>
    </row>
    <row r="34" spans="1:7" ht="12.75">
      <c r="A34" s="200"/>
      <c r="B34" s="201">
        <v>80120</v>
      </c>
      <c r="C34" s="201">
        <v>21.07</v>
      </c>
      <c r="D34" s="201">
        <v>0</v>
      </c>
      <c r="E34" s="201">
        <v>21.07</v>
      </c>
      <c r="F34" s="201">
        <f t="shared" si="0"/>
        <v>21.07</v>
      </c>
      <c r="G34" s="202">
        <v>38982</v>
      </c>
    </row>
    <row r="35" spans="1:7" ht="12.75">
      <c r="A35" s="200"/>
      <c r="B35" s="201">
        <v>80130</v>
      </c>
      <c r="C35" s="201">
        <v>26.43</v>
      </c>
      <c r="D35" s="201">
        <v>10</v>
      </c>
      <c r="E35" s="201">
        <v>16.43</v>
      </c>
      <c r="F35" s="201">
        <f t="shared" si="0"/>
        <v>26.43</v>
      </c>
      <c r="G35" s="202">
        <v>23873</v>
      </c>
    </row>
    <row r="36" spans="1:7" ht="12.75">
      <c r="A36" s="200"/>
      <c r="B36" s="201">
        <v>80195</v>
      </c>
      <c r="C36" s="201">
        <v>5</v>
      </c>
      <c r="D36" s="201">
        <v>5</v>
      </c>
      <c r="E36" s="201">
        <v>0</v>
      </c>
      <c r="F36" s="201">
        <f t="shared" si="0"/>
        <v>5</v>
      </c>
      <c r="G36" s="202">
        <v>0</v>
      </c>
    </row>
    <row r="37" spans="1:7" ht="12.75">
      <c r="A37" s="200">
        <v>12</v>
      </c>
      <c r="B37" s="201" t="s">
        <v>284</v>
      </c>
      <c r="C37" s="201"/>
      <c r="D37" s="201"/>
      <c r="E37" s="201"/>
      <c r="F37" s="201">
        <f t="shared" si="0"/>
        <v>0</v>
      </c>
      <c r="G37" s="202"/>
    </row>
    <row r="38" spans="1:7" ht="12.75">
      <c r="A38" s="200"/>
      <c r="B38" s="201">
        <v>80102</v>
      </c>
      <c r="C38" s="201">
        <v>19.47</v>
      </c>
      <c r="D38" s="201">
        <v>5</v>
      </c>
      <c r="E38" s="201">
        <v>14.47</v>
      </c>
      <c r="F38" s="201">
        <f t="shared" si="0"/>
        <v>19.47</v>
      </c>
      <c r="G38" s="202">
        <f>1596+17396+7070</f>
        <v>26062</v>
      </c>
    </row>
    <row r="39" spans="1:7" ht="12.75">
      <c r="A39" s="200"/>
      <c r="B39" s="201">
        <v>80111</v>
      </c>
      <c r="C39" s="201">
        <v>10.1</v>
      </c>
      <c r="D39" s="201">
        <v>0</v>
      </c>
      <c r="E39" s="201">
        <v>10.1</v>
      </c>
      <c r="F39" s="201">
        <f t="shared" si="0"/>
        <v>10.1</v>
      </c>
      <c r="G39" s="202">
        <f>14613+4870</f>
        <v>19483</v>
      </c>
    </row>
    <row r="40" spans="1:7" ht="12.75">
      <c r="A40" s="200"/>
      <c r="B40" s="201">
        <v>80148</v>
      </c>
      <c r="C40" s="201">
        <v>3</v>
      </c>
      <c r="D40" s="201">
        <v>3</v>
      </c>
      <c r="E40" s="201">
        <v>0</v>
      </c>
      <c r="F40" s="201">
        <f t="shared" si="0"/>
        <v>3</v>
      </c>
      <c r="G40" s="202">
        <v>0</v>
      </c>
    </row>
    <row r="41" spans="1:7" ht="12.75">
      <c r="A41" s="200"/>
      <c r="B41" s="201">
        <v>80134</v>
      </c>
      <c r="C41" s="201">
        <v>6</v>
      </c>
      <c r="D41" s="201">
        <v>0</v>
      </c>
      <c r="E41" s="201">
        <v>6</v>
      </c>
      <c r="F41" s="201">
        <f t="shared" si="0"/>
        <v>6</v>
      </c>
      <c r="G41" s="202">
        <v>21829</v>
      </c>
    </row>
    <row r="42" spans="1:7" ht="12.75">
      <c r="A42" s="200"/>
      <c r="B42" s="201">
        <v>85401</v>
      </c>
      <c r="C42" s="201">
        <v>3</v>
      </c>
      <c r="D42" s="201">
        <v>1</v>
      </c>
      <c r="E42" s="201">
        <v>2</v>
      </c>
      <c r="F42" s="201">
        <f t="shared" si="0"/>
        <v>3</v>
      </c>
      <c r="G42" s="202">
        <v>0</v>
      </c>
    </row>
    <row r="43" spans="1:7" ht="38.25">
      <c r="A43" s="200">
        <v>13</v>
      </c>
      <c r="B43" s="201" t="s">
        <v>285</v>
      </c>
      <c r="C43" s="201"/>
      <c r="D43" s="201"/>
      <c r="E43" s="201"/>
      <c r="F43" s="201">
        <f t="shared" si="0"/>
        <v>0</v>
      </c>
      <c r="G43" s="202"/>
    </row>
    <row r="44" spans="1:7" ht="12.75">
      <c r="A44" s="200"/>
      <c r="B44" s="201">
        <v>80132</v>
      </c>
      <c r="C44" s="201">
        <v>30.46</v>
      </c>
      <c r="D44" s="201">
        <v>4</v>
      </c>
      <c r="E44" s="201">
        <v>26.46</v>
      </c>
      <c r="F44" s="201">
        <f t="shared" si="0"/>
        <v>30.46</v>
      </c>
      <c r="G44" s="202">
        <v>4398</v>
      </c>
    </row>
    <row r="45" spans="1:7" ht="12.75">
      <c r="A45" s="200">
        <v>14</v>
      </c>
      <c r="B45" s="201" t="s">
        <v>286</v>
      </c>
      <c r="C45" s="201">
        <v>13.13</v>
      </c>
      <c r="D45" s="201">
        <v>3.13</v>
      </c>
      <c r="E45" s="201">
        <v>10</v>
      </c>
      <c r="F45" s="201">
        <f t="shared" si="0"/>
        <v>13.129999999999999</v>
      </c>
      <c r="G45" s="202">
        <v>0</v>
      </c>
    </row>
    <row r="46" spans="1:7" s="6" customFormat="1" ht="29.25" customHeight="1">
      <c r="A46" s="3"/>
      <c r="B46" s="4" t="s">
        <v>287</v>
      </c>
      <c r="C46" s="4">
        <f>SUM(C9:C45)</f>
        <v>722.3700000000001</v>
      </c>
      <c r="D46" s="4">
        <f>SUM(D9:D45)</f>
        <v>494.07</v>
      </c>
      <c r="E46" s="4">
        <f>SUM(E9:E45)</f>
        <v>209.64000000000001</v>
      </c>
      <c r="F46" s="4">
        <f>SUM(F9:F45)</f>
        <v>703.71</v>
      </c>
      <c r="G46" s="5">
        <f>SUM(G9:G45)</f>
        <v>814726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2010-08-17T11:00:34Z</cp:lastPrinted>
  <dcterms:created xsi:type="dcterms:W3CDTF">1997-02-26T13:46:56Z</dcterms:created>
  <dcterms:modified xsi:type="dcterms:W3CDTF">2010-08-17T11:00:35Z</dcterms:modified>
  <cp:category/>
  <cp:version/>
  <cp:contentType/>
  <cp:contentStatus/>
</cp:coreProperties>
</file>