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firstSheet="2" activeTab="2"/>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 r:id="rId26"/>
    <externalReference r:id="rId27"/>
  </externalReferences>
  <definedNames/>
  <calcPr fullCalcOnLoad="1"/>
</workbook>
</file>

<file path=xl/sharedStrings.xml><?xml version="1.0" encoding="utf-8"?>
<sst xmlns="http://schemas.openxmlformats.org/spreadsheetml/2006/main" count="1802" uniqueCount="761">
  <si>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</si>
  <si>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</si>
  <si>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</si>
  <si>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</si>
  <si>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</si>
  <si>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</si>
  <si>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</si>
  <si>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</si>
  <si>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</si>
  <si>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</si>
  <si>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</si>
  <si>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</si>
  <si>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</si>
  <si>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</si>
  <si>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</si>
  <si>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</si>
  <si>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</si>
  <si>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</si>
  <si>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</si>
  <si>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</si>
  <si>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</si>
  <si>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</si>
  <si>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</si>
  <si>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</si>
  <si>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</si>
  <si>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</si>
  <si>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</si>
  <si>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</si>
  <si>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</si>
  <si>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</si>
  <si>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</si>
  <si>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</si>
  <si>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Droga2021 Świerczynki-Ostaszewo od km 5+321 do 6+822 na dł. 1,501 km</t>
  </si>
  <si>
    <t>Droga2019 Chełmża-Brąchnowo-Pigża od km 7+097 do km 9+197 na dł. 2,100 km</t>
  </si>
  <si>
    <t>Droga 2031 Zelgno-Zelgno Bezdół od km 0+000 do km 0+380 na dł.0,380 km</t>
  </si>
  <si>
    <t xml:space="preserve">Pomoc  dla  repatriantów </t>
  </si>
  <si>
    <t>.85334</t>
  </si>
  <si>
    <t>Dotacje otrzymane z funduszy celowych na realizację zadań bieżących jednostek sektora finansów publicznych  </t>
  </si>
  <si>
    <t>środki pochodzące
z innych  źródeł (fundusze powiatu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</si>
  <si>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</si>
  <si>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</si>
  <si>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</si>
  <si>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</si>
  <si>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2011 r.-2013***</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</si>
  <si>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</si>
  <si>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</si>
  <si>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</si>
  <si>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</si>
  <si>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</si>
  <si>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</si>
  <si>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LP</t>
  </si>
  <si>
    <t xml:space="preserve">ŻRODŁA DOCHODÓW </t>
  </si>
  <si>
    <t>BIEŻĄCE</t>
  </si>
  <si>
    <t>MAJĄTKOWE</t>
  </si>
  <si>
    <t xml:space="preserve">ZGODNIE  Z   ZAŁ. NR   DO  UCHWAŁY </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</si>
  <si>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</si>
  <si>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</si>
  <si>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</si>
  <si>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Dotacje  udzielane   przez inne   samorządy</t>
  </si>
  <si>
    <t>Dochody   własne    w tym  :</t>
  </si>
  <si>
    <t xml:space="preserve"> -   subwencje </t>
  </si>
  <si>
    <t xml:space="preserve"> - udziały   w   dochodach  w  podatkach           stanowiących   dochód    budżetu  państwa                                                                                     </t>
  </si>
  <si>
    <t xml:space="preserve">- udziały      w   dochodach  skarbu  państwa        w  związku  z  realizacją  zadań  z  zakresu  administracji  rządowej oraz  innych  zadań  zleconych  ustawami                                                   </t>
  </si>
  <si>
    <t>0</t>
  </si>
  <si>
    <t xml:space="preserve">- pozostałe dochody </t>
  </si>
  <si>
    <t xml:space="preserve">DOCHODY   RAZEM  </t>
  </si>
  <si>
    <t xml:space="preserve">WYODRĘBNIENIE  WYDATKÓW </t>
  </si>
  <si>
    <t xml:space="preserve">WYDATKI  BIEŻĄCE </t>
  </si>
  <si>
    <t>WYNAGRODZENIE  OSOBOWE</t>
  </si>
  <si>
    <t>DODATKOWE   WYNAGRODZENIE  ROCZNE</t>
  </si>
  <si>
    <t>ZUS,  FUNDUSZ  PRACY</t>
  </si>
  <si>
    <t xml:space="preserve">DOTACJE </t>
  </si>
  <si>
    <t>W  TYM :</t>
  </si>
  <si>
    <t>WYDATKI  NA  OBSŁUGĘ  DŁUGU  PUBLICZNEGO</t>
  </si>
  <si>
    <t>ZGODNE   Z  ZAŁĄCZNIKIEM  NR  :</t>
  </si>
  <si>
    <t>A</t>
  </si>
  <si>
    <t>B</t>
  </si>
  <si>
    <t>C</t>
  </si>
  <si>
    <t>D</t>
  </si>
  <si>
    <t>E</t>
  </si>
  <si>
    <t>F</t>
  </si>
  <si>
    <t>G</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</si>
  <si>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</si>
  <si>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</si>
  <si>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</si>
  <si>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</si>
  <si>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</si>
  <si>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</si>
  <si>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</si>
  <si>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</si>
  <si>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</si>
  <si>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</si>
  <si>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</si>
  <si>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</si>
  <si>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</si>
  <si>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</si>
  <si>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</si>
  <si>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</si>
  <si>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</si>
  <si>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</si>
  <si>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dotacje  z funduszu  celowego   na  finansowanie  lub  dofinansowanie kosztów    realizacji   inwestycji  i  zakupów   inwestycyjnych   j.s.f.p</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</si>
  <si>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</si>
  <si>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</si>
  <si>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</si>
  <si>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</si>
  <si>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</si>
  <si>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</si>
  <si>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</si>
  <si>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</si>
  <si>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</si>
  <si>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</si>
  <si>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</si>
  <si>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</si>
  <si>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</si>
  <si>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</si>
  <si>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</si>
  <si>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</si>
  <si>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</si>
  <si>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</si>
  <si>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</si>
  <si>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</si>
  <si>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</si>
  <si>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WYDATKI</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</si>
  <si>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</si>
  <si>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</si>
  <si>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</si>
  <si>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</si>
  <si>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</si>
  <si>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</si>
  <si>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</si>
  <si>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</si>
  <si>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</si>
  <si>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</si>
  <si>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</si>
  <si>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</si>
  <si>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</si>
  <si>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</si>
  <si>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</si>
  <si>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</si>
  <si>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</si>
  <si>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</si>
  <si>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</si>
  <si>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</si>
  <si>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</si>
  <si>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</si>
  <si>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</si>
  <si>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</si>
  <si>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</si>
  <si>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</si>
  <si>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</si>
  <si>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</si>
  <si>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</si>
  <si>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</si>
  <si>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</si>
  <si>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</si>
  <si>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</si>
  <si>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</si>
  <si>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</si>
  <si>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</si>
  <si>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</si>
  <si>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</si>
  <si>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</si>
  <si>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</si>
  <si>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</si>
  <si>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</si>
  <si>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</si>
  <si>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</si>
  <si>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</si>
  <si>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</si>
  <si>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</si>
  <si>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</si>
  <si>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</si>
  <si>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</si>
  <si>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</si>
  <si>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</si>
  <si>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</si>
  <si>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</si>
  <si>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</si>
  <si>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</si>
  <si>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</si>
  <si>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</si>
  <si>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</si>
  <si>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</si>
  <si>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</si>
  <si>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</si>
  <si>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</si>
  <si>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</si>
  <si>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</si>
  <si>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</si>
  <si>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</si>
  <si>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</si>
  <si>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</si>
  <si>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</si>
  <si>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</si>
  <si>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</si>
  <si>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</si>
  <si>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</si>
  <si>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</si>
  <si>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</si>
  <si>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</si>
  <si>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</si>
  <si>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</si>
  <si>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</si>
  <si>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</si>
  <si>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</si>
  <si>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</si>
  <si>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</si>
  <si>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</si>
  <si>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</si>
  <si>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</si>
  <si>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</si>
  <si>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</si>
  <si>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</si>
  <si>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</si>
  <si>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</si>
  <si>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</si>
  <si>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</si>
  <si>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</si>
  <si>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</si>
  <si>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</si>
  <si>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</si>
  <si>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</si>
  <si>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</si>
  <si>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</si>
  <si>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</si>
  <si>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</si>
  <si>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</si>
  <si>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</si>
  <si>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</si>
  <si>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</si>
  <si>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</si>
  <si>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</si>
  <si>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</si>
  <si>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</si>
  <si>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</si>
  <si>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</si>
  <si>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</si>
  <si>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</si>
  <si>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</si>
  <si>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</si>
  <si>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</si>
  <si>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</si>
  <si>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</si>
  <si>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</si>
  <si>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</si>
  <si>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</si>
  <si>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środki wymienione
w art. 5 ust. 1 pkt 2 i 3 u.f.p.</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</si>
  <si>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</si>
  <si>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</si>
  <si>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</si>
  <si>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</si>
  <si>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</si>
  <si>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</si>
  <si>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</si>
  <si>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</si>
  <si>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</si>
  <si>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</si>
  <si>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</si>
  <si>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</si>
  <si>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</si>
  <si>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</si>
  <si>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</si>
  <si>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</si>
  <si>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</si>
  <si>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</si>
  <si>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</si>
  <si>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</si>
  <si>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</si>
  <si>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</si>
  <si>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</si>
  <si>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</si>
  <si>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</si>
  <si>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</si>
  <si>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</si>
  <si>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</si>
  <si>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</si>
  <si>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</si>
  <si>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</si>
  <si>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</si>
  <si>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</si>
  <si>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</si>
  <si>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</si>
  <si>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</si>
  <si>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</si>
  <si>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</si>
  <si>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</si>
  <si>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</si>
  <si>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</si>
  <si>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</si>
  <si>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</si>
  <si>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</si>
  <si>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</si>
  <si>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</si>
  <si>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</si>
  <si>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</si>
  <si>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</si>
  <si>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</si>
  <si>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</si>
  <si>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</si>
  <si>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</si>
  <si>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</si>
  <si>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</si>
  <si>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</si>
  <si>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</si>
  <si>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</si>
  <si>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</si>
  <si>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</si>
  <si>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</si>
  <si>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</si>
  <si>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</si>
  <si>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</si>
  <si>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</si>
  <si>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</si>
  <si>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</si>
  <si>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</si>
  <si>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</si>
  <si>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</si>
  <si>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</si>
  <si>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</si>
  <si>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</si>
  <si>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</si>
  <si>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</si>
  <si>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</si>
  <si>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</si>
  <si>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</si>
  <si>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</si>
  <si>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</si>
  <si>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</si>
  <si>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</si>
  <si>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</si>
  <si>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</si>
  <si>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</si>
  <si>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</si>
  <si>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</si>
  <si>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</si>
  <si>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</si>
  <si>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</si>
  <si>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</si>
  <si>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</si>
  <si>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</si>
  <si>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</si>
  <si>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</si>
  <si>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</si>
  <si>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</si>
  <si>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</si>
  <si>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</si>
  <si>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</si>
  <si>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</si>
  <si>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</si>
  <si>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</si>
  <si>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</si>
  <si>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</si>
  <si>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</si>
  <si>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</si>
  <si>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</si>
  <si>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</si>
  <si>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</si>
  <si>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</si>
  <si>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</si>
  <si>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</si>
  <si>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</si>
  <si>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</si>
  <si>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</si>
  <si>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</si>
  <si>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</si>
  <si>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</si>
  <si>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</si>
  <si>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</si>
  <si>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</si>
  <si>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</si>
  <si>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</si>
  <si>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</si>
  <si>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</si>
  <si>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</si>
  <si>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</si>
  <si>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</si>
  <si>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</si>
  <si>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</si>
  <si>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</si>
  <si>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</si>
  <si>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</si>
  <si>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</si>
  <si>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</si>
  <si>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</si>
  <si>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</si>
  <si>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</si>
  <si>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2037 Dobrzejewice-Świętosław-Mazowsze od km 0+000 do km 8+450 na dł.8,450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</si>
  <si>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</si>
  <si>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</si>
  <si>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</si>
  <si>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</si>
  <si>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</si>
  <si>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</si>
  <si>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</si>
  <si>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</si>
  <si>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</si>
  <si>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</si>
  <si>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</si>
  <si>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</si>
  <si>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</si>
  <si>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</si>
  <si>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</si>
  <si>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</si>
  <si>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</si>
  <si>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</si>
  <si>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</si>
  <si>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</si>
  <si>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</si>
  <si>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</si>
  <si>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</si>
  <si>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</si>
  <si>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</si>
  <si>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</si>
  <si>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</si>
  <si>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</si>
  <si>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</si>
  <si>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</si>
  <si>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</si>
  <si>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</si>
  <si>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</si>
  <si>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</si>
  <si>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</si>
  <si>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</si>
  <si>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</si>
  <si>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</si>
  <si>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</si>
  <si>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</si>
  <si>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</si>
  <si>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</si>
  <si>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</si>
  <si>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</si>
  <si>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</si>
  <si>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</si>
  <si>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</si>
  <si>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</si>
  <si>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</si>
  <si>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</si>
  <si>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</si>
  <si>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</si>
  <si>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</si>
  <si>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</si>
  <si>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</si>
  <si>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</si>
  <si>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</si>
  <si>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</si>
  <si>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</si>
  <si>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</si>
  <si>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</si>
  <si>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</si>
  <si>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</si>
  <si>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</si>
  <si>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</si>
  <si>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</si>
  <si>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</si>
  <si>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</si>
  <si>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</si>
  <si>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</si>
  <si>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</si>
  <si>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</si>
  <si>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</si>
  <si>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</si>
  <si>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</si>
  <si>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</si>
  <si>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</si>
  <si>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</si>
  <si>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</si>
  <si>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</si>
  <si>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</si>
  <si>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</si>
  <si>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</si>
  <si>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</si>
  <si>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</si>
  <si>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</si>
  <si>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</si>
  <si>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</si>
  <si>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</si>
  <si>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</si>
  <si>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</si>
  <si>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</si>
  <si>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</si>
  <si>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</si>
  <si>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</si>
  <si>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</si>
  <si>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</si>
  <si>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</si>
  <si>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</si>
  <si>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</si>
  <si>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</si>
  <si>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</si>
  <si>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</si>
  <si>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</si>
  <si>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</si>
  <si>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</si>
  <si>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</si>
  <si>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</si>
  <si>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</si>
  <si>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</si>
  <si>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</si>
  <si>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</si>
  <si>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</si>
  <si>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</si>
  <si>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</si>
  <si>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</si>
  <si>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</si>
  <si>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</si>
  <si>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</si>
  <si>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</si>
  <si>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</si>
  <si>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</si>
  <si>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</si>
  <si>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</si>
  <si>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</si>
  <si>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</si>
  <si>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</si>
  <si>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</si>
  <si>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</si>
  <si>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</si>
  <si>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</si>
  <si>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</si>
  <si>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</si>
  <si>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</si>
  <si>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</si>
  <si>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</si>
  <si>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</si>
  <si>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</si>
  <si>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</si>
  <si>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</si>
  <si>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</si>
  <si>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</si>
  <si>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</si>
  <si>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</si>
  <si>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</si>
  <si>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</si>
  <si>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</si>
  <si>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</si>
  <si>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</si>
  <si>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</si>
  <si>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</si>
  <si>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</si>
  <si>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</si>
  <si>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</si>
  <si>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</si>
  <si>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</si>
  <si>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</si>
  <si>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</si>
  <si>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</si>
  <si>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</si>
  <si>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</si>
  <si>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</si>
  <si>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</si>
  <si>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</si>
  <si>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</si>
  <si>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</si>
  <si>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</si>
  <si>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</si>
  <si>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</si>
  <si>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</si>
  <si>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</si>
  <si>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</si>
  <si>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</si>
  <si>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</si>
  <si>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</si>
  <si>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</si>
  <si>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</si>
  <si>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</si>
  <si>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</si>
  <si>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</si>
  <si>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</si>
  <si>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</si>
  <si>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</si>
  <si>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</si>
  <si>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</si>
  <si>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</si>
  <si>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</si>
  <si>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</si>
  <si>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</si>
  <si>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</si>
  <si>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</si>
  <si>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</si>
  <si>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</si>
  <si>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</si>
  <si>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</si>
  <si>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</si>
  <si>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</si>
  <si>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</si>
  <si>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</si>
  <si>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</si>
  <si>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</si>
  <si>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</si>
  <si>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</si>
  <si>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</si>
  <si>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</si>
  <si>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</si>
  <si>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</si>
  <si>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</si>
  <si>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</si>
  <si>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</si>
  <si>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</si>
  <si>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</si>
  <si>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</si>
  <si>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</si>
  <si>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</si>
  <si>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</si>
  <si>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</si>
  <si>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</si>
  <si>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</si>
  <si>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</si>
  <si>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</si>
  <si>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</si>
  <si>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801/80195</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</si>
  <si>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</si>
  <si>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</si>
  <si>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</si>
  <si>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</si>
  <si>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</si>
  <si>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</si>
  <si>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</si>
  <si>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</si>
  <si>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STAROSTWO POWIATOWE  I  DPS</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</si>
  <si>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</si>
  <si>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</si>
  <si>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</si>
  <si>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</si>
  <si>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</si>
  <si>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</si>
  <si>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</si>
  <si>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</si>
  <si>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</si>
  <si>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</si>
  <si>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</si>
  <si>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</si>
  <si>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</si>
  <si>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</si>
  <si>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</si>
  <si>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</si>
  <si>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</si>
  <si>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</si>
  <si>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</si>
  <si>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</si>
  <si>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</si>
  <si>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</si>
  <si>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</si>
  <si>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</si>
  <si>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</si>
  <si>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</si>
  <si>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</si>
  <si>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Dotacje   rozwojowe </t>
  </si>
  <si>
    <t>1 , 10</t>
  </si>
  <si>
    <t xml:space="preserve">Wynagrodzenia osobowe członków  korpusu  służby  cywilnej </t>
  </si>
  <si>
    <t>OBRONA  NARODOWA</t>
  </si>
  <si>
    <t>w  tym  na programy  współfinansowane   z  UE</t>
  </si>
  <si>
    <t>2,3,3A,4</t>
  </si>
  <si>
    <t xml:space="preserve">WYDATKI  NAA PROJEKTY  I  PROGRAMY   REALIZOWANE   PRZY UDZIALE   ŚRODKÓW  , O  KTÓRYCH  MOWA  W  ART..5 UST.1  I  PKT  2  I  3   USTAWY  O  FINANSACH  PUBLICZNYCH  ,  nie   wykazane   w  pkt  a-d </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</si>
  <si>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</si>
  <si>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</si>
  <si>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</si>
  <si>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</si>
  <si>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</si>
  <si>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</si>
  <si>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</si>
  <si>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</si>
  <si>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</si>
  <si>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</si>
  <si>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</si>
  <si>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</si>
  <si>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obligacje  komunalne   z  roku  2010</t>
  </si>
  <si>
    <t>Planowane w roku budżetowym   2009,2010,2011  (bez prefinansowania):</t>
  </si>
  <si>
    <t>Rozliczenia
z budżetem
z tytułu wpłat nadwyżek środków za 2009 r.</t>
  </si>
  <si>
    <t xml:space="preserve">dotacje  z funduszu  celowego   na  finansowanie  lub  dofinansowanie kosztów    realizacji zadań bieżących   jednostek  spoza  sfery  finansów  publicznych </t>
  </si>
  <si>
    <t xml:space="preserve">Razem    fundusz </t>
  </si>
  <si>
    <t>Dotacje   rozwojowe   2009  r.</t>
  </si>
  <si>
    <t>rok budżetowy 2009 (8+9+10+11)</t>
  </si>
  <si>
    <t>Droga  2023 Chełmża-Świętosław -Węgorzyn od km 1+236 do 3+036 na dł. 1,800 km</t>
  </si>
  <si>
    <t>Droga2138 Sitno-Mazowsze-Czernikowo od km 6+259 do 16+725 , łącznie   z  drogą  2044 Czernikowo-Bobrowniki-Włocławe 0+554-2+854 -dł. 10,466 km,</t>
  </si>
  <si>
    <t>Droga2019 Chełmża-Brąchnowo-Pigża od km 1+018 do km 8+450 -  12+0000 do 12-569  -  na dł. 8,001 km</t>
  </si>
  <si>
    <t>Droga 2004 Łążyn-Zarośla  Cienkie -Smolno od km 0+550 do km 1+135 oraz  1+135 do 3+950na dł. 3,400 km</t>
  </si>
  <si>
    <t>2023-Chełmża-Świętosław-Węgorzyn  0+000 do 1+236  na  dł. 1,236 km</t>
  </si>
  <si>
    <t>852  i  PFOŚIGW</t>
  </si>
  <si>
    <t>STAROSTWO POWIATOWE</t>
  </si>
  <si>
    <t xml:space="preserve">Sprzęt  informatyczny  z   oprogramowaniem ,  inne  biurowe,  </t>
  </si>
  <si>
    <t>w  tym  :</t>
  </si>
  <si>
    <t xml:space="preserve">W TYM  INWESTYCJE  WYKAZANE   W  ZAŁĄCZNIKU  NR   2  DO  UCHWAŁY  BUDŻETOWEJ   NA  2009  ROK </t>
  </si>
  <si>
    <t xml:space="preserve">Przełożenie pokrycia dachu na segmencie "A" budynku -  DPS   WIELKA  NIESZAWKA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</si>
  <si>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</si>
  <si>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</si>
  <si>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</si>
  <si>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</si>
  <si>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</si>
  <si>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</si>
  <si>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</si>
  <si>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</si>
  <si>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</si>
  <si>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</si>
  <si>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</si>
  <si>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</si>
  <si>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</si>
  <si>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</si>
  <si>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</si>
  <si>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 xml:space="preserve">Projekt  i roboty  budowlane związane   ze  standaryzacją   budynku  nr   2  - DPS BROWINA  </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</si>
  <si>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</si>
  <si>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</si>
  <si>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</si>
  <si>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</si>
  <si>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</si>
  <si>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</si>
  <si>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</si>
  <si>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</si>
  <si>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</si>
  <si>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POZOSTAŁE  WYDATKI  BIEŻĄCE </t>
  </si>
  <si>
    <t xml:space="preserve">zakup  pozostałych  usług </t>
  </si>
  <si>
    <t>2,4,8,11,12</t>
  </si>
  <si>
    <t>obligacje  komunalne   z  roku  2011</t>
  </si>
  <si>
    <t>Wpływy z różnych dochodów</t>
  </si>
  <si>
    <t>z  2009</t>
  </si>
  <si>
    <t>z 2010</t>
  </si>
  <si>
    <t xml:space="preserve">od  kwoty </t>
  </si>
  <si>
    <t xml:space="preserve">lata </t>
  </si>
  <si>
    <t xml:space="preserve">z  tego  dla  szpitala  </t>
  </si>
  <si>
    <t xml:space="preserve">obligacje </t>
  </si>
  <si>
    <t xml:space="preserve">podział   odsetek     na   szpital </t>
  </si>
  <si>
    <t>szpital  2010</t>
  </si>
  <si>
    <t>wykup  31.12</t>
  </si>
  <si>
    <t>wykup 31.12</t>
  </si>
  <si>
    <t>Ilośc   dni   do  odsetek  I  transzy   w   roku  2009</t>
  </si>
  <si>
    <t>Odsetki  z  transzy  2009</t>
  </si>
  <si>
    <t>Ilośc   dni   do  odsetek  I  transzy   w   roku  2010</t>
  </si>
  <si>
    <t>Odsetki  z  transzy  2010</t>
  </si>
  <si>
    <t>Ilośc   dni   do  odsetek  I  transzy   w   roku  2011</t>
  </si>
  <si>
    <t>Odsetki  z  transzy  2011</t>
  </si>
  <si>
    <t xml:space="preserve">razem </t>
  </si>
  <si>
    <t>szpital 2009</t>
  </si>
  <si>
    <t>Wypłaty z tytułu gwarancji i poręczeń</t>
  </si>
  <si>
    <t>Rozliczenia z tytułu poręczeń i gwarancji udzielonych przez Skarb Państwa lub jednostkę samorządu terytorialnego  </t>
  </si>
  <si>
    <t>po  zaokrągleniu</t>
  </si>
  <si>
    <t xml:space="preserve">„Adaptacja  części  pomieszczeń  na   sale   edukacyjne   w  warsztatach  szkolnych „ </t>
  </si>
  <si>
    <t>Z.SZ. CKU Gronowo</t>
  </si>
  <si>
    <t>kredyty,wolne  środki 
i pożyczki</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</si>
  <si>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</si>
  <si>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</si>
  <si>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</si>
  <si>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</si>
  <si>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</si>
  <si>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9.</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</si>
  <si>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</si>
  <si>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</si>
  <si>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</si>
  <si>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</si>
  <si>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</si>
  <si>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</si>
  <si>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801-80195</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</si>
  <si>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</si>
  <si>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</si>
  <si>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</si>
  <si>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</si>
  <si>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11.</t>
  </si>
  <si>
    <t>12.</t>
  </si>
  <si>
    <t>Projekt 9.4-  UE</t>
  </si>
  <si>
    <t>6068/6069</t>
  </si>
  <si>
    <t>Wydatki  UE  w  kwocie   4.081.832 zł    to  kwota  z  zał.  Nr   2  w  wysokości  3.926.832  i  z  zał  nr.  13   kwota  155.000  zł  .</t>
  </si>
  <si>
    <t xml:space="preserve">Priorytet  IX -  Rozwój  wykształcenia  i  kompetencji   w  regionach  .  Działanie  9.3  Upowszechnianie formalnego  kształcenia  ustawicznego  Tytuł  projektu  : Nigdy  nie  jest   za  późno  na  naukę -  daj  sobie  drugą  szansę </t>
  </si>
  <si>
    <t xml:space="preserve">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</si>
</sst>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8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10"/>
      <name val="Arial"/>
      <family val="2"/>
    </font>
    <font>
      <b/>
      <sz val="10"/>
      <name val="Times New Roman"/>
      <family val="1"/>
    </font>
    <font>
      <b/>
      <u val="single"/>
      <sz val="11"/>
      <name val="Arial"/>
      <family val="2"/>
    </font>
    <font>
      <sz val="4"/>
      <name val="Arial CE"/>
      <family val="0"/>
    </font>
    <font>
      <b/>
      <u val="single"/>
      <sz val="9"/>
      <name val="Times New Roman"/>
      <family val="1"/>
    </font>
    <font>
      <b/>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Times New Roman"/>
      <family val="1"/>
    </font>
    <font>
      <sz val="8"/>
      <color indexed="8"/>
      <name val="Times New Roman"/>
      <family val="1"/>
    </font>
    <font>
      <sz val="6"/>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00"/>
      <name val="Times New Roman"/>
      <family val="1"/>
    </font>
    <font>
      <sz val="8"/>
      <color rgb="FF000000"/>
      <name val="Times New Roman"/>
      <family val="1"/>
    </font>
    <font>
      <sz val="6"/>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9" fillId="0" borderId="0">
      <alignment/>
      <protection/>
    </xf>
    <xf numFmtId="0" fontId="80"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67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33"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17"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33" borderId="10" xfId="52" applyFont="1" applyFill="1" applyBorder="1">
      <alignment/>
      <protection/>
    </xf>
    <xf numFmtId="0" fontId="11" fillId="33" borderId="10" xfId="52" applyFont="1" applyFill="1" applyBorder="1" applyAlignment="1">
      <alignment/>
      <protection/>
    </xf>
    <xf numFmtId="3" fontId="14" fillId="33" borderId="10" xfId="0" applyNumberFormat="1" applyFont="1" applyFill="1" applyBorder="1" applyAlignment="1">
      <alignment horizontal="right" vertical="top" wrapText="1"/>
    </xf>
    <xf numFmtId="3" fontId="11" fillId="33" borderId="10" xfId="52" applyNumberFormat="1" applyFont="1" applyFill="1" applyBorder="1">
      <alignment/>
      <protection/>
    </xf>
    <xf numFmtId="3" fontId="11" fillId="33" borderId="10" xfId="52" applyNumberFormat="1" applyFont="1" applyFill="1" applyBorder="1" applyAlignment="1">
      <alignment/>
      <protection/>
    </xf>
    <xf numFmtId="0" fontId="33" fillId="0" borderId="28" xfId="0" applyFont="1" applyBorder="1" applyAlignment="1">
      <alignment vertical="top" wrapText="1"/>
    </xf>
    <xf numFmtId="0" fontId="33" fillId="0" borderId="29" xfId="0" applyFont="1" applyBorder="1" applyAlignment="1">
      <alignment vertical="top" wrapText="1"/>
    </xf>
    <xf numFmtId="0" fontId="34" fillId="0" borderId="29" xfId="0" applyFont="1" applyBorder="1" applyAlignment="1">
      <alignment vertical="top" wrapText="1"/>
    </xf>
    <xf numFmtId="0" fontId="33" fillId="0" borderId="30" xfId="0" applyFont="1" applyBorder="1" applyAlignment="1">
      <alignment vertical="top" wrapText="1"/>
    </xf>
    <xf numFmtId="0" fontId="35" fillId="0" borderId="31" xfId="0" applyFont="1" applyBorder="1" applyAlignment="1">
      <alignment vertical="top" wrapText="1"/>
    </xf>
    <xf numFmtId="3" fontId="33" fillId="0" borderId="31" xfId="0" applyNumberFormat="1" applyFont="1" applyBorder="1" applyAlignment="1">
      <alignment vertical="top" wrapText="1"/>
    </xf>
    <xf numFmtId="0" fontId="33" fillId="0" borderId="31" xfId="0" applyFont="1" applyBorder="1" applyAlignment="1">
      <alignment vertical="top" wrapText="1"/>
    </xf>
    <xf numFmtId="0" fontId="34" fillId="0" borderId="31" xfId="0" applyFont="1" applyBorder="1" applyAlignment="1">
      <alignment vertical="top" wrapText="1"/>
    </xf>
    <xf numFmtId="0" fontId="33" fillId="0" borderId="0" xfId="0" applyFont="1" applyAlignment="1">
      <alignment/>
    </xf>
    <xf numFmtId="0" fontId="37" fillId="0" borderId="0" xfId="0" applyFont="1" applyAlignment="1">
      <alignment/>
    </xf>
    <xf numFmtId="0" fontId="33" fillId="0" borderId="32" xfId="0" applyFont="1" applyBorder="1" applyAlignment="1">
      <alignment vertical="top" wrapText="1"/>
    </xf>
    <xf numFmtId="0" fontId="35" fillId="0" borderId="32" xfId="0" applyFont="1" applyBorder="1" applyAlignment="1">
      <alignment vertical="top" wrapText="1"/>
    </xf>
    <xf numFmtId="0" fontId="33" fillId="0" borderId="33" xfId="0" applyFont="1" applyBorder="1" applyAlignment="1">
      <alignment vertical="top" wrapText="1"/>
    </xf>
    <xf numFmtId="0" fontId="36" fillId="0" borderId="34" xfId="0" applyFont="1" applyBorder="1" applyAlignment="1">
      <alignment vertical="top" wrapText="1"/>
    </xf>
    <xf numFmtId="0" fontId="38" fillId="0" borderId="0" xfId="0" applyFont="1" applyFill="1" applyBorder="1" applyAlignment="1">
      <alignment vertical="top" wrapText="1"/>
    </xf>
    <xf numFmtId="3" fontId="4" fillId="0" borderId="0" xfId="0" applyNumberFormat="1" applyFont="1" applyAlignment="1">
      <alignment/>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4"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35" xfId="0" applyFont="1" applyBorder="1" applyAlignment="1">
      <alignment wrapText="1"/>
    </xf>
    <xf numFmtId="3" fontId="0" fillId="0" borderId="11" xfId="0" applyNumberFormat="1" applyBorder="1" applyAlignment="1">
      <alignment horizontal="center" vertical="center"/>
    </xf>
    <xf numFmtId="0" fontId="14" fillId="0" borderId="36" xfId="0" applyFont="1" applyFill="1" applyBorder="1" applyAlignment="1">
      <alignment wrapText="1"/>
    </xf>
    <xf numFmtId="0" fontId="12" fillId="0" borderId="10" xfId="52" applyFont="1" applyBorder="1" applyAlignment="1">
      <alignment horizontal="center" vertical="center" wrapText="1"/>
      <protection/>
    </xf>
    <xf numFmtId="0" fontId="10" fillId="36"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33" borderId="10" xfId="52" applyFont="1" applyFill="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37" borderId="10" xfId="0" applyFont="1" applyFill="1" applyBorder="1" applyAlignment="1">
      <alignment/>
    </xf>
    <xf numFmtId="0" fontId="27" fillId="37"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0" fontId="33" fillId="0" borderId="34" xfId="0" applyFont="1" applyBorder="1" applyAlignment="1">
      <alignment horizontal="right" vertical="top" wrapText="1"/>
    </xf>
    <xf numFmtId="3" fontId="33" fillId="0" borderId="32" xfId="0" applyNumberFormat="1" applyFont="1" applyBorder="1" applyAlignment="1">
      <alignment vertical="top" wrapText="1"/>
    </xf>
    <xf numFmtId="3" fontId="33" fillId="0" borderId="10" xfId="0" applyNumberFormat="1" applyFont="1" applyBorder="1" applyAlignment="1">
      <alignment vertical="top" wrapText="1"/>
    </xf>
    <xf numFmtId="3" fontId="38" fillId="37"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33"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43" fillId="0" borderId="10" xfId="0" applyNumberFormat="1" applyFont="1" applyBorder="1" applyAlignment="1">
      <alignment vertical="top" wrapText="1"/>
    </xf>
    <xf numFmtId="0" fontId="43"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6"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17" fillId="36" borderId="0" xfId="0" applyFont="1" applyFill="1" applyAlignment="1">
      <alignment/>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44" fillId="0" borderId="10" xfId="0" applyFont="1" applyBorder="1" applyAlignment="1">
      <alignment horizontal="center" vertical="center" shrinkToFit="1"/>
    </xf>
    <xf numFmtId="1" fontId="44" fillId="0" borderId="10" xfId="0" applyNumberFormat="1" applyFont="1" applyBorder="1" applyAlignment="1">
      <alignment vertical="center" wrapText="1" shrinkToFit="1"/>
    </xf>
    <xf numFmtId="1" fontId="36"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7" xfId="0" applyFont="1" applyBorder="1" applyAlignment="1">
      <alignment vertical="center" wrapText="1"/>
    </xf>
    <xf numFmtId="3" fontId="4" fillId="0" borderId="31"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8"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28" xfId="0" applyFont="1" applyBorder="1" applyAlignment="1">
      <alignment/>
    </xf>
    <xf numFmtId="0" fontId="36" fillId="0" borderId="29" xfId="0" applyFont="1" applyBorder="1" applyAlignment="1">
      <alignment horizontal="center" wrapText="1"/>
    </xf>
    <xf numFmtId="0" fontId="14" fillId="0" borderId="29" xfId="0" applyFont="1" applyBorder="1" applyAlignment="1">
      <alignment horizontal="center" wrapText="1"/>
    </xf>
    <xf numFmtId="0" fontId="23" fillId="0" borderId="29" xfId="0" applyFont="1" applyBorder="1" applyAlignment="1">
      <alignment wrapText="1"/>
    </xf>
    <xf numFmtId="0" fontId="14" fillId="0" borderId="30" xfId="0" applyFont="1" applyBorder="1" applyAlignment="1">
      <alignment horizontal="right"/>
    </xf>
    <xf numFmtId="0" fontId="86" fillId="0" borderId="31" xfId="0" applyFont="1" applyBorder="1" applyAlignment="1">
      <alignment wrapText="1"/>
    </xf>
    <xf numFmtId="3" fontId="17" fillId="0" borderId="31" xfId="0" applyNumberFormat="1" applyFont="1" applyBorder="1" applyAlignment="1">
      <alignment horizontal="right" wrapText="1"/>
    </xf>
    <xf numFmtId="0" fontId="17" fillId="0" borderId="31" xfId="0" applyFont="1" applyBorder="1" applyAlignment="1">
      <alignment wrapText="1"/>
    </xf>
    <xf numFmtId="0" fontId="14" fillId="0" borderId="31" xfId="0" applyFont="1" applyBorder="1" applyAlignment="1">
      <alignment wrapText="1"/>
    </xf>
    <xf numFmtId="0" fontId="14" fillId="0" borderId="30" xfId="0" applyFont="1" applyBorder="1" applyAlignment="1">
      <alignment/>
    </xf>
    <xf numFmtId="0" fontId="87" fillId="0" borderId="31" xfId="0" applyFont="1" applyBorder="1" applyAlignment="1">
      <alignment wrapText="1"/>
    </xf>
    <xf numFmtId="3" fontId="14" fillId="0" borderId="31" xfId="0" applyNumberFormat="1" applyFont="1" applyBorder="1" applyAlignment="1">
      <alignment horizontal="right" wrapText="1"/>
    </xf>
    <xf numFmtId="0" fontId="14" fillId="0" borderId="31" xfId="0" applyFont="1" applyBorder="1" applyAlignment="1">
      <alignment horizontal="right" wrapText="1"/>
    </xf>
    <xf numFmtId="0" fontId="34" fillId="0" borderId="31" xfId="0" applyFont="1" applyBorder="1" applyAlignment="1">
      <alignment wrapText="1"/>
    </xf>
    <xf numFmtId="0" fontId="17" fillId="0" borderId="0" xfId="0" applyFont="1" applyBorder="1" applyAlignment="1">
      <alignment/>
    </xf>
    <xf numFmtId="0" fontId="45" fillId="0" borderId="10" xfId="0"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0" fontId="44" fillId="0" borderId="0" xfId="0" applyFont="1" applyAlignment="1">
      <alignment wrapText="1"/>
    </xf>
    <xf numFmtId="0" fontId="36" fillId="0" borderId="10" xfId="0" applyFont="1" applyBorder="1" applyAlignment="1">
      <alignment wrapText="1"/>
    </xf>
    <xf numFmtId="0" fontId="0" fillId="0" borderId="10" xfId="0" applyBorder="1" applyAlignment="1">
      <alignment wrapText="1"/>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vertical="center" wrapText="1" shrinkToFit="1"/>
    </xf>
    <xf numFmtId="0" fontId="24" fillId="0" borderId="0" xfId="0" applyFont="1" applyAlignment="1">
      <alignment wrapTex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6"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88" fillId="0" borderId="10" xfId="0" applyFont="1" applyBorder="1" applyAlignment="1">
      <alignment horizontal="center" vertical="center" wrapText="1"/>
    </xf>
    <xf numFmtId="0" fontId="0" fillId="0" borderId="18" xfId="0" applyBorder="1" applyAlignment="1">
      <alignment vertical="center"/>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0" fillId="0" borderId="24" xfId="52" applyFont="1" applyBorder="1" applyAlignment="1">
      <alignment horizontal="center"/>
      <protection/>
    </xf>
    <xf numFmtId="0" fontId="10" fillId="36" borderId="16" xfId="52" applyFont="1" applyFill="1" applyBorder="1" applyAlignment="1">
      <alignment wrapText="1"/>
      <protection/>
    </xf>
    <xf numFmtId="3" fontId="10" fillId="35" borderId="15" xfId="52" applyNumberFormat="1" applyFont="1" applyFill="1" applyBorder="1">
      <alignment/>
      <protection/>
    </xf>
    <xf numFmtId="0" fontId="11" fillId="0" borderId="0" xfId="52" applyFont="1" applyFill="1" applyBorder="1">
      <alignment/>
      <protection/>
    </xf>
    <xf numFmtId="0" fontId="11" fillId="0" borderId="0" xfId="52" applyFont="1" applyFill="1" applyBorder="1" applyAlignment="1">
      <alignment horizontal="center" vertical="center"/>
      <protection/>
    </xf>
    <xf numFmtId="0" fontId="11" fillId="0" borderId="0" xfId="52" applyFont="1" applyFill="1" applyBorder="1" applyAlignment="1">
      <alignment wrapText="1"/>
      <protection/>
    </xf>
    <xf numFmtId="0" fontId="11" fillId="0" borderId="0" xfId="52" applyFont="1" applyFill="1" applyBorder="1" applyAlignment="1">
      <alignment/>
      <protection/>
    </xf>
    <xf numFmtId="3" fontId="11" fillId="0" borderId="0" xfId="0" applyNumberFormat="1" applyFont="1" applyFill="1" applyBorder="1" applyAlignment="1">
      <alignment horizontal="right" vertical="top" wrapText="1"/>
    </xf>
    <xf numFmtId="3" fontId="11" fillId="0" borderId="0" xfId="52" applyNumberFormat="1" applyFont="1" applyFill="1" applyBorder="1">
      <alignment/>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3" fontId="11" fillId="0" borderId="0" xfId="0" applyNumberFormat="1" applyFont="1" applyBorder="1" applyAlignment="1">
      <alignment horizontal="right" vertical="top" wrapText="1"/>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7" fillId="0" borderId="10" xfId="0" applyFont="1" applyBorder="1" applyAlignment="1">
      <alignment horizontal="center" vertical="center" shrinkToFit="1"/>
    </xf>
    <xf numFmtId="0" fontId="48" fillId="0" borderId="10" xfId="0" applyFont="1" applyBorder="1" applyAlignment="1">
      <alignment horizontal="right" vertical="center" shrinkToFit="1"/>
    </xf>
    <xf numFmtId="3" fontId="5" fillId="33" borderId="35" xfId="0" applyNumberFormat="1" applyFont="1" applyFill="1" applyBorder="1" applyAlignment="1">
      <alignment horizontal="center" vertical="center" wrapText="1"/>
    </xf>
    <xf numFmtId="3" fontId="5" fillId="33" borderId="39" xfId="0" applyNumberFormat="1" applyFont="1" applyFill="1" applyBorder="1" applyAlignment="1">
      <alignment horizontal="center" vertical="center" wrapText="1"/>
    </xf>
    <xf numFmtId="3" fontId="5" fillId="33" borderId="38"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0" xfId="0" applyNumberFormat="1" applyFont="1" applyFill="1" applyBorder="1" applyAlignment="1">
      <alignment horizontal="center" vertical="center" wrapText="1"/>
    </xf>
    <xf numFmtId="3" fontId="5" fillId="33" borderId="41"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3"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8" xfId="0" applyFont="1" applyBorder="1" applyAlignment="1">
      <alignment horizontal="center" vertical="center" wrapText="1"/>
    </xf>
    <xf numFmtId="0" fontId="4" fillId="0" borderId="0" xfId="0" applyFont="1" applyAlignment="1">
      <alignment horizontal="center" vertical="center"/>
    </xf>
    <xf numFmtId="0" fontId="31"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18" xfId="0" applyFont="1" applyBorder="1" applyAlignment="1">
      <alignment horizontal="center" vertical="center" wrapText="1"/>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33" borderId="18"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40" fillId="0" borderId="35" xfId="0" applyFont="1" applyBorder="1" applyAlignment="1">
      <alignment horizontal="center" wrapText="1"/>
    </xf>
    <xf numFmtId="0" fontId="40" fillId="0" borderId="39" xfId="0" applyFont="1" applyBorder="1" applyAlignment="1">
      <alignment horizontal="center" wrapText="1"/>
    </xf>
    <xf numFmtId="0" fontId="40" fillId="0" borderId="38" xfId="0" applyFont="1" applyBorder="1" applyAlignment="1">
      <alignment horizontal="center" wrapText="1"/>
    </xf>
    <xf numFmtId="0" fontId="40" fillId="0" borderId="36" xfId="0" applyFont="1" applyBorder="1" applyAlignment="1">
      <alignment horizontal="center" wrapText="1"/>
    </xf>
    <xf numFmtId="0" fontId="40" fillId="0" borderId="0" xfId="0" applyFont="1" applyBorder="1" applyAlignment="1">
      <alignment horizontal="center" wrapText="1"/>
    </xf>
    <xf numFmtId="0" fontId="40" fillId="0" borderId="43" xfId="0" applyFont="1" applyBorder="1" applyAlignment="1">
      <alignment horizontal="center" wrapText="1"/>
    </xf>
    <xf numFmtId="0" fontId="40" fillId="0" borderId="19" xfId="0" applyFont="1" applyBorder="1" applyAlignment="1">
      <alignment horizontal="center" wrapText="1"/>
    </xf>
    <xf numFmtId="0" fontId="40" fillId="0" borderId="40" xfId="0" applyFont="1" applyBorder="1" applyAlignment="1">
      <alignment horizontal="center" wrapText="1"/>
    </xf>
    <xf numFmtId="0" fontId="40" fillId="0" borderId="41" xfId="0" applyFont="1" applyBorder="1" applyAlignment="1">
      <alignment horizontal="center" wrapText="1"/>
    </xf>
    <xf numFmtId="0" fontId="17" fillId="0" borderId="0" xfId="52" applyFont="1" applyAlignment="1">
      <alignment horizontal="center"/>
      <protection/>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17" fillId="0" borderId="10" xfId="0" applyFont="1" applyBorder="1" applyAlignment="1">
      <alignment horizontal="center" wrapText="1"/>
    </xf>
    <xf numFmtId="0" fontId="11" fillId="0" borderId="12" xfId="52" applyFont="1" applyBorder="1" applyAlignment="1">
      <alignment horizontal="center" vertical="center"/>
      <protection/>
    </xf>
    <xf numFmtId="0" fontId="10" fillId="36" borderId="35" xfId="52" applyFont="1" applyFill="1" applyBorder="1" applyAlignment="1">
      <alignment horizontal="center"/>
      <protection/>
    </xf>
    <xf numFmtId="0" fontId="10" fillId="36" borderId="38" xfId="52" applyFont="1" applyFill="1" applyBorder="1" applyAlignment="1">
      <alignment horizontal="center"/>
      <protection/>
    </xf>
    <xf numFmtId="0" fontId="10" fillId="0" borderId="10" xfId="52" applyFont="1" applyBorder="1" applyAlignment="1">
      <alignment horizontal="center"/>
      <protection/>
    </xf>
    <xf numFmtId="0" fontId="10" fillId="36" borderId="19" xfId="52" applyFont="1" applyFill="1" applyBorder="1" applyAlignment="1">
      <alignment horizontal="center"/>
      <protection/>
    </xf>
    <xf numFmtId="0" fontId="10" fillId="36" borderId="41" xfId="52" applyFont="1" applyFill="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4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0" fillId="0" borderId="1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a&#322;%202-2009-z%20%20poprawk&#26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69">
          <cell r="N569">
            <v>12207</v>
          </cell>
        </row>
        <row r="570">
          <cell r="N570">
            <v>2154</v>
          </cell>
        </row>
        <row r="571">
          <cell r="N571">
            <v>1950</v>
          </cell>
        </row>
        <row r="572">
          <cell r="N572">
            <v>344</v>
          </cell>
        </row>
        <row r="573">
          <cell r="N573">
            <v>79575</v>
          </cell>
        </row>
        <row r="574">
          <cell r="N574">
            <v>14043</v>
          </cell>
        </row>
        <row r="575">
          <cell r="N575">
            <v>10409</v>
          </cell>
        </row>
        <row r="576">
          <cell r="N576">
            <v>1837</v>
          </cell>
        </row>
        <row r="577">
          <cell r="N577">
            <v>19549</v>
          </cell>
        </row>
        <row r="578">
          <cell r="N578">
            <v>3450</v>
          </cell>
        </row>
        <row r="579">
          <cell r="N579">
            <v>2489</v>
          </cell>
        </row>
        <row r="580">
          <cell r="N580">
            <v>439</v>
          </cell>
        </row>
        <row r="582">
          <cell r="N582">
            <v>24719</v>
          </cell>
        </row>
        <row r="583">
          <cell r="N583">
            <v>4362</v>
          </cell>
        </row>
        <row r="584">
          <cell r="N584">
            <v>3948</v>
          </cell>
        </row>
        <row r="585">
          <cell r="N585">
            <v>697</v>
          </cell>
        </row>
        <row r="586">
          <cell r="N586">
            <v>170015</v>
          </cell>
        </row>
        <row r="587">
          <cell r="N587">
            <v>19561</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4">
          <cell r="N604">
            <v>63353</v>
          </cell>
        </row>
        <row r="605">
          <cell r="N605">
            <v>11180</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3">
          <cell r="N623">
            <v>104053</v>
          </cell>
        </row>
        <row r="624">
          <cell r="N624">
            <v>18362</v>
          </cell>
        </row>
        <row r="625">
          <cell r="N625">
            <v>7068</v>
          </cell>
        </row>
        <row r="626">
          <cell r="N626">
            <v>1247</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1097">
          <cell r="N1097">
            <v>477989</v>
          </cell>
        </row>
        <row r="1098">
          <cell r="N1098">
            <v>84351</v>
          </cell>
        </row>
        <row r="1099">
          <cell r="N1099">
            <v>108817</v>
          </cell>
        </row>
        <row r="1100">
          <cell r="N1100">
            <v>19203</v>
          </cell>
        </row>
        <row r="1101">
          <cell r="N1101">
            <v>9097</v>
          </cell>
        </row>
        <row r="1102">
          <cell r="N1102">
            <v>1605</v>
          </cell>
        </row>
        <row r="1103">
          <cell r="N1103">
            <v>1467</v>
          </cell>
        </row>
        <row r="1104">
          <cell r="N1104">
            <v>259</v>
          </cell>
        </row>
        <row r="1105">
          <cell r="N1105">
            <v>59884</v>
          </cell>
        </row>
        <row r="1106">
          <cell r="N1106">
            <v>10568</v>
          </cell>
        </row>
        <row r="1107">
          <cell r="N1107">
            <v>663</v>
          </cell>
        </row>
        <row r="1108">
          <cell r="N1108">
            <v>117</v>
          </cell>
        </row>
        <row r="1111">
          <cell r="N1111">
            <v>43622</v>
          </cell>
        </row>
        <row r="1112">
          <cell r="N1112">
            <v>7698</v>
          </cell>
        </row>
        <row r="1113">
          <cell r="N1113">
            <v>561</v>
          </cell>
        </row>
        <row r="1114">
          <cell r="N1114">
            <v>99</v>
          </cell>
        </row>
        <row r="1115">
          <cell r="N1115">
            <v>5185</v>
          </cell>
        </row>
        <row r="1116">
          <cell r="N1116">
            <v>915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25">
      <selection activeCell="B131" sqref="B131"/>
    </sheetView>
  </sheetViews>
  <sheetFormatPr defaultColWidth="9.00390625" defaultRowHeight="12.75"/>
  <cols>
    <col min="1" max="1" width="7.125" style="315" customWidth="1"/>
    <col min="2" max="2" width="7.25390625" style="540" customWidth="1"/>
    <col min="3" max="3" width="7.125" style="315" bestFit="1" customWidth="1"/>
    <col min="4" max="4" width="34.375" style="315" customWidth="1"/>
    <col min="5" max="5" width="14.125" style="315" customWidth="1"/>
    <col min="6" max="6" width="14.625" style="315" customWidth="1"/>
    <col min="7" max="7" width="12.875" style="315" customWidth="1"/>
    <col min="8" max="16384" width="9.125" style="315" customWidth="1"/>
  </cols>
  <sheetData>
    <row r="1" spans="2:5" ht="15.75">
      <c r="B1" s="564" t="s">
        <v>626</v>
      </c>
      <c r="C1" s="564"/>
      <c r="D1" s="564"/>
      <c r="E1" s="564"/>
    </row>
    <row r="2" spans="2:7" ht="15.75">
      <c r="B2" s="539"/>
      <c r="C2" s="316"/>
      <c r="D2" s="316"/>
      <c r="E2" s="317"/>
      <c r="F2" s="317"/>
      <c r="G2" s="317"/>
    </row>
    <row r="3" spans="5:7" ht="15">
      <c r="E3" s="318" t="s">
        <v>187</v>
      </c>
      <c r="F3" s="318"/>
      <c r="G3" s="318"/>
    </row>
    <row r="4" spans="1:7" ht="15" customHeight="1">
      <c r="A4" s="565" t="s">
        <v>133</v>
      </c>
      <c r="B4" s="567" t="s">
        <v>134</v>
      </c>
      <c r="C4" s="565" t="s">
        <v>135</v>
      </c>
      <c r="D4" s="565" t="s">
        <v>259</v>
      </c>
      <c r="E4" s="555" t="s">
        <v>627</v>
      </c>
      <c r="F4" s="556"/>
      <c r="G4" s="557"/>
    </row>
    <row r="5" spans="1:7" ht="15" customHeight="1">
      <c r="A5" s="566"/>
      <c r="B5" s="568"/>
      <c r="C5" s="569"/>
      <c r="D5" s="569"/>
      <c r="E5" s="558"/>
      <c r="F5" s="559"/>
      <c r="G5" s="560"/>
    </row>
    <row r="6" spans="1:7" ht="15" customHeight="1">
      <c r="A6" s="319"/>
      <c r="B6" s="541"/>
      <c r="C6" s="321"/>
      <c r="D6" s="321"/>
      <c r="E6" s="561" t="s">
        <v>269</v>
      </c>
      <c r="F6" s="562"/>
      <c r="G6" s="563"/>
    </row>
    <row r="7" spans="1:7" ht="63">
      <c r="A7" s="319"/>
      <c r="B7" s="541"/>
      <c r="C7" s="320"/>
      <c r="D7" s="320"/>
      <c r="E7" s="322" t="s">
        <v>364</v>
      </c>
      <c r="F7" s="322" t="s">
        <v>267</v>
      </c>
      <c r="G7" s="322" t="s">
        <v>268</v>
      </c>
    </row>
    <row r="8" spans="1:7" s="325" customFormat="1" ht="15">
      <c r="A8" s="323">
        <v>1</v>
      </c>
      <c r="B8" s="542">
        <v>2</v>
      </c>
      <c r="C8" s="323">
        <v>3</v>
      </c>
      <c r="D8" s="323">
        <v>4</v>
      </c>
      <c r="E8" s="324">
        <v>5</v>
      </c>
      <c r="F8" s="324">
        <v>6</v>
      </c>
      <c r="G8" s="324">
        <v>7</v>
      </c>
    </row>
    <row r="9" spans="1:7" ht="19.5" customHeight="1">
      <c r="A9" s="326" t="s">
        <v>484</v>
      </c>
      <c r="B9" s="543" t="s">
        <v>485</v>
      </c>
      <c r="C9" s="326" t="s">
        <v>486</v>
      </c>
      <c r="D9" s="327" t="s">
        <v>487</v>
      </c>
      <c r="E9" s="328"/>
      <c r="F9" s="328"/>
      <c r="G9" s="328"/>
    </row>
    <row r="10" spans="1:7" s="332" customFormat="1" ht="19.5" customHeight="1">
      <c r="A10" s="329" t="s">
        <v>316</v>
      </c>
      <c r="B10" s="544"/>
      <c r="C10" s="329"/>
      <c r="D10" s="330" t="s">
        <v>317</v>
      </c>
      <c r="E10" s="331">
        <f>E11+E13</f>
        <v>45850</v>
      </c>
      <c r="F10" s="331">
        <f>F11+F13</f>
        <v>45850</v>
      </c>
      <c r="G10" s="331">
        <f>G11+G13</f>
        <v>0</v>
      </c>
    </row>
    <row r="11" spans="1:7" s="336" customFormat="1" ht="19.5" customHeight="1">
      <c r="A11" s="333"/>
      <c r="B11" s="545" t="s">
        <v>318</v>
      </c>
      <c r="C11" s="333"/>
      <c r="D11" s="334" t="s">
        <v>488</v>
      </c>
      <c r="E11" s="335">
        <f>E12</f>
        <v>45000</v>
      </c>
      <c r="F11" s="335">
        <f>F12</f>
        <v>45000</v>
      </c>
      <c r="G11" s="335">
        <f>G12</f>
        <v>0</v>
      </c>
    </row>
    <row r="12" spans="1:7" s="340" customFormat="1" ht="90.75">
      <c r="A12" s="337"/>
      <c r="B12" s="546"/>
      <c r="C12" s="337">
        <v>2110</v>
      </c>
      <c r="D12" s="338" t="s">
        <v>489</v>
      </c>
      <c r="E12" s="339">
        <f>F12+G12</f>
        <v>45000</v>
      </c>
      <c r="F12" s="339">
        <v>45000</v>
      </c>
      <c r="G12" s="339"/>
    </row>
    <row r="13" spans="1:7" s="340" customFormat="1" ht="15.75">
      <c r="A13" s="369"/>
      <c r="B13" s="547" t="s">
        <v>490</v>
      </c>
      <c r="C13" s="369"/>
      <c r="D13" s="370" t="s">
        <v>632</v>
      </c>
      <c r="E13" s="348">
        <f>SUM(E14)</f>
        <v>850</v>
      </c>
      <c r="F13" s="348">
        <f>SUM(F14)</f>
        <v>850</v>
      </c>
      <c r="G13" s="348">
        <f>SUM(G14)</f>
        <v>0</v>
      </c>
    </row>
    <row r="14" spans="1:7" ht="90">
      <c r="A14" s="337"/>
      <c r="B14" s="546"/>
      <c r="C14" s="337">
        <v>2360</v>
      </c>
      <c r="D14" s="338" t="s">
        <v>491</v>
      </c>
      <c r="E14" s="339">
        <f>F14+G14</f>
        <v>850</v>
      </c>
      <c r="F14" s="355">
        <v>850</v>
      </c>
      <c r="G14" s="355"/>
    </row>
    <row r="15" spans="1:7" s="332" customFormat="1" ht="15.75">
      <c r="A15" s="329" t="s">
        <v>321</v>
      </c>
      <c r="B15" s="544"/>
      <c r="C15" s="329"/>
      <c r="D15" s="330" t="s">
        <v>322</v>
      </c>
      <c r="E15" s="331">
        <f aca="true" t="shared" si="0" ref="E15:G16">E16</f>
        <v>276000</v>
      </c>
      <c r="F15" s="331">
        <f t="shared" si="0"/>
        <v>276000</v>
      </c>
      <c r="G15" s="331">
        <f t="shared" si="0"/>
        <v>0</v>
      </c>
    </row>
    <row r="16" spans="1:7" s="336" customFormat="1" ht="15.75">
      <c r="A16" s="329"/>
      <c r="B16" s="545" t="s">
        <v>323</v>
      </c>
      <c r="C16" s="333"/>
      <c r="D16" s="334" t="s">
        <v>324</v>
      </c>
      <c r="E16" s="335">
        <f t="shared" si="0"/>
        <v>276000</v>
      </c>
      <c r="F16" s="335">
        <f t="shared" si="0"/>
        <v>276000</v>
      </c>
      <c r="G16" s="335">
        <f t="shared" si="0"/>
        <v>0</v>
      </c>
    </row>
    <row r="17" spans="1:7" ht="90">
      <c r="A17" s="337"/>
      <c r="B17" s="546"/>
      <c r="C17" s="341">
        <v>2700</v>
      </c>
      <c r="D17" s="338" t="s">
        <v>270</v>
      </c>
      <c r="E17" s="339">
        <f>F17+G17</f>
        <v>276000</v>
      </c>
      <c r="F17" s="328">
        <v>276000</v>
      </c>
      <c r="G17" s="328"/>
    </row>
    <row r="18" spans="1:7" ht="15.75">
      <c r="A18" s="342">
        <v>600</v>
      </c>
      <c r="B18" s="548"/>
      <c r="C18" s="343"/>
      <c r="D18" s="344" t="s">
        <v>329</v>
      </c>
      <c r="E18" s="345">
        <f>SUM(E19)</f>
        <v>1705000</v>
      </c>
      <c r="F18" s="345">
        <f>SUM(F19)</f>
        <v>0</v>
      </c>
      <c r="G18" s="328">
        <f>SUM(G19)</f>
        <v>1705000</v>
      </c>
    </row>
    <row r="19" spans="1:7" ht="15.75">
      <c r="A19" s="346"/>
      <c r="B19" s="549">
        <v>60014</v>
      </c>
      <c r="C19" s="347"/>
      <c r="D19" s="291" t="s">
        <v>330</v>
      </c>
      <c r="E19" s="348">
        <f>SUM(E20:E25)</f>
        <v>1705000</v>
      </c>
      <c r="F19" s="348">
        <f>SUM(F20:F25)</f>
        <v>0</v>
      </c>
      <c r="G19" s="348">
        <f>SUM(G20:G25)</f>
        <v>1705000</v>
      </c>
    </row>
    <row r="20" spans="1:7" ht="90" hidden="1">
      <c r="A20" s="349"/>
      <c r="B20" s="550"/>
      <c r="C20" s="350">
        <v>2310</v>
      </c>
      <c r="D20" s="351" t="s">
        <v>112</v>
      </c>
      <c r="E20" s="339">
        <f>F20+G20</f>
        <v>0</v>
      </c>
      <c r="F20" s="328"/>
      <c r="G20" s="328"/>
    </row>
    <row r="21" spans="1:7" ht="15.75">
      <c r="A21" s="337"/>
      <c r="B21" s="546"/>
      <c r="C21" s="375">
        <v>6208</v>
      </c>
      <c r="D21" s="376" t="s">
        <v>90</v>
      </c>
      <c r="E21" s="339">
        <f>F21+G21</f>
        <v>0</v>
      </c>
      <c r="F21" s="272"/>
      <c r="G21" s="355"/>
    </row>
    <row r="22" spans="1:7" ht="15.75">
      <c r="A22" s="337"/>
      <c r="B22" s="546"/>
      <c r="C22" s="377">
        <v>6209</v>
      </c>
      <c r="D22" s="376" t="s">
        <v>89</v>
      </c>
      <c r="E22" s="339">
        <f>F22+G22</f>
        <v>0</v>
      </c>
      <c r="F22" s="272"/>
      <c r="G22" s="355"/>
    </row>
    <row r="23" spans="1:7" ht="15" hidden="1">
      <c r="A23" s="349"/>
      <c r="B23" s="550"/>
      <c r="C23" s="350"/>
      <c r="D23" s="383"/>
      <c r="E23" s="339"/>
      <c r="F23" s="328"/>
      <c r="G23" s="328"/>
    </row>
    <row r="24" spans="1:8" ht="90.75">
      <c r="A24" s="349"/>
      <c r="B24" s="550"/>
      <c r="C24" s="350">
        <v>6610</v>
      </c>
      <c r="D24" s="352" t="s">
        <v>45</v>
      </c>
      <c r="E24" s="339">
        <f>F24+G24</f>
        <v>1705000</v>
      </c>
      <c r="F24" s="353"/>
      <c r="G24" s="353">
        <f>325000+1230000+100000+50000</f>
        <v>1705000</v>
      </c>
      <c r="H24" s="354"/>
    </row>
    <row r="25" spans="1:8" ht="90.75" hidden="1">
      <c r="A25" s="349"/>
      <c r="B25" s="550"/>
      <c r="C25" s="350">
        <v>6610</v>
      </c>
      <c r="D25" s="351" t="s">
        <v>45</v>
      </c>
      <c r="E25" s="339">
        <f>F25+G25</f>
        <v>0</v>
      </c>
      <c r="F25" s="353"/>
      <c r="G25" s="353"/>
      <c r="H25" s="354"/>
    </row>
    <row r="26" spans="1:7" s="332" customFormat="1" ht="31.5">
      <c r="A26" s="329">
        <v>700</v>
      </c>
      <c r="B26" s="544"/>
      <c r="C26" s="329"/>
      <c r="D26" s="330" t="s">
        <v>353</v>
      </c>
      <c r="E26" s="331">
        <f>E27</f>
        <v>232700</v>
      </c>
      <c r="F26" s="331">
        <f>F27</f>
        <v>232700</v>
      </c>
      <c r="G26" s="331">
        <f>G27</f>
        <v>0</v>
      </c>
    </row>
    <row r="27" spans="1:7" s="336" customFormat="1" ht="31.5">
      <c r="A27" s="333"/>
      <c r="B27" s="545">
        <v>70005</v>
      </c>
      <c r="C27" s="333"/>
      <c r="D27" s="334" t="s">
        <v>354</v>
      </c>
      <c r="E27" s="335">
        <f>SUM(E28:E31)</f>
        <v>232700</v>
      </c>
      <c r="F27" s="335">
        <f>SUM(F28:F31)</f>
        <v>232700</v>
      </c>
      <c r="G27" s="335">
        <f>SUM(G28:G31)</f>
        <v>0</v>
      </c>
    </row>
    <row r="28" spans="1:7" ht="120">
      <c r="A28" s="337"/>
      <c r="B28" s="546"/>
      <c r="C28" s="337" t="s">
        <v>493</v>
      </c>
      <c r="D28" s="338" t="s">
        <v>494</v>
      </c>
      <c r="E28" s="339">
        <f>F28+G28</f>
        <v>34000</v>
      </c>
      <c r="F28" s="355">
        <v>34000</v>
      </c>
      <c r="G28" s="355"/>
    </row>
    <row r="29" spans="1:7" ht="90">
      <c r="A29" s="337"/>
      <c r="B29" s="546"/>
      <c r="C29" s="337">
        <v>2110</v>
      </c>
      <c r="D29" s="338" t="s">
        <v>489</v>
      </c>
      <c r="E29" s="339">
        <f>F29+G29</f>
        <v>90000</v>
      </c>
      <c r="F29" s="355">
        <v>90000</v>
      </c>
      <c r="G29" s="355"/>
    </row>
    <row r="30" spans="1:7" ht="90">
      <c r="A30" s="337"/>
      <c r="B30" s="546"/>
      <c r="C30" s="337">
        <v>2360</v>
      </c>
      <c r="D30" s="338" t="s">
        <v>491</v>
      </c>
      <c r="E30" s="339">
        <f>F30+G30</f>
        <v>100000</v>
      </c>
      <c r="F30" s="355">
        <v>100000</v>
      </c>
      <c r="G30" s="355"/>
    </row>
    <row r="31" spans="1:7" ht="30">
      <c r="A31" s="337"/>
      <c r="B31" s="546"/>
      <c r="C31" s="337">
        <v>4700</v>
      </c>
      <c r="D31" s="338" t="s">
        <v>633</v>
      </c>
      <c r="E31" s="339">
        <f>F31+G31</f>
        <v>8700</v>
      </c>
      <c r="F31" s="355">
        <v>8700</v>
      </c>
      <c r="G31" s="355"/>
    </row>
    <row r="32" spans="1:7" s="332" customFormat="1" ht="15.75">
      <c r="A32" s="329">
        <v>710</v>
      </c>
      <c r="B32" s="544"/>
      <c r="C32" s="329"/>
      <c r="D32" s="330" t="s">
        <v>367</v>
      </c>
      <c r="E32" s="356">
        <f>SUM(E33+E35+E37)</f>
        <v>561400</v>
      </c>
      <c r="F32" s="356">
        <f>SUM(F33+F35+F37)</f>
        <v>561400</v>
      </c>
      <c r="G32" s="356">
        <f>SUM(G33+G35+G37)</f>
        <v>0</v>
      </c>
    </row>
    <row r="33" spans="1:7" s="336" customFormat="1" ht="31.5">
      <c r="A33" s="333"/>
      <c r="B33" s="545">
        <v>71013</v>
      </c>
      <c r="C33" s="333"/>
      <c r="D33" s="334" t="s">
        <v>495</v>
      </c>
      <c r="E33" s="357">
        <f>E34</f>
        <v>70000</v>
      </c>
      <c r="F33" s="357">
        <f>F34</f>
        <v>70000</v>
      </c>
      <c r="G33" s="357">
        <f>G34</f>
        <v>0</v>
      </c>
    </row>
    <row r="34" spans="1:7" ht="90">
      <c r="A34" s="337"/>
      <c r="B34" s="546"/>
      <c r="C34" s="337">
        <v>2110</v>
      </c>
      <c r="D34" s="338" t="s">
        <v>489</v>
      </c>
      <c r="E34" s="339">
        <f>F34+G34</f>
        <v>70000</v>
      </c>
      <c r="F34" s="355">
        <v>70000</v>
      </c>
      <c r="G34" s="355"/>
    </row>
    <row r="35" spans="1:7" s="336" customFormat="1" ht="31.5">
      <c r="A35" s="333"/>
      <c r="B35" s="545">
        <v>71014</v>
      </c>
      <c r="C35" s="333"/>
      <c r="D35" s="334" t="s">
        <v>496</v>
      </c>
      <c r="E35" s="357">
        <f>E36</f>
        <v>10400</v>
      </c>
      <c r="F35" s="357">
        <f>F36</f>
        <v>10400</v>
      </c>
      <c r="G35" s="357">
        <f>G36</f>
        <v>0</v>
      </c>
    </row>
    <row r="36" spans="1:7" ht="90">
      <c r="A36" s="337"/>
      <c r="B36" s="546"/>
      <c r="C36" s="337">
        <v>2110</v>
      </c>
      <c r="D36" s="338" t="s">
        <v>489</v>
      </c>
      <c r="E36" s="339">
        <f>F36+G36</f>
        <v>10400</v>
      </c>
      <c r="F36" s="355">
        <v>10400</v>
      </c>
      <c r="G36" s="355"/>
    </row>
    <row r="37" spans="1:7" s="336" customFormat="1" ht="15.75">
      <c r="A37" s="333"/>
      <c r="B37" s="545">
        <v>71015</v>
      </c>
      <c r="C37" s="333"/>
      <c r="D37" s="334" t="s">
        <v>370</v>
      </c>
      <c r="E37" s="357">
        <f>E38</f>
        <v>481000</v>
      </c>
      <c r="F37" s="357">
        <f>F38</f>
        <v>481000</v>
      </c>
      <c r="G37" s="357">
        <f>G38</f>
        <v>0</v>
      </c>
    </row>
    <row r="38" spans="1:7" ht="90.75">
      <c r="A38" s="333"/>
      <c r="B38" s="545"/>
      <c r="C38" s="337">
        <v>2110</v>
      </c>
      <c r="D38" s="338" t="s">
        <v>489</v>
      </c>
      <c r="E38" s="339">
        <f>F38+G38</f>
        <v>481000</v>
      </c>
      <c r="F38" s="355">
        <v>481000</v>
      </c>
      <c r="G38" s="355"/>
    </row>
    <row r="39" spans="1:7" s="332" customFormat="1" ht="31.5">
      <c r="A39" s="329">
        <v>750</v>
      </c>
      <c r="B39" s="544"/>
      <c r="C39" s="329"/>
      <c r="D39" s="330" t="s">
        <v>497</v>
      </c>
      <c r="E39" s="356">
        <f>SUM(E40+E42+E48)</f>
        <v>3316739</v>
      </c>
      <c r="F39" s="356">
        <f>SUM(F40+F42+F48)</f>
        <v>3316739</v>
      </c>
      <c r="G39" s="356">
        <f>SUM(G40+G42+G48)</f>
        <v>0</v>
      </c>
    </row>
    <row r="40" spans="1:7" s="336" customFormat="1" ht="15.75">
      <c r="A40" s="333"/>
      <c r="B40" s="545">
        <v>75011</v>
      </c>
      <c r="C40" s="333"/>
      <c r="D40" s="334" t="s">
        <v>498</v>
      </c>
      <c r="E40" s="357">
        <f>E41</f>
        <v>355300</v>
      </c>
      <c r="F40" s="357">
        <f>F41</f>
        <v>355300</v>
      </c>
      <c r="G40" s="357">
        <f>G41</f>
        <v>0</v>
      </c>
    </row>
    <row r="41" spans="1:7" ht="90">
      <c r="A41" s="337"/>
      <c r="B41" s="546"/>
      <c r="C41" s="337">
        <v>2110</v>
      </c>
      <c r="D41" s="338" t="s">
        <v>489</v>
      </c>
      <c r="E41" s="339">
        <f>F41+G41</f>
        <v>355300</v>
      </c>
      <c r="F41" s="355">
        <v>355300</v>
      </c>
      <c r="G41" s="355"/>
    </row>
    <row r="42" spans="1:7" s="336" customFormat="1" ht="15.75">
      <c r="A42" s="333"/>
      <c r="B42" s="545">
        <v>75020</v>
      </c>
      <c r="C42" s="333"/>
      <c r="D42" s="334" t="s">
        <v>469</v>
      </c>
      <c r="E42" s="357">
        <f>SUM(E43:E47)</f>
        <v>2894439</v>
      </c>
      <c r="F42" s="357">
        <f>SUM(F43:F47)</f>
        <v>2894439</v>
      </c>
      <c r="G42" s="357">
        <f>SUM(G43:G47)</f>
        <v>0</v>
      </c>
    </row>
    <row r="43" spans="1:7" ht="15">
      <c r="A43" s="337"/>
      <c r="B43" s="546"/>
      <c r="C43" s="337" t="s">
        <v>499</v>
      </c>
      <c r="D43" s="338" t="s">
        <v>500</v>
      </c>
      <c r="E43" s="339">
        <f>F43+G43</f>
        <v>2248000</v>
      </c>
      <c r="F43" s="355">
        <v>2248000</v>
      </c>
      <c r="G43" s="355"/>
    </row>
    <row r="44" spans="1:7" ht="30">
      <c r="A44" s="337"/>
      <c r="B44" s="546"/>
      <c r="C44" s="337" t="s">
        <v>501</v>
      </c>
      <c r="D44" s="338" t="s">
        <v>502</v>
      </c>
      <c r="E44" s="339">
        <f>F44+G44</f>
        <v>29000</v>
      </c>
      <c r="F44" s="355">
        <v>29000</v>
      </c>
      <c r="G44" s="355"/>
    </row>
    <row r="45" spans="1:7" ht="120">
      <c r="A45" s="337"/>
      <c r="B45" s="546"/>
      <c r="C45" s="337" t="s">
        <v>493</v>
      </c>
      <c r="D45" s="338" t="s">
        <v>494</v>
      </c>
      <c r="E45" s="339">
        <f>F45+G45</f>
        <v>598000</v>
      </c>
      <c r="F45" s="355">
        <v>598000</v>
      </c>
      <c r="G45" s="355"/>
    </row>
    <row r="46" spans="1:7" ht="15">
      <c r="A46" s="337"/>
      <c r="B46" s="546"/>
      <c r="C46" s="337" t="s">
        <v>108</v>
      </c>
      <c r="D46" s="338" t="s">
        <v>109</v>
      </c>
      <c r="E46" s="339">
        <f>F46+G46</f>
        <v>16539</v>
      </c>
      <c r="F46" s="355">
        <f>8000+8539</f>
        <v>16539</v>
      </c>
      <c r="G46" s="355"/>
    </row>
    <row r="47" spans="1:7" ht="15">
      <c r="A47" s="337"/>
      <c r="B47" s="546"/>
      <c r="C47" s="337" t="s">
        <v>103</v>
      </c>
      <c r="D47" s="338" t="s">
        <v>104</v>
      </c>
      <c r="E47" s="339">
        <f>F47+G47</f>
        <v>2900</v>
      </c>
      <c r="F47" s="355">
        <v>2900</v>
      </c>
      <c r="G47" s="355"/>
    </row>
    <row r="48" spans="1:7" s="336" customFormat="1" ht="15.75">
      <c r="A48" s="333"/>
      <c r="B48" s="545">
        <v>75045</v>
      </c>
      <c r="C48" s="333"/>
      <c r="D48" s="334" t="s">
        <v>398</v>
      </c>
      <c r="E48" s="357">
        <f>SUM(E49:E50)</f>
        <v>67000</v>
      </c>
      <c r="F48" s="358">
        <f>E48</f>
        <v>67000</v>
      </c>
      <c r="G48" s="357">
        <f>SUM(G49:G50)</f>
        <v>0</v>
      </c>
    </row>
    <row r="49" spans="1:7" ht="90">
      <c r="A49" s="337"/>
      <c r="B49" s="546"/>
      <c r="C49" s="337">
        <v>2110</v>
      </c>
      <c r="D49" s="338" t="s">
        <v>489</v>
      </c>
      <c r="E49" s="339">
        <f>F49+G49</f>
        <v>39000</v>
      </c>
      <c r="F49" s="355">
        <v>39000</v>
      </c>
      <c r="G49" s="355"/>
    </row>
    <row r="50" spans="1:7" ht="90">
      <c r="A50" s="359"/>
      <c r="B50" s="551"/>
      <c r="C50" s="359">
        <v>2120</v>
      </c>
      <c r="D50" s="360" t="s">
        <v>505</v>
      </c>
      <c r="E50" s="339">
        <f>F50+G50</f>
        <v>28000</v>
      </c>
      <c r="F50" s="355">
        <v>28000</v>
      </c>
      <c r="G50" s="361"/>
    </row>
    <row r="51" spans="1:7" s="332" customFormat="1" ht="15.75">
      <c r="A51" s="329">
        <v>752</v>
      </c>
      <c r="B51" s="544"/>
      <c r="C51" s="329"/>
      <c r="D51" s="330" t="s">
        <v>642</v>
      </c>
      <c r="E51" s="356">
        <f>SUM(E52)</f>
        <v>5000</v>
      </c>
      <c r="F51" s="356">
        <f>SUM(F52)</f>
        <v>5000</v>
      </c>
      <c r="G51" s="356">
        <f>SUM(G52+G54+G60)</f>
        <v>0</v>
      </c>
    </row>
    <row r="52" spans="1:7" s="336" customFormat="1" ht="15.75">
      <c r="A52" s="333"/>
      <c r="B52" s="545">
        <v>75212</v>
      </c>
      <c r="C52" s="333"/>
      <c r="D52" s="334" t="s">
        <v>643</v>
      </c>
      <c r="E52" s="357">
        <f>E53</f>
        <v>5000</v>
      </c>
      <c r="F52" s="357">
        <f>F53</f>
        <v>5000</v>
      </c>
      <c r="G52" s="357">
        <f>G53</f>
        <v>0</v>
      </c>
    </row>
    <row r="53" spans="1:7" ht="90">
      <c r="A53" s="337"/>
      <c r="B53" s="546"/>
      <c r="C53" s="337">
        <v>2110</v>
      </c>
      <c r="D53" s="338" t="s">
        <v>489</v>
      </c>
      <c r="E53" s="339">
        <f>F53+G53</f>
        <v>5000</v>
      </c>
      <c r="F53" s="355">
        <v>5000</v>
      </c>
      <c r="G53" s="355"/>
    </row>
    <row r="54" spans="1:7" s="362" customFormat="1" ht="94.5">
      <c r="A54" s="329">
        <v>756</v>
      </c>
      <c r="B54" s="544"/>
      <c r="C54" s="329"/>
      <c r="D54" s="330" t="s">
        <v>506</v>
      </c>
      <c r="E54" s="356">
        <f>E55</f>
        <v>9640000</v>
      </c>
      <c r="F54" s="356">
        <f>F55</f>
        <v>9640000</v>
      </c>
      <c r="G54" s="356">
        <f>G55</f>
        <v>0</v>
      </c>
    </row>
    <row r="55" spans="1:7" s="336" customFormat="1" ht="31.5">
      <c r="A55" s="333"/>
      <c r="B55" s="545">
        <v>75622</v>
      </c>
      <c r="C55" s="333"/>
      <c r="D55" s="334" t="s">
        <v>507</v>
      </c>
      <c r="E55" s="357">
        <f>SUM(E56:E58)</f>
        <v>9640000</v>
      </c>
      <c r="F55" s="357">
        <f>SUM(F56:F58)</f>
        <v>9640000</v>
      </c>
      <c r="G55" s="357">
        <f>SUM(G56:G58)</f>
        <v>0</v>
      </c>
    </row>
    <row r="56" spans="1:7" ht="15.75">
      <c r="A56" s="333"/>
      <c r="B56" s="545"/>
      <c r="C56" s="333"/>
      <c r="D56" s="334" t="s">
        <v>508</v>
      </c>
      <c r="E56" s="355"/>
      <c r="F56" s="355"/>
      <c r="G56" s="355"/>
    </row>
    <row r="57" spans="1:7" ht="30">
      <c r="A57" s="337"/>
      <c r="B57" s="546"/>
      <c r="C57" s="337" t="s">
        <v>509</v>
      </c>
      <c r="D57" s="338" t="s">
        <v>510</v>
      </c>
      <c r="E57" s="339">
        <f>F57+G57</f>
        <v>9500000</v>
      </c>
      <c r="F57" s="355">
        <v>9500000</v>
      </c>
      <c r="G57" s="355"/>
    </row>
    <row r="58" spans="1:7" ht="30">
      <c r="A58" s="337"/>
      <c r="B58" s="546"/>
      <c r="C58" s="337" t="s">
        <v>511</v>
      </c>
      <c r="D58" s="338" t="s">
        <v>512</v>
      </c>
      <c r="E58" s="339">
        <f>F58+G58</f>
        <v>140000</v>
      </c>
      <c r="F58" s="355">
        <v>140000</v>
      </c>
      <c r="G58" s="355"/>
    </row>
    <row r="59" spans="1:7" s="332" customFormat="1" ht="15.75">
      <c r="A59" s="329">
        <v>758</v>
      </c>
      <c r="B59" s="544"/>
      <c r="C59" s="329"/>
      <c r="D59" s="330" t="s">
        <v>407</v>
      </c>
      <c r="E59" s="356">
        <f>SUM(E60+E62+E64+E66+E68)</f>
        <v>23515521</v>
      </c>
      <c r="F59" s="356">
        <f>SUM(F60+F62+F64+F66+F68)</f>
        <v>23515521</v>
      </c>
      <c r="G59" s="356">
        <f>SUM(G60+G64+G66+G68)</f>
        <v>0</v>
      </c>
    </row>
    <row r="60" spans="1:7" s="336" customFormat="1" ht="47.25">
      <c r="A60" s="333"/>
      <c r="B60" s="545">
        <v>75801</v>
      </c>
      <c r="C60" s="333"/>
      <c r="D60" s="334" t="s">
        <v>513</v>
      </c>
      <c r="E60" s="357">
        <f>E61</f>
        <v>14971553</v>
      </c>
      <c r="F60" s="357">
        <f>F61</f>
        <v>14971553</v>
      </c>
      <c r="G60" s="357">
        <f>G61</f>
        <v>0</v>
      </c>
    </row>
    <row r="61" spans="1:7" ht="30">
      <c r="A61" s="337"/>
      <c r="B61" s="546"/>
      <c r="C61" s="337">
        <v>2920</v>
      </c>
      <c r="D61" s="338" t="s">
        <v>514</v>
      </c>
      <c r="E61" s="339">
        <f>F61+G61</f>
        <v>14971553</v>
      </c>
      <c r="F61" s="355">
        <v>14971553</v>
      </c>
      <c r="G61" s="355"/>
    </row>
    <row r="62" spans="1:7" ht="31.5" hidden="1">
      <c r="A62" s="337"/>
      <c r="B62" s="545">
        <v>75802</v>
      </c>
      <c r="C62" s="337"/>
      <c r="D62" s="334" t="s">
        <v>390</v>
      </c>
      <c r="E62" s="357">
        <f>E63</f>
        <v>0</v>
      </c>
      <c r="F62" s="357">
        <f>F63</f>
        <v>0</v>
      </c>
      <c r="G62" s="357">
        <f>G63</f>
        <v>0</v>
      </c>
    </row>
    <row r="63" spans="1:7" ht="105" hidden="1">
      <c r="A63" s="337"/>
      <c r="B63" s="546"/>
      <c r="C63" s="363">
        <v>6180</v>
      </c>
      <c r="D63" s="338" t="s">
        <v>391</v>
      </c>
      <c r="E63" s="339">
        <f>F63+G63</f>
        <v>0</v>
      </c>
      <c r="F63" s="355"/>
      <c r="G63" s="355"/>
    </row>
    <row r="64" spans="1:7" s="336" customFormat="1" ht="31.5">
      <c r="A64" s="333"/>
      <c r="B64" s="545">
        <v>75803</v>
      </c>
      <c r="C64" s="333"/>
      <c r="D64" s="334" t="s">
        <v>515</v>
      </c>
      <c r="E64" s="357">
        <f>E65</f>
        <v>7871621</v>
      </c>
      <c r="F64" s="357">
        <f>F65</f>
        <v>7871621</v>
      </c>
      <c r="G64" s="357">
        <f>G65</f>
        <v>0</v>
      </c>
    </row>
    <row r="65" spans="1:7" ht="30">
      <c r="A65" s="337"/>
      <c r="B65" s="546"/>
      <c r="C65" s="337">
        <v>2920</v>
      </c>
      <c r="D65" s="338" t="s">
        <v>514</v>
      </c>
      <c r="E65" s="339">
        <f>F65+G65</f>
        <v>7871621</v>
      </c>
      <c r="F65" s="355">
        <v>7871621</v>
      </c>
      <c r="G65" s="355"/>
    </row>
    <row r="66" spans="1:7" s="336" customFormat="1" ht="31.5">
      <c r="A66" s="333"/>
      <c r="B66" s="545">
        <v>75832</v>
      </c>
      <c r="C66" s="333"/>
      <c r="D66" s="334" t="s">
        <v>516</v>
      </c>
      <c r="E66" s="357">
        <f>E67</f>
        <v>497347</v>
      </c>
      <c r="F66" s="357">
        <f>F67</f>
        <v>497347</v>
      </c>
      <c r="G66" s="357">
        <f>G67</f>
        <v>0</v>
      </c>
    </row>
    <row r="67" spans="1:7" ht="30">
      <c r="A67" s="337"/>
      <c r="B67" s="546"/>
      <c r="C67" s="337">
        <v>2920</v>
      </c>
      <c r="D67" s="338" t="s">
        <v>514</v>
      </c>
      <c r="E67" s="339">
        <f>F67+G67</f>
        <v>497347</v>
      </c>
      <c r="F67" s="355">
        <v>497347</v>
      </c>
      <c r="G67" s="355"/>
    </row>
    <row r="68" spans="1:7" s="336" customFormat="1" ht="15.75">
      <c r="A68" s="333"/>
      <c r="B68" s="545">
        <v>75814</v>
      </c>
      <c r="C68" s="333"/>
      <c r="D68" s="334" t="s">
        <v>517</v>
      </c>
      <c r="E68" s="357">
        <f>SUM(E69:E71)</f>
        <v>175000</v>
      </c>
      <c r="F68" s="357">
        <f>SUM(F69:F71)</f>
        <v>175000</v>
      </c>
      <c r="G68" s="357">
        <f>SUM(G69:G71)</f>
        <v>0</v>
      </c>
    </row>
    <row r="69" spans="1:7" s="336" customFormat="1" ht="45.75" hidden="1">
      <c r="A69" s="364"/>
      <c r="B69" s="552"/>
      <c r="C69" s="364" t="s">
        <v>600</v>
      </c>
      <c r="D69" s="365" t="s">
        <v>107</v>
      </c>
      <c r="E69" s="339">
        <f>F69+G69</f>
        <v>0</v>
      </c>
      <c r="F69" s="355"/>
      <c r="G69" s="355"/>
    </row>
    <row r="70" spans="1:7" s="336" customFormat="1" ht="15.75">
      <c r="A70" s="364"/>
      <c r="B70" s="552"/>
      <c r="C70" s="337" t="s">
        <v>108</v>
      </c>
      <c r="D70" s="338" t="s">
        <v>109</v>
      </c>
      <c r="E70" s="339">
        <f>F70+G70</f>
        <v>175000</v>
      </c>
      <c r="F70" s="355">
        <v>175000</v>
      </c>
      <c r="G70" s="355"/>
    </row>
    <row r="71" spans="1:7" s="336" customFormat="1" ht="15.75" hidden="1">
      <c r="A71" s="364"/>
      <c r="B71" s="552"/>
      <c r="C71" s="337" t="s">
        <v>103</v>
      </c>
      <c r="D71" s="338" t="s">
        <v>110</v>
      </c>
      <c r="E71" s="339">
        <f>F71+G71</f>
        <v>0</v>
      </c>
      <c r="F71" s="355"/>
      <c r="G71" s="355"/>
    </row>
    <row r="72" spans="1:7" s="332" customFormat="1" ht="15.75">
      <c r="A72" s="329">
        <v>801</v>
      </c>
      <c r="B72" s="544"/>
      <c r="C72" s="329"/>
      <c r="D72" s="330" t="s">
        <v>410</v>
      </c>
      <c r="E72" s="356">
        <f>SUM(E73+E77+E81+E83)</f>
        <v>1269977</v>
      </c>
      <c r="F72" s="356">
        <f>SUM(F73+F77+F81+F83)</f>
        <v>1269977</v>
      </c>
      <c r="G72" s="356">
        <f>SUM(G73+G77+G81+G83)</f>
        <v>0</v>
      </c>
    </row>
    <row r="73" spans="1:7" s="336" customFormat="1" ht="15.75">
      <c r="A73" s="333"/>
      <c r="B73" s="545">
        <v>80120</v>
      </c>
      <c r="C73" s="333"/>
      <c r="D73" s="334" t="s">
        <v>418</v>
      </c>
      <c r="E73" s="357">
        <f>SUM(E74:E76)</f>
        <v>9810</v>
      </c>
      <c r="F73" s="357">
        <f>SUM(F74:F76)</f>
        <v>9810</v>
      </c>
      <c r="G73" s="357">
        <f>SUM(G74:G76)</f>
        <v>0</v>
      </c>
    </row>
    <row r="74" spans="1:7" ht="120">
      <c r="A74" s="337"/>
      <c r="B74" s="546"/>
      <c r="C74" s="341" t="s">
        <v>493</v>
      </c>
      <c r="D74" s="338" t="s">
        <v>494</v>
      </c>
      <c r="E74" s="339">
        <f>F74+G74</f>
        <v>5610</v>
      </c>
      <c r="F74" s="355">
        <v>5610</v>
      </c>
      <c r="G74" s="355"/>
    </row>
    <row r="75" spans="1:7" ht="30">
      <c r="A75" s="337"/>
      <c r="B75" s="546"/>
      <c r="C75" s="341" t="s">
        <v>634</v>
      </c>
      <c r="D75" s="338" t="s">
        <v>635</v>
      </c>
      <c r="E75" s="339">
        <f>F75+G75</f>
        <v>200</v>
      </c>
      <c r="F75" s="355">
        <v>200</v>
      </c>
      <c r="G75" s="355"/>
    </row>
    <row r="76" spans="1:7" ht="15">
      <c r="A76" s="337"/>
      <c r="B76" s="546"/>
      <c r="C76" s="341" t="s">
        <v>108</v>
      </c>
      <c r="D76" s="338" t="s">
        <v>109</v>
      </c>
      <c r="E76" s="339">
        <f>F76+G76</f>
        <v>4000</v>
      </c>
      <c r="F76" s="355">
        <v>4000</v>
      </c>
      <c r="G76" s="355"/>
    </row>
    <row r="77" spans="1:7" s="336" customFormat="1" ht="15.75">
      <c r="A77" s="333"/>
      <c r="B77" s="545">
        <v>80130</v>
      </c>
      <c r="C77" s="333"/>
      <c r="D77" s="334" t="s">
        <v>519</v>
      </c>
      <c r="E77" s="357">
        <f>SUM(E78:E80)</f>
        <v>31000</v>
      </c>
      <c r="F77" s="357">
        <f>SUM(F78:F80)</f>
        <v>31000</v>
      </c>
      <c r="G77" s="357">
        <f>SUM(G79:G79)</f>
        <v>0</v>
      </c>
    </row>
    <row r="78" spans="1:7" s="336" customFormat="1" ht="15.75">
      <c r="A78" s="333"/>
      <c r="B78" s="545"/>
      <c r="C78" s="366" t="s">
        <v>392</v>
      </c>
      <c r="D78" s="365" t="s">
        <v>518</v>
      </c>
      <c r="E78" s="339">
        <f>F78+G78</f>
        <v>17000</v>
      </c>
      <c r="F78" s="355">
        <v>17000</v>
      </c>
      <c r="G78" s="357"/>
    </row>
    <row r="79" spans="1:7" ht="120">
      <c r="A79" s="337"/>
      <c r="B79" s="546"/>
      <c r="C79" s="367" t="s">
        <v>493</v>
      </c>
      <c r="D79" s="338" t="s">
        <v>494</v>
      </c>
      <c r="E79" s="339">
        <f>F79+G79</f>
        <v>9000</v>
      </c>
      <c r="F79" s="355">
        <v>9000</v>
      </c>
      <c r="G79" s="355"/>
    </row>
    <row r="80" spans="1:7" ht="15">
      <c r="A80" s="337"/>
      <c r="B80" s="546"/>
      <c r="C80" s="367" t="s">
        <v>393</v>
      </c>
      <c r="D80" s="338" t="s">
        <v>712</v>
      </c>
      <c r="E80" s="339">
        <f>F80+G80</f>
        <v>5000</v>
      </c>
      <c r="F80" s="355">
        <v>5000</v>
      </c>
      <c r="G80" s="355"/>
    </row>
    <row r="81" spans="1:7" s="336" customFormat="1" ht="15.75">
      <c r="A81" s="333"/>
      <c r="B81" s="545">
        <v>80132</v>
      </c>
      <c r="C81" s="368"/>
      <c r="D81" s="334" t="s">
        <v>425</v>
      </c>
      <c r="E81" s="357">
        <f>SUM(E82:E82)</f>
        <v>34300</v>
      </c>
      <c r="F81" s="357">
        <f>SUM(F82:F82)</f>
        <v>34300</v>
      </c>
      <c r="G81" s="357">
        <f>SUM(G82:G82)</f>
        <v>0</v>
      </c>
    </row>
    <row r="82" spans="1:7" ht="90">
      <c r="A82" s="337"/>
      <c r="B82" s="546"/>
      <c r="C82" s="337">
        <v>2710</v>
      </c>
      <c r="D82" s="338" t="s">
        <v>520</v>
      </c>
      <c r="E82" s="339">
        <f>F82+G82</f>
        <v>34300</v>
      </c>
      <c r="F82" s="355">
        <v>34300</v>
      </c>
      <c r="G82" s="355"/>
    </row>
    <row r="83" spans="1:7" s="340" customFormat="1" ht="15.75">
      <c r="A83" s="369"/>
      <c r="B83" s="547">
        <v>80195</v>
      </c>
      <c r="C83" s="369"/>
      <c r="D83" s="370" t="s">
        <v>402</v>
      </c>
      <c r="E83" s="358">
        <f>SUM(E84:E87)</f>
        <v>1194867</v>
      </c>
      <c r="F83" s="358">
        <f>SUM(F84:F87)</f>
        <v>1194867</v>
      </c>
      <c r="G83" s="358">
        <f>SUM(G86:G86)</f>
        <v>0</v>
      </c>
    </row>
    <row r="84" spans="1:7" s="371" customFormat="1" ht="46.5">
      <c r="A84" s="337"/>
      <c r="B84" s="546"/>
      <c r="C84" s="337">
        <v>2008</v>
      </c>
      <c r="D84" s="338" t="s">
        <v>357</v>
      </c>
      <c r="E84" s="339">
        <f>F84+G84</f>
        <v>1067453</v>
      </c>
      <c r="F84" s="389">
        <f>229150+325440+106360-13+2+406514</f>
        <v>1067453</v>
      </c>
      <c r="G84" s="272"/>
    </row>
    <row r="85" spans="1:7" s="371" customFormat="1" ht="46.5">
      <c r="A85" s="337"/>
      <c r="B85" s="546"/>
      <c r="C85" s="341">
        <v>2009</v>
      </c>
      <c r="D85" s="338" t="s">
        <v>357</v>
      </c>
      <c r="E85" s="339">
        <f>F85+G85</f>
        <v>127414</v>
      </c>
      <c r="F85" s="389">
        <f>40439+11486+3754-1-2+71738</f>
        <v>127414</v>
      </c>
      <c r="G85" s="272"/>
    </row>
    <row r="86" spans="1:7" ht="90" hidden="1">
      <c r="A86" s="337"/>
      <c r="B86" s="546"/>
      <c r="C86" s="341">
        <v>2700</v>
      </c>
      <c r="D86" s="338" t="s">
        <v>270</v>
      </c>
      <c r="E86" s="339">
        <f>F86+G86</f>
        <v>0</v>
      </c>
      <c r="F86" s="328"/>
      <c r="G86" s="328"/>
    </row>
    <row r="87" spans="1:7" ht="45" hidden="1">
      <c r="A87" s="337"/>
      <c r="B87" s="546"/>
      <c r="C87" s="337">
        <v>2130</v>
      </c>
      <c r="D87" s="338" t="s">
        <v>526</v>
      </c>
      <c r="E87" s="339">
        <f>F87+G87</f>
        <v>0</v>
      </c>
      <c r="F87" s="355"/>
      <c r="G87" s="355"/>
    </row>
    <row r="88" spans="1:7" ht="15" hidden="1">
      <c r="A88" s="337"/>
      <c r="B88" s="546"/>
      <c r="C88" s="341"/>
      <c r="D88" s="338"/>
      <c r="E88" s="328"/>
      <c r="F88" s="328"/>
      <c r="G88" s="328"/>
    </row>
    <row r="89" spans="1:7" s="332" customFormat="1" ht="15.75">
      <c r="A89" s="329">
        <v>851</v>
      </c>
      <c r="B89" s="544"/>
      <c r="C89" s="329"/>
      <c r="D89" s="330" t="s">
        <v>434</v>
      </c>
      <c r="E89" s="356">
        <f>SUM(E90)</f>
        <v>1174000</v>
      </c>
      <c r="F89" s="356">
        <f>SUM(F90)</f>
        <v>1174000</v>
      </c>
      <c r="G89" s="356">
        <f>SUM(G90)</f>
        <v>0</v>
      </c>
    </row>
    <row r="90" spans="1:7" s="336" customFormat="1" ht="78.75">
      <c r="A90" s="333"/>
      <c r="B90" s="545">
        <v>85156</v>
      </c>
      <c r="C90" s="333"/>
      <c r="D90" s="334" t="s">
        <v>522</v>
      </c>
      <c r="E90" s="357">
        <f>E91</f>
        <v>1174000</v>
      </c>
      <c r="F90" s="357">
        <f>F91</f>
        <v>1174000</v>
      </c>
      <c r="G90" s="357">
        <f>G91</f>
        <v>0</v>
      </c>
    </row>
    <row r="91" spans="1:7" ht="90">
      <c r="A91" s="337"/>
      <c r="B91" s="546"/>
      <c r="C91" s="337">
        <v>2110</v>
      </c>
      <c r="D91" s="338" t="s">
        <v>489</v>
      </c>
      <c r="E91" s="339">
        <f>F91+G91</f>
        <v>1174000</v>
      </c>
      <c r="F91" s="355">
        <v>1174000</v>
      </c>
      <c r="G91" s="355"/>
    </row>
    <row r="92" spans="1:7" s="332" customFormat="1" ht="15.75">
      <c r="A92" s="329">
        <v>852</v>
      </c>
      <c r="B92" s="544"/>
      <c r="C92" s="329"/>
      <c r="D92" s="330" t="s">
        <v>523</v>
      </c>
      <c r="E92" s="356">
        <f>SUM(E93+E99+E106+E108+E111)</f>
        <v>10767020</v>
      </c>
      <c r="F92" s="356">
        <f>SUM(F93+F99+F106+F108+F111)</f>
        <v>10767020</v>
      </c>
      <c r="G92" s="356">
        <f>SUM(G93+G99+G106+G108)</f>
        <v>0</v>
      </c>
    </row>
    <row r="93" spans="1:7" s="336" customFormat="1" ht="31.5">
      <c r="A93" s="333"/>
      <c r="B93" s="545">
        <v>85201</v>
      </c>
      <c r="C93" s="333"/>
      <c r="D93" s="334" t="s">
        <v>524</v>
      </c>
      <c r="E93" s="357">
        <f>SUM(E94:E98)</f>
        <v>71470</v>
      </c>
      <c r="F93" s="357">
        <f>SUM(F94:F98)</f>
        <v>71470</v>
      </c>
      <c r="G93" s="357">
        <f>SUM(G94:G98)</f>
        <v>0</v>
      </c>
    </row>
    <row r="94" spans="1:7" ht="90">
      <c r="A94" s="337"/>
      <c r="B94" s="546"/>
      <c r="C94" s="341">
        <v>2320</v>
      </c>
      <c r="D94" s="292" t="s">
        <v>521</v>
      </c>
      <c r="E94" s="339">
        <f>F94+G94</f>
        <v>67220</v>
      </c>
      <c r="F94" s="355">
        <v>67220</v>
      </c>
      <c r="G94" s="355"/>
    </row>
    <row r="95" spans="1:7" ht="45">
      <c r="A95" s="337"/>
      <c r="B95" s="546"/>
      <c r="C95" s="341" t="s">
        <v>636</v>
      </c>
      <c r="D95" s="292" t="s">
        <v>637</v>
      </c>
      <c r="E95" s="339">
        <f>F95+G95</f>
        <v>2000</v>
      </c>
      <c r="F95" s="355">
        <v>2000</v>
      </c>
      <c r="G95" s="355"/>
    </row>
    <row r="96" spans="1:7" ht="15">
      <c r="A96" s="337"/>
      <c r="B96" s="546"/>
      <c r="C96" s="341" t="s">
        <v>503</v>
      </c>
      <c r="D96" s="292" t="s">
        <v>518</v>
      </c>
      <c r="E96" s="339">
        <f>F96+G96</f>
        <v>1750</v>
      </c>
      <c r="F96" s="355">
        <v>1750</v>
      </c>
      <c r="G96" s="355"/>
    </row>
    <row r="97" spans="1:7" ht="15">
      <c r="A97" s="337"/>
      <c r="B97" s="546"/>
      <c r="C97" s="341" t="s">
        <v>108</v>
      </c>
      <c r="D97" s="292" t="s">
        <v>109</v>
      </c>
      <c r="E97" s="339">
        <f>F97+G97</f>
        <v>500</v>
      </c>
      <c r="F97" s="355">
        <v>500</v>
      </c>
      <c r="G97" s="355"/>
    </row>
    <row r="98" spans="1:7" ht="75" hidden="1">
      <c r="A98" s="337"/>
      <c r="B98" s="546"/>
      <c r="C98" s="341">
        <v>6430</v>
      </c>
      <c r="D98" s="372" t="s">
        <v>363</v>
      </c>
      <c r="E98" s="339">
        <f>F98+G98</f>
        <v>0</v>
      </c>
      <c r="F98" s="355"/>
      <c r="G98" s="355"/>
    </row>
    <row r="99" spans="1:7" s="336" customFormat="1" ht="15.75">
      <c r="A99" s="333"/>
      <c r="B99" s="545">
        <v>85202</v>
      </c>
      <c r="C99" s="333"/>
      <c r="D99" s="334" t="s">
        <v>525</v>
      </c>
      <c r="E99" s="357">
        <f>SUM(E100:E105)</f>
        <v>9722800</v>
      </c>
      <c r="F99" s="357">
        <f>SUM(F100:F105)</f>
        <v>9722800</v>
      </c>
      <c r="G99" s="357">
        <f>SUM(G100:G105)</f>
        <v>0</v>
      </c>
    </row>
    <row r="100" spans="1:7" ht="120">
      <c r="A100" s="337"/>
      <c r="B100" s="546"/>
      <c r="C100" s="337" t="s">
        <v>493</v>
      </c>
      <c r="D100" s="338" t="s">
        <v>494</v>
      </c>
      <c r="E100" s="339">
        <f aca="true" t="shared" si="1" ref="E100:E105">F100+G100</f>
        <v>33700</v>
      </c>
      <c r="F100" s="355">
        <v>33700</v>
      </c>
      <c r="G100" s="355"/>
    </row>
    <row r="101" spans="1:7" ht="15">
      <c r="A101" s="337"/>
      <c r="B101" s="546"/>
      <c r="C101" s="341" t="s">
        <v>503</v>
      </c>
      <c r="D101" s="338" t="s">
        <v>518</v>
      </c>
      <c r="E101" s="339">
        <f t="shared" si="1"/>
        <v>3946000</v>
      </c>
      <c r="F101" s="355">
        <v>3946000</v>
      </c>
      <c r="G101" s="355"/>
    </row>
    <row r="102" spans="1:7" ht="42.75">
      <c r="A102" s="337"/>
      <c r="B102" s="546"/>
      <c r="C102" s="381">
        <v>2130</v>
      </c>
      <c r="D102" s="382" t="s">
        <v>526</v>
      </c>
      <c r="E102" s="339">
        <f t="shared" si="1"/>
        <v>5734000</v>
      </c>
      <c r="F102" s="355">
        <v>5734000</v>
      </c>
      <c r="G102" s="355"/>
    </row>
    <row r="103" spans="1:7" ht="30">
      <c r="A103" s="337"/>
      <c r="B103" s="546"/>
      <c r="C103" s="341" t="s">
        <v>634</v>
      </c>
      <c r="D103" s="338" t="s">
        <v>635</v>
      </c>
      <c r="E103" s="339">
        <f t="shared" si="1"/>
        <v>100</v>
      </c>
      <c r="F103" s="355">
        <v>100</v>
      </c>
      <c r="G103" s="355"/>
    </row>
    <row r="104" spans="1:7" ht="15">
      <c r="A104" s="337"/>
      <c r="B104" s="546"/>
      <c r="C104" s="341" t="s">
        <v>108</v>
      </c>
      <c r="D104" s="338" t="s">
        <v>109</v>
      </c>
      <c r="E104" s="339">
        <f t="shared" si="1"/>
        <v>5500</v>
      </c>
      <c r="F104" s="355">
        <v>5500</v>
      </c>
      <c r="G104" s="355"/>
    </row>
    <row r="105" spans="1:7" ht="15">
      <c r="A105" s="337"/>
      <c r="B105" s="546"/>
      <c r="C105" s="341" t="s">
        <v>103</v>
      </c>
      <c r="D105" s="338" t="s">
        <v>638</v>
      </c>
      <c r="E105" s="339">
        <f t="shared" si="1"/>
        <v>3500</v>
      </c>
      <c r="F105" s="355">
        <v>3500</v>
      </c>
      <c r="G105" s="355"/>
    </row>
    <row r="106" spans="1:7" s="336" customFormat="1" ht="13.5" customHeight="1">
      <c r="A106" s="333"/>
      <c r="B106" s="545">
        <v>85203</v>
      </c>
      <c r="C106" s="333"/>
      <c r="D106" s="373" t="s">
        <v>450</v>
      </c>
      <c r="E106" s="357">
        <f>SUM(E107:E107)</f>
        <v>750000</v>
      </c>
      <c r="F106" s="357">
        <f>SUM(F107:F107)</f>
        <v>750000</v>
      </c>
      <c r="G106" s="357">
        <f>SUM(G107:G107)</f>
        <v>0</v>
      </c>
    </row>
    <row r="107" spans="1:7" ht="90">
      <c r="A107" s="337"/>
      <c r="B107" s="546"/>
      <c r="C107" s="337">
        <v>2110</v>
      </c>
      <c r="D107" s="338" t="s">
        <v>489</v>
      </c>
      <c r="E107" s="339">
        <f>F107+G107</f>
        <v>750000</v>
      </c>
      <c r="F107" s="355">
        <v>750000</v>
      </c>
      <c r="G107" s="355"/>
    </row>
    <row r="108" spans="1:7" s="336" customFormat="1" ht="15.75">
      <c r="A108" s="333"/>
      <c r="B108" s="545">
        <v>85204</v>
      </c>
      <c r="C108" s="333"/>
      <c r="D108" s="334" t="s">
        <v>451</v>
      </c>
      <c r="E108" s="357">
        <f>SUM(E109:E110)</f>
        <v>220900</v>
      </c>
      <c r="F108" s="357">
        <f>SUM(F109:F110)</f>
        <v>220900</v>
      </c>
      <c r="G108" s="357">
        <f>SUM(G109:G110)</f>
        <v>0</v>
      </c>
    </row>
    <row r="109" spans="1:7" ht="15">
      <c r="A109" s="364"/>
      <c r="B109" s="552"/>
      <c r="C109" s="364" t="s">
        <v>492</v>
      </c>
      <c r="D109" s="365" t="s">
        <v>639</v>
      </c>
      <c r="E109" s="339">
        <f>F109+G109</f>
        <v>2500</v>
      </c>
      <c r="F109" s="355">
        <v>2500</v>
      </c>
      <c r="G109" s="355"/>
    </row>
    <row r="110" spans="1:7" ht="90">
      <c r="A110" s="337"/>
      <c r="B110" s="546"/>
      <c r="C110" s="341">
        <v>2320</v>
      </c>
      <c r="D110" s="292" t="s">
        <v>521</v>
      </c>
      <c r="E110" s="339">
        <f>F110+G110</f>
        <v>218400</v>
      </c>
      <c r="F110" s="355">
        <v>218400</v>
      </c>
      <c r="G110" s="355"/>
    </row>
    <row r="111" spans="1:7" s="336" customFormat="1" ht="13.5" customHeight="1">
      <c r="A111" s="333"/>
      <c r="B111" s="545">
        <v>85218</v>
      </c>
      <c r="C111" s="333"/>
      <c r="D111" s="373" t="s">
        <v>121</v>
      </c>
      <c r="E111" s="357">
        <f>SUM(E112:E113)</f>
        <v>1850</v>
      </c>
      <c r="F111" s="357">
        <f>SUM(F112:F113)</f>
        <v>1850</v>
      </c>
      <c r="G111" s="357">
        <f>SUM(G112:G113)</f>
        <v>0</v>
      </c>
    </row>
    <row r="112" spans="1:7" ht="15">
      <c r="A112" s="337"/>
      <c r="B112" s="546"/>
      <c r="C112" s="337" t="s">
        <v>503</v>
      </c>
      <c r="D112" s="338" t="s">
        <v>640</v>
      </c>
      <c r="E112" s="339">
        <f>F112+G112</f>
        <v>350</v>
      </c>
      <c r="F112" s="355">
        <v>350</v>
      </c>
      <c r="G112" s="355"/>
    </row>
    <row r="113" spans="1:7" ht="15">
      <c r="A113" s="337"/>
      <c r="B113" s="546"/>
      <c r="C113" s="337" t="s">
        <v>108</v>
      </c>
      <c r="D113" s="338" t="s">
        <v>109</v>
      </c>
      <c r="E113" s="339">
        <f>F113+G113</f>
        <v>1500</v>
      </c>
      <c r="F113" s="355">
        <v>1500</v>
      </c>
      <c r="G113" s="355"/>
    </row>
    <row r="114" spans="1:7" s="332" customFormat="1" ht="47.25">
      <c r="A114" s="329">
        <v>853</v>
      </c>
      <c r="B114" s="544"/>
      <c r="C114" s="374"/>
      <c r="D114" s="330" t="s">
        <v>527</v>
      </c>
      <c r="E114" s="356">
        <f>SUM(E115+E117+E123+E125)</f>
        <v>2684797</v>
      </c>
      <c r="F114" s="356">
        <f>SUM(F115+F117+F123+F125)</f>
        <v>2678677</v>
      </c>
      <c r="G114" s="356">
        <f>SUM(G115+G117+G123+G125)</f>
        <v>6120</v>
      </c>
    </row>
    <row r="115" spans="1:7" s="336" customFormat="1" ht="31.5">
      <c r="A115" s="333"/>
      <c r="B115" s="545">
        <v>85321</v>
      </c>
      <c r="C115" s="333"/>
      <c r="D115" s="334" t="s">
        <v>342</v>
      </c>
      <c r="E115" s="357">
        <f>E116</f>
        <v>116000</v>
      </c>
      <c r="F115" s="357">
        <f>F116</f>
        <v>116000</v>
      </c>
      <c r="G115" s="357">
        <f>G116</f>
        <v>0</v>
      </c>
    </row>
    <row r="116" spans="1:7" ht="90">
      <c r="A116" s="337"/>
      <c r="B116" s="546"/>
      <c r="C116" s="337">
        <v>2110</v>
      </c>
      <c r="D116" s="338" t="s">
        <v>489</v>
      </c>
      <c r="E116" s="339">
        <f>F116+G116</f>
        <v>116000</v>
      </c>
      <c r="F116" s="355">
        <v>116000</v>
      </c>
      <c r="G116" s="355"/>
    </row>
    <row r="117" spans="1:7" s="336" customFormat="1" ht="16.5" customHeight="1">
      <c r="A117" s="333"/>
      <c r="B117" s="545">
        <v>85333</v>
      </c>
      <c r="C117" s="333"/>
      <c r="D117" s="334" t="s">
        <v>528</v>
      </c>
      <c r="E117" s="357">
        <f>SUM(E118:E122)</f>
        <v>752100</v>
      </c>
      <c r="F117" s="357">
        <f>SUM(F118:F122)</f>
        <v>752100</v>
      </c>
      <c r="G117" s="357">
        <f>SUM(G118:G122)</f>
        <v>0</v>
      </c>
    </row>
    <row r="118" spans="1:7" s="336" customFormat="1" ht="120.75">
      <c r="A118" s="333"/>
      <c r="B118" s="545"/>
      <c r="C118" s="337" t="s">
        <v>493</v>
      </c>
      <c r="D118" s="338" t="s">
        <v>494</v>
      </c>
      <c r="E118" s="339">
        <f>F118+G118</f>
        <v>9000</v>
      </c>
      <c r="F118" s="355">
        <v>9000</v>
      </c>
      <c r="G118" s="357"/>
    </row>
    <row r="119" spans="1:7" ht="15">
      <c r="A119" s="337"/>
      <c r="B119" s="546"/>
      <c r="C119" s="337" t="s">
        <v>503</v>
      </c>
      <c r="D119" s="338" t="s">
        <v>640</v>
      </c>
      <c r="E119" s="339">
        <f>F119+G119</f>
        <v>1000</v>
      </c>
      <c r="F119" s="355">
        <v>1000</v>
      </c>
      <c r="G119" s="355"/>
    </row>
    <row r="120" spans="1:7" ht="15">
      <c r="A120" s="337"/>
      <c r="B120" s="546"/>
      <c r="C120" s="337" t="s">
        <v>108</v>
      </c>
      <c r="D120" s="338" t="s">
        <v>109</v>
      </c>
      <c r="E120" s="339">
        <f>F120+G120</f>
        <v>1500</v>
      </c>
      <c r="F120" s="355">
        <v>1500</v>
      </c>
      <c r="G120" s="355"/>
    </row>
    <row r="121" spans="1:7" s="336" customFormat="1" ht="45.75" hidden="1">
      <c r="A121" s="333"/>
      <c r="B121" s="545"/>
      <c r="C121" s="337">
        <v>2008</v>
      </c>
      <c r="D121" s="338" t="s">
        <v>357</v>
      </c>
      <c r="E121" s="339">
        <f>F121+G121</f>
        <v>0</v>
      </c>
      <c r="F121" s="355"/>
      <c r="G121" s="357"/>
    </row>
    <row r="122" spans="1:7" ht="155.25" customHeight="1">
      <c r="A122" s="337"/>
      <c r="B122" s="546"/>
      <c r="C122" s="341">
        <v>2690</v>
      </c>
      <c r="D122" s="338" t="s">
        <v>0</v>
      </c>
      <c r="E122" s="339">
        <f>F122+G122</f>
        <v>740600</v>
      </c>
      <c r="F122" s="355">
        <f>684300+56300</f>
        <v>740600</v>
      </c>
      <c r="G122" s="355"/>
    </row>
    <row r="123" spans="1:7" s="336" customFormat="1" ht="15.75" hidden="1">
      <c r="A123" s="333"/>
      <c r="B123" s="545">
        <v>85334</v>
      </c>
      <c r="C123" s="333"/>
      <c r="D123" s="334" t="s">
        <v>35</v>
      </c>
      <c r="E123" s="357">
        <f>E124</f>
        <v>0</v>
      </c>
      <c r="F123" s="357">
        <f>F124</f>
        <v>0</v>
      </c>
      <c r="G123" s="357">
        <f>G124</f>
        <v>0</v>
      </c>
    </row>
    <row r="124" spans="1:7" ht="90" hidden="1">
      <c r="A124" s="337"/>
      <c r="B124" s="546"/>
      <c r="C124" s="337">
        <v>2110</v>
      </c>
      <c r="D124" s="338" t="s">
        <v>489</v>
      </c>
      <c r="E124" s="339">
        <f>F124+G124</f>
        <v>0</v>
      </c>
      <c r="F124" s="355"/>
      <c r="G124" s="355"/>
    </row>
    <row r="125" spans="1:7" ht="15.75">
      <c r="A125" s="333"/>
      <c r="B125" s="545">
        <v>83395</v>
      </c>
      <c r="C125" s="333"/>
      <c r="D125" s="334" t="s">
        <v>402</v>
      </c>
      <c r="E125" s="289">
        <f>SUM(E126:E132)</f>
        <v>1816697</v>
      </c>
      <c r="F125" s="289">
        <f>SUM(F126:F132)</f>
        <v>1810577</v>
      </c>
      <c r="G125" s="289">
        <f>SUM(G126:G132)</f>
        <v>6120</v>
      </c>
    </row>
    <row r="126" spans="1:7" ht="45.75">
      <c r="A126" s="337"/>
      <c r="B126" s="546"/>
      <c r="C126" s="375">
        <v>2008</v>
      </c>
      <c r="D126" s="376" t="s">
        <v>357</v>
      </c>
      <c r="E126" s="339">
        <f aca="true" t="shared" si="2" ref="E126:E132">F126+G126</f>
        <v>1545330</v>
      </c>
      <c r="F126" s="272">
        <f>838045+707285</f>
        <v>1545330</v>
      </c>
      <c r="G126" s="355"/>
    </row>
    <row r="127" spans="1:7" ht="45.75">
      <c r="A127" s="337"/>
      <c r="B127" s="546"/>
      <c r="C127" s="377">
        <v>2009</v>
      </c>
      <c r="D127" s="376" t="s">
        <v>357</v>
      </c>
      <c r="E127" s="339">
        <f t="shared" si="2"/>
        <v>30292</v>
      </c>
      <c r="F127" s="272">
        <v>30292</v>
      </c>
      <c r="G127" s="355"/>
    </row>
    <row r="128" spans="1:7" ht="15.75" hidden="1">
      <c r="A128" s="337"/>
      <c r="B128" s="546"/>
      <c r="C128" s="375">
        <v>6208</v>
      </c>
      <c r="D128" s="376" t="s">
        <v>90</v>
      </c>
      <c r="E128" s="339">
        <f t="shared" si="2"/>
        <v>0</v>
      </c>
      <c r="F128" s="272"/>
      <c r="G128" s="355"/>
    </row>
    <row r="129" spans="1:7" ht="15.75" hidden="1">
      <c r="A129" s="337"/>
      <c r="B129" s="546"/>
      <c r="C129" s="377">
        <v>6209</v>
      </c>
      <c r="D129" s="376" t="s">
        <v>89</v>
      </c>
      <c r="E129" s="339">
        <f t="shared" si="2"/>
        <v>0</v>
      </c>
      <c r="F129" s="272"/>
      <c r="G129" s="355"/>
    </row>
    <row r="130" spans="1:7" ht="15.75">
      <c r="A130" s="337"/>
      <c r="B130" s="546"/>
      <c r="C130" s="535">
        <v>6208</v>
      </c>
      <c r="D130" s="536" t="s">
        <v>753</v>
      </c>
      <c r="E130" s="339">
        <f>G130</f>
        <v>6120</v>
      </c>
      <c r="F130" s="272"/>
      <c r="G130" s="355">
        <v>6120</v>
      </c>
    </row>
    <row r="131" spans="1:7" ht="60.75">
      <c r="A131" s="337"/>
      <c r="B131" s="546"/>
      <c r="C131" s="378">
        <v>2310</v>
      </c>
      <c r="D131" s="376" t="s">
        <v>641</v>
      </c>
      <c r="E131" s="339">
        <f t="shared" si="2"/>
        <v>99384</v>
      </c>
      <c r="F131" s="272">
        <f>232+99152</f>
        <v>99384</v>
      </c>
      <c r="G131" s="355"/>
    </row>
    <row r="132" spans="1:7" ht="60.75">
      <c r="A132" s="337"/>
      <c r="B132" s="546"/>
      <c r="C132" s="378">
        <v>2320</v>
      </c>
      <c r="D132" s="376" t="s">
        <v>358</v>
      </c>
      <c r="E132" s="339">
        <f t="shared" si="2"/>
        <v>135571</v>
      </c>
      <c r="F132" s="272">
        <f>117367+18204</f>
        <v>135571</v>
      </c>
      <c r="G132" s="355"/>
    </row>
    <row r="133" spans="1:7" s="332" customFormat="1" ht="31.5">
      <c r="A133" s="329">
        <v>854</v>
      </c>
      <c r="B133" s="544"/>
      <c r="C133" s="329"/>
      <c r="D133" s="330" t="s">
        <v>462</v>
      </c>
      <c r="E133" s="356">
        <f>SUM(E136+E139+E141+E134)</f>
        <v>9000</v>
      </c>
      <c r="F133" s="356">
        <f>SUM(F136+F139+F141+F134)</f>
        <v>9000</v>
      </c>
      <c r="G133" s="356">
        <f>SUM(G136)</f>
        <v>0</v>
      </c>
    </row>
    <row r="134" spans="1:7" s="336" customFormat="1" ht="31.5" hidden="1">
      <c r="A134" s="333"/>
      <c r="B134" s="545">
        <v>85406</v>
      </c>
      <c r="C134" s="333"/>
      <c r="D134" s="334" t="s">
        <v>624</v>
      </c>
      <c r="E134" s="357">
        <f>SUM(E135)</f>
        <v>0</v>
      </c>
      <c r="F134" s="357">
        <f>SUM(F135)</f>
        <v>0</v>
      </c>
      <c r="G134" s="357">
        <f>SUM(G135:G136)</f>
        <v>0</v>
      </c>
    </row>
    <row r="135" spans="1:7" ht="45" hidden="1">
      <c r="A135" s="337"/>
      <c r="B135" s="546"/>
      <c r="C135" s="337">
        <v>2130</v>
      </c>
      <c r="D135" s="338" t="s">
        <v>526</v>
      </c>
      <c r="E135" s="339">
        <f>F135+G135</f>
        <v>0</v>
      </c>
      <c r="F135" s="355"/>
      <c r="G135" s="355"/>
    </row>
    <row r="136" spans="1:7" s="336" customFormat="1" ht="15.75">
      <c r="A136" s="333"/>
      <c r="B136" s="545">
        <v>85410</v>
      </c>
      <c r="C136" s="333"/>
      <c r="D136" s="334" t="s">
        <v>529</v>
      </c>
      <c r="E136" s="357">
        <f>SUM(E137:E138)</f>
        <v>9000</v>
      </c>
      <c r="F136" s="357">
        <f>SUM(F137:F138)</f>
        <v>9000</v>
      </c>
      <c r="G136" s="357">
        <f>SUM(G137:G138)</f>
        <v>0</v>
      </c>
    </row>
    <row r="137" spans="1:7" ht="120">
      <c r="A137" s="337"/>
      <c r="B137" s="546"/>
      <c r="C137" s="337" t="s">
        <v>493</v>
      </c>
      <c r="D137" s="338" t="s">
        <v>494</v>
      </c>
      <c r="E137" s="339">
        <f>F137+G137</f>
        <v>3000</v>
      </c>
      <c r="F137" s="355">
        <v>3000</v>
      </c>
      <c r="G137" s="355"/>
    </row>
    <row r="138" spans="1:7" ht="15">
      <c r="A138" s="337"/>
      <c r="B138" s="546"/>
      <c r="C138" s="337" t="s">
        <v>503</v>
      </c>
      <c r="D138" s="338" t="s">
        <v>640</v>
      </c>
      <c r="E138" s="339">
        <f>F138+G138</f>
        <v>6000</v>
      </c>
      <c r="F138" s="355">
        <v>6000</v>
      </c>
      <c r="G138" s="355"/>
    </row>
    <row r="139" spans="1:7" ht="31.5" hidden="1">
      <c r="A139" s="337"/>
      <c r="B139" s="545">
        <v>85413</v>
      </c>
      <c r="C139" s="341"/>
      <c r="D139" s="334" t="s">
        <v>389</v>
      </c>
      <c r="E139" s="287">
        <f>E140</f>
        <v>0</v>
      </c>
      <c r="F139" s="287">
        <f>F140</f>
        <v>0</v>
      </c>
      <c r="G139" s="357">
        <f>G140</f>
        <v>0</v>
      </c>
    </row>
    <row r="140" spans="1:7" ht="90" hidden="1">
      <c r="A140" s="337"/>
      <c r="B140" s="546"/>
      <c r="C140" s="341">
        <v>2700</v>
      </c>
      <c r="D140" s="338" t="s">
        <v>270</v>
      </c>
      <c r="E140" s="339">
        <f>F140+G140</f>
        <v>0</v>
      </c>
      <c r="F140" s="355"/>
      <c r="G140" s="355"/>
    </row>
    <row r="141" spans="1:7" s="336" customFormat="1" ht="31.5" hidden="1">
      <c r="A141" s="333"/>
      <c r="B141" s="545">
        <v>85415</v>
      </c>
      <c r="C141" s="333"/>
      <c r="D141" s="334" t="s">
        <v>105</v>
      </c>
      <c r="E141" s="357">
        <f>SUM(E142:E143)</f>
        <v>0</v>
      </c>
      <c r="F141" s="357">
        <f>SUM(F142:F143)</f>
        <v>0</v>
      </c>
      <c r="G141" s="357">
        <f>SUM(G142:G143)</f>
        <v>0</v>
      </c>
    </row>
    <row r="142" spans="1:7" s="336" customFormat="1" ht="45.75" hidden="1">
      <c r="A142" s="333"/>
      <c r="B142" s="545"/>
      <c r="C142" s="364">
        <v>2130</v>
      </c>
      <c r="D142" s="338" t="s">
        <v>526</v>
      </c>
      <c r="E142" s="339">
        <f>F142+G142</f>
        <v>0</v>
      </c>
      <c r="F142" s="355"/>
      <c r="G142" s="357"/>
    </row>
    <row r="143" spans="1:7" ht="75" hidden="1">
      <c r="A143" s="337"/>
      <c r="B143" s="546"/>
      <c r="C143" s="341">
        <v>2330</v>
      </c>
      <c r="D143" s="338" t="s">
        <v>106</v>
      </c>
      <c r="E143" s="339">
        <f>F143+G143</f>
        <v>0</v>
      </c>
      <c r="F143" s="355"/>
      <c r="G143" s="355"/>
    </row>
    <row r="144" spans="1:7" ht="47.25" hidden="1">
      <c r="A144" s="379">
        <v>921</v>
      </c>
      <c r="B144" s="553"/>
      <c r="C144" s="273"/>
      <c r="D144" s="380" t="s">
        <v>470</v>
      </c>
      <c r="E144" s="274">
        <f>E145</f>
        <v>0</v>
      </c>
      <c r="F144" s="274">
        <f>F145</f>
        <v>0</v>
      </c>
      <c r="G144" s="274">
        <f>G145</f>
        <v>0</v>
      </c>
    </row>
    <row r="145" spans="1:7" ht="15.75" hidden="1">
      <c r="A145" s="275"/>
      <c r="B145" s="554">
        <v>92116</v>
      </c>
      <c r="C145" s="276"/>
      <c r="D145" s="279" t="s">
        <v>471</v>
      </c>
      <c r="E145" s="277">
        <f>SUM(E146)</f>
        <v>0</v>
      </c>
      <c r="F145" s="277"/>
      <c r="G145" s="355">
        <f>SUM(G146)</f>
        <v>0</v>
      </c>
    </row>
    <row r="146" spans="1:7" ht="60" hidden="1">
      <c r="A146" s="337"/>
      <c r="B146" s="546"/>
      <c r="C146" s="337">
        <v>2440</v>
      </c>
      <c r="D146" s="352" t="s">
        <v>37</v>
      </c>
      <c r="E146" s="339">
        <f>F146+G146</f>
        <v>0</v>
      </c>
      <c r="F146" s="355"/>
      <c r="G146" s="355"/>
    </row>
    <row r="147" spans="1:7" ht="31.5">
      <c r="A147" s="329"/>
      <c r="B147" s="544"/>
      <c r="C147" s="329"/>
      <c r="D147" s="330" t="s">
        <v>530</v>
      </c>
      <c r="E147" s="357">
        <f>SUM(E10+E15+E26+E32+E39+E54+E59+E72+E89+E92+E114+E133+E18+E144+E51)</f>
        <v>55203004</v>
      </c>
      <c r="F147" s="357">
        <f>SUM(F10+F15+F26+F32+F39+F54+F59+F72+F89+F92+F114+F133+F18+F144+F51)</f>
        <v>53491884</v>
      </c>
      <c r="G147" s="357">
        <f>SUM(G10+G15+G26+G32+G39+G54+G59+G72+G89+G92+G114+G133+G18+G144+G51)</f>
        <v>1711120</v>
      </c>
    </row>
    <row r="152" ht="15">
      <c r="E152" s="317"/>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82" t="s">
        <v>655</v>
      </c>
      <c r="B1" s="582"/>
      <c r="C1" s="582"/>
      <c r="D1" s="582"/>
      <c r="E1" s="582"/>
      <c r="F1" s="582"/>
      <c r="G1" s="582"/>
      <c r="H1" s="582"/>
      <c r="I1" s="582"/>
      <c r="J1" s="582"/>
    </row>
    <row r="2" spans="1:6" ht="15.75">
      <c r="A2" s="9"/>
      <c r="B2" s="9"/>
      <c r="C2" s="9"/>
      <c r="D2" s="9"/>
      <c r="E2" s="9"/>
      <c r="F2" s="9"/>
    </row>
    <row r="3" spans="1:10" ht="13.5" customHeight="1">
      <c r="A3" s="4"/>
      <c r="B3" s="4"/>
      <c r="C3" s="4"/>
      <c r="D3" s="4"/>
      <c r="E3" s="4"/>
      <c r="F3" s="4"/>
      <c r="J3" s="50" t="s">
        <v>172</v>
      </c>
    </row>
    <row r="4" spans="1:10" ht="20.25" customHeight="1">
      <c r="A4" s="594" t="s">
        <v>133</v>
      </c>
      <c r="B4" s="630" t="s">
        <v>134</v>
      </c>
      <c r="C4" s="630" t="s">
        <v>260</v>
      </c>
      <c r="D4" s="585" t="s">
        <v>245</v>
      </c>
      <c r="E4" s="585" t="s">
        <v>272</v>
      </c>
      <c r="F4" s="585" t="s">
        <v>207</v>
      </c>
      <c r="G4" s="585"/>
      <c r="H4" s="585"/>
      <c r="I4" s="585"/>
      <c r="J4" s="585"/>
    </row>
    <row r="5" spans="1:10" ht="18" customHeight="1">
      <c r="A5" s="594"/>
      <c r="B5" s="631"/>
      <c r="C5" s="631"/>
      <c r="D5" s="594"/>
      <c r="E5" s="585"/>
      <c r="F5" s="585" t="s">
        <v>243</v>
      </c>
      <c r="G5" s="585" t="s">
        <v>137</v>
      </c>
      <c r="H5" s="585"/>
      <c r="I5" s="585"/>
      <c r="J5" s="585" t="s">
        <v>244</v>
      </c>
    </row>
    <row r="6" spans="1:10" ht="69" customHeight="1">
      <c r="A6" s="594"/>
      <c r="B6" s="632"/>
      <c r="C6" s="632"/>
      <c r="D6" s="594"/>
      <c r="E6" s="585"/>
      <c r="F6" s="585"/>
      <c r="G6" s="14" t="s">
        <v>241</v>
      </c>
      <c r="H6" s="14" t="s">
        <v>242</v>
      </c>
      <c r="I6" s="14" t="s">
        <v>273</v>
      </c>
      <c r="J6" s="585"/>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7">
        <f>1!E50</f>
        <v>28000</v>
      </c>
      <c r="E8" s="107">
        <f>F8+J8</f>
        <v>28000</v>
      </c>
      <c r="F8" s="107">
        <f>D8</f>
        <v>28000</v>
      </c>
      <c r="G8" s="107"/>
      <c r="H8" s="107"/>
      <c r="I8" s="107"/>
      <c r="J8" s="107"/>
    </row>
    <row r="9" spans="1:10" ht="24.75" customHeight="1">
      <c r="A9" s="633" t="s">
        <v>256</v>
      </c>
      <c r="B9" s="634"/>
      <c r="C9" s="634"/>
      <c r="D9" s="108">
        <f aca="true" t="shared" si="0" ref="D9:J9">SUM(D8:D8)</f>
        <v>28000</v>
      </c>
      <c r="E9" s="108">
        <f t="shared" si="0"/>
        <v>28000</v>
      </c>
      <c r="F9" s="108">
        <f t="shared" si="0"/>
        <v>28000</v>
      </c>
      <c r="G9" s="108">
        <f t="shared" si="0"/>
        <v>0</v>
      </c>
      <c r="H9" s="108">
        <f t="shared" si="0"/>
        <v>0</v>
      </c>
      <c r="I9" s="108">
        <f t="shared" si="0"/>
        <v>0</v>
      </c>
      <c r="J9" s="108">
        <f t="shared" si="0"/>
        <v>0</v>
      </c>
    </row>
    <row r="11" spans="1:7" ht="12.75">
      <c r="A11" s="60"/>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4"/>
  <sheetViews>
    <sheetView zoomScalePageLayoutView="0" workbookViewId="0" topLeftCell="A1">
      <selection activeCell="D17" sqref="D17"/>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82" t="s">
        <v>656</v>
      </c>
      <c r="B1" s="582"/>
      <c r="C1" s="582"/>
      <c r="D1" s="582"/>
      <c r="E1" s="582"/>
      <c r="F1" s="582"/>
      <c r="G1" s="582"/>
      <c r="H1" s="582"/>
      <c r="I1" s="582"/>
      <c r="J1" s="582"/>
      <c r="K1" s="582"/>
    </row>
    <row r="3" ht="12.75">
      <c r="K3" s="50" t="s">
        <v>172</v>
      </c>
    </row>
    <row r="4" spans="1:80" ht="20.25" customHeight="1">
      <c r="A4" s="594" t="s">
        <v>133</v>
      </c>
      <c r="B4" s="630" t="s">
        <v>134</v>
      </c>
      <c r="C4" s="630" t="s">
        <v>135</v>
      </c>
      <c r="D4" s="585" t="s">
        <v>245</v>
      </c>
      <c r="E4" s="585" t="s">
        <v>553</v>
      </c>
      <c r="F4" s="585" t="s">
        <v>207</v>
      </c>
      <c r="G4" s="585"/>
      <c r="H4" s="585"/>
      <c r="I4" s="585"/>
      <c r="J4" s="585"/>
      <c r="K4" s="585"/>
      <c r="BY4" s="1"/>
      <c r="BZ4" s="1"/>
      <c r="CA4" s="1"/>
      <c r="CB4" s="1"/>
    </row>
    <row r="5" spans="1:80" ht="18" customHeight="1">
      <c r="A5" s="594"/>
      <c r="B5" s="631"/>
      <c r="C5" s="631"/>
      <c r="D5" s="594"/>
      <c r="E5" s="585"/>
      <c r="F5" s="585" t="s">
        <v>243</v>
      </c>
      <c r="G5" s="585" t="s">
        <v>137</v>
      </c>
      <c r="H5" s="585"/>
      <c r="I5" s="585"/>
      <c r="J5" s="14"/>
      <c r="K5" s="585" t="s">
        <v>244</v>
      </c>
      <c r="BY5" s="1"/>
      <c r="BZ5" s="1"/>
      <c r="CA5" s="1"/>
      <c r="CB5" s="1"/>
    </row>
    <row r="6" spans="1:80" ht="69" customHeight="1">
      <c r="A6" s="594"/>
      <c r="B6" s="632"/>
      <c r="C6" s="632"/>
      <c r="D6" s="594"/>
      <c r="E6" s="585"/>
      <c r="F6" s="585"/>
      <c r="G6" s="14" t="s">
        <v>241</v>
      </c>
      <c r="H6" s="14" t="s">
        <v>242</v>
      </c>
      <c r="I6" s="106" t="s">
        <v>552</v>
      </c>
      <c r="J6" s="106" t="s">
        <v>571</v>
      </c>
      <c r="K6" s="58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5">
        <v>600</v>
      </c>
      <c r="B9" s="109">
        <v>60014</v>
      </c>
      <c r="C9" s="109">
        <v>2310</v>
      </c>
      <c r="D9" s="75">
        <f>1!F20</f>
        <v>0</v>
      </c>
      <c r="E9" s="75">
        <f>F9+K9</f>
        <v>0</v>
      </c>
      <c r="F9" s="75">
        <f aca="true" t="shared" si="0" ref="F9:F15">D9</f>
        <v>0</v>
      </c>
      <c r="G9" s="75"/>
      <c r="H9" s="75"/>
      <c r="I9" s="75"/>
      <c r="J9" s="75"/>
      <c r="K9" s="75"/>
      <c r="BY9" s="1"/>
      <c r="BZ9" s="1"/>
      <c r="CA9" s="1"/>
      <c r="CB9" s="1"/>
    </row>
    <row r="10" spans="1:80" ht="19.5" customHeight="1">
      <c r="A10" s="75">
        <v>600</v>
      </c>
      <c r="B10" s="109">
        <v>60014</v>
      </c>
      <c r="C10" s="271">
        <v>6610</v>
      </c>
      <c r="D10" s="75">
        <f>1!G24</f>
        <v>1705000</v>
      </c>
      <c r="E10" s="75">
        <f>D10</f>
        <v>1705000</v>
      </c>
      <c r="F10" s="75"/>
      <c r="G10" s="75"/>
      <c r="H10" s="75"/>
      <c r="I10" s="75"/>
      <c r="J10" s="75"/>
      <c r="K10" s="75">
        <f>D10</f>
        <v>1705000</v>
      </c>
      <c r="BY10" s="1"/>
      <c r="BZ10" s="1"/>
      <c r="CA10" s="1"/>
      <c r="CB10" s="1"/>
    </row>
    <row r="11" spans="1:80" ht="19.5" customHeight="1" hidden="1">
      <c r="A11" s="75"/>
      <c r="B11" s="109">
        <v>60014</v>
      </c>
      <c r="C11" s="271">
        <v>6610</v>
      </c>
      <c r="D11" s="75">
        <f>1!G25</f>
        <v>0</v>
      </c>
      <c r="E11" s="75">
        <f>D11</f>
        <v>0</v>
      </c>
      <c r="F11" s="75">
        <f t="shared" si="0"/>
        <v>0</v>
      </c>
      <c r="G11" s="75"/>
      <c r="H11" s="75"/>
      <c r="I11" s="75"/>
      <c r="J11" s="75"/>
      <c r="K11" s="75"/>
      <c r="BY11" s="1"/>
      <c r="BZ11" s="1"/>
      <c r="CA11" s="1"/>
      <c r="CB11" s="1"/>
    </row>
    <row r="12" spans="1:80" ht="19.5" customHeight="1" hidden="1">
      <c r="A12" s="75">
        <v>801</v>
      </c>
      <c r="B12" s="109">
        <v>80195</v>
      </c>
      <c r="C12" s="271">
        <v>2008</v>
      </c>
      <c r="D12" s="75"/>
      <c r="E12" s="75">
        <f>D12</f>
        <v>0</v>
      </c>
      <c r="F12" s="75">
        <f t="shared" si="0"/>
        <v>0</v>
      </c>
      <c r="G12" s="75"/>
      <c r="H12" s="75"/>
      <c r="I12" s="75"/>
      <c r="J12" s="75"/>
      <c r="K12" s="75"/>
      <c r="BY12" s="1"/>
      <c r="BZ12" s="1"/>
      <c r="CA12" s="1"/>
      <c r="CB12" s="1"/>
    </row>
    <row r="13" spans="1:80" ht="19.5" customHeight="1" hidden="1">
      <c r="A13" s="75"/>
      <c r="B13" s="109">
        <v>80195</v>
      </c>
      <c r="C13" s="271">
        <v>2009</v>
      </c>
      <c r="D13" s="75"/>
      <c r="E13" s="75">
        <f>D13</f>
        <v>0</v>
      </c>
      <c r="F13" s="75">
        <f t="shared" si="0"/>
        <v>0</v>
      </c>
      <c r="G13" s="75"/>
      <c r="H13" s="75"/>
      <c r="I13" s="75"/>
      <c r="J13" s="75"/>
      <c r="K13" s="75"/>
      <c r="BY13" s="1"/>
      <c r="BZ13" s="1"/>
      <c r="CA13" s="1"/>
      <c r="CB13" s="1"/>
    </row>
    <row r="14" spans="1:80" ht="19.5" customHeight="1">
      <c r="A14" s="75">
        <v>852</v>
      </c>
      <c r="B14" s="109">
        <v>85201</v>
      </c>
      <c r="C14" s="109">
        <v>2320</v>
      </c>
      <c r="D14" s="75">
        <f>1!E94</f>
        <v>67220</v>
      </c>
      <c r="E14" s="75">
        <f>F14+K14</f>
        <v>67220</v>
      </c>
      <c r="F14" s="75">
        <f t="shared" si="0"/>
        <v>67220</v>
      </c>
      <c r="G14" s="75"/>
      <c r="H14" s="75"/>
      <c r="I14" s="75"/>
      <c r="J14" s="75"/>
      <c r="K14" s="75"/>
      <c r="BY14" s="1"/>
      <c r="BZ14" s="1"/>
      <c r="CA14" s="1"/>
      <c r="CB14" s="1"/>
    </row>
    <row r="15" spans="1:80" ht="19.5" customHeight="1">
      <c r="A15" s="75"/>
      <c r="B15" s="109">
        <v>85204</v>
      </c>
      <c r="C15" s="109">
        <v>2320</v>
      </c>
      <c r="D15" s="75">
        <f>1!E110</f>
        <v>218400</v>
      </c>
      <c r="E15" s="75">
        <f>F15+K15</f>
        <v>218400</v>
      </c>
      <c r="F15" s="75">
        <f t="shared" si="0"/>
        <v>218400</v>
      </c>
      <c r="G15" s="75"/>
      <c r="H15" s="75"/>
      <c r="I15" s="75"/>
      <c r="J15" s="75"/>
      <c r="K15" s="75"/>
      <c r="BY15" s="1"/>
      <c r="BZ15" s="1"/>
      <c r="CA15" s="1"/>
      <c r="CB15" s="1"/>
    </row>
    <row r="16" spans="1:80" ht="19.5" customHeight="1">
      <c r="A16" s="75">
        <v>853</v>
      </c>
      <c r="B16" s="109">
        <v>85395</v>
      </c>
      <c r="C16" s="109">
        <v>2310</v>
      </c>
      <c r="D16" s="75">
        <f>1!E131</f>
        <v>99384</v>
      </c>
      <c r="E16" s="75">
        <f aca="true" t="shared" si="1" ref="E16:F19">D16</f>
        <v>99384</v>
      </c>
      <c r="F16" s="75">
        <f t="shared" si="1"/>
        <v>99384</v>
      </c>
      <c r="G16" s="75"/>
      <c r="H16" s="75">
        <v>1</v>
      </c>
      <c r="I16" s="75"/>
      <c r="J16" s="454">
        <v>227</v>
      </c>
      <c r="K16" s="75"/>
      <c r="BY16" s="1"/>
      <c r="BZ16" s="1"/>
      <c r="CA16" s="1"/>
      <c r="CB16" s="1"/>
    </row>
    <row r="17" spans="1:80" ht="19.5" customHeight="1">
      <c r="A17" s="75">
        <v>853</v>
      </c>
      <c r="B17" s="109">
        <v>85395</v>
      </c>
      <c r="C17" s="109">
        <v>2320</v>
      </c>
      <c r="D17" s="75">
        <f>1!E132</f>
        <v>135571</v>
      </c>
      <c r="E17" s="75">
        <f t="shared" si="1"/>
        <v>135571</v>
      </c>
      <c r="F17" s="75">
        <f t="shared" si="1"/>
        <v>135571</v>
      </c>
      <c r="G17" s="75"/>
      <c r="H17" s="75">
        <v>415</v>
      </c>
      <c r="I17" s="75"/>
      <c r="J17" s="453">
        <v>114598</v>
      </c>
      <c r="K17" s="75"/>
      <c r="BY17" s="1"/>
      <c r="BZ17" s="1"/>
      <c r="CA17" s="1"/>
      <c r="CB17" s="1"/>
    </row>
    <row r="18" spans="1:80" ht="19.5" customHeight="1" hidden="1">
      <c r="A18" s="75"/>
      <c r="B18" s="109">
        <v>85395</v>
      </c>
      <c r="C18" s="109">
        <v>2008</v>
      </c>
      <c r="D18" s="75"/>
      <c r="E18" s="75">
        <f t="shared" si="1"/>
        <v>0</v>
      </c>
      <c r="F18" s="75">
        <f t="shared" si="1"/>
        <v>0</v>
      </c>
      <c r="G18" s="75"/>
      <c r="H18" s="75">
        <f>(2!I545+2!I546+2!I547+2!I548)*85%</f>
        <v>21625.7</v>
      </c>
      <c r="I18" s="75"/>
      <c r="J18" s="75">
        <f>2!J541</f>
        <v>479482</v>
      </c>
      <c r="K18" s="75"/>
      <c r="BY18" s="1"/>
      <c r="BZ18" s="1"/>
      <c r="CA18" s="1"/>
      <c r="CB18" s="1"/>
    </row>
    <row r="19" spans="1:80" ht="19.5" customHeight="1" hidden="1">
      <c r="A19" s="75"/>
      <c r="B19" s="109">
        <v>85395</v>
      </c>
      <c r="C19" s="109">
        <v>2009</v>
      </c>
      <c r="D19" s="75"/>
      <c r="E19" s="75">
        <f t="shared" si="1"/>
        <v>0</v>
      </c>
      <c r="F19" s="75">
        <f t="shared" si="1"/>
        <v>0</v>
      </c>
      <c r="G19" s="75"/>
      <c r="H19" s="75" t="e">
        <f>(2!I546+2!I548)*#REF!</f>
        <v>#REF!</v>
      </c>
      <c r="I19" s="75"/>
      <c r="J19" s="75" t="e">
        <f>2!J542*8!#REF!+5</f>
        <v>#REF!</v>
      </c>
      <c r="K19" s="75"/>
      <c r="BY19" s="1"/>
      <c r="BZ19" s="1"/>
      <c r="CA19" s="1"/>
      <c r="CB19" s="1"/>
    </row>
    <row r="20" spans="1:80" ht="19.5" customHeight="1" hidden="1">
      <c r="A20" s="75"/>
      <c r="B20" s="109">
        <v>85395</v>
      </c>
      <c r="C20" s="109">
        <v>6208</v>
      </c>
      <c r="D20" s="75">
        <f>1!E128</f>
        <v>0</v>
      </c>
      <c r="E20" s="75">
        <f>K20</f>
        <v>0</v>
      </c>
      <c r="F20" s="75"/>
      <c r="G20" s="75"/>
      <c r="H20" s="75"/>
      <c r="I20" s="75"/>
      <c r="J20" s="75"/>
      <c r="K20" s="75"/>
      <c r="BY20" s="1"/>
      <c r="BZ20" s="1"/>
      <c r="CA20" s="1"/>
      <c r="CB20" s="1"/>
    </row>
    <row r="21" spans="1:80" ht="19.5" customHeight="1" hidden="1">
      <c r="A21" s="75"/>
      <c r="B21" s="109">
        <v>85395</v>
      </c>
      <c r="C21" s="109">
        <v>6209</v>
      </c>
      <c r="D21" s="75">
        <f>1!E129</f>
        <v>0</v>
      </c>
      <c r="E21" s="75">
        <f>K21</f>
        <v>0</v>
      </c>
      <c r="F21" s="75"/>
      <c r="G21" s="75"/>
      <c r="H21" s="75"/>
      <c r="I21" s="75"/>
      <c r="J21" s="75"/>
      <c r="K21" s="75"/>
      <c r="BY21" s="1"/>
      <c r="BZ21" s="1"/>
      <c r="CA21" s="1"/>
      <c r="CB21" s="1"/>
    </row>
    <row r="22" spans="1:80" ht="19.5" customHeight="1" hidden="1">
      <c r="A22" s="75">
        <v>854</v>
      </c>
      <c r="B22" s="109">
        <v>85415</v>
      </c>
      <c r="C22" s="109">
        <v>2330</v>
      </c>
      <c r="D22" s="75">
        <f>1!F143</f>
        <v>0</v>
      </c>
      <c r="E22" s="75">
        <f>F22+K22</f>
        <v>0</v>
      </c>
      <c r="F22" s="75">
        <f>D22</f>
        <v>0</v>
      </c>
      <c r="G22" s="75"/>
      <c r="H22" s="75"/>
      <c r="I22" s="75"/>
      <c r="J22" s="75"/>
      <c r="K22" s="75"/>
      <c r="BY22" s="1"/>
      <c r="BZ22" s="1"/>
      <c r="CA22" s="1"/>
      <c r="CB22" s="1"/>
    </row>
    <row r="23" spans="1:80" ht="19.5" customHeight="1" hidden="1">
      <c r="A23" s="75"/>
      <c r="B23" s="109"/>
      <c r="C23" s="109"/>
      <c r="D23" s="75"/>
      <c r="E23" s="75"/>
      <c r="F23" s="75"/>
      <c r="G23" s="75"/>
      <c r="H23" s="75"/>
      <c r="I23" s="75"/>
      <c r="J23" s="75"/>
      <c r="K23" s="75"/>
      <c r="BY23" s="1"/>
      <c r="BZ23" s="1"/>
      <c r="CA23" s="1"/>
      <c r="CB23" s="1"/>
    </row>
    <row r="24" spans="1:76" s="112" customFormat="1" ht="24.75" customHeight="1">
      <c r="A24" s="635" t="s">
        <v>256</v>
      </c>
      <c r="B24" s="636"/>
      <c r="C24" s="637"/>
      <c r="D24" s="111">
        <f aca="true" t="shared" si="2" ref="D24:K24">SUM(D9:D23)</f>
        <v>2225575</v>
      </c>
      <c r="E24" s="111">
        <f t="shared" si="2"/>
        <v>2225575</v>
      </c>
      <c r="F24" s="111">
        <f t="shared" si="2"/>
        <v>520575</v>
      </c>
      <c r="G24" s="111">
        <f t="shared" si="2"/>
        <v>0</v>
      </c>
      <c r="H24" s="111">
        <f>SUM(H8:H17)</f>
        <v>416</v>
      </c>
      <c r="I24" s="111">
        <f t="shared" si="2"/>
        <v>0</v>
      </c>
      <c r="J24" s="111">
        <f>SUM(J8:J17)</f>
        <v>114825</v>
      </c>
      <c r="K24" s="111">
        <f t="shared" si="2"/>
        <v>1705000</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sheetData>
  <sheetProtection/>
  <mergeCells count="11">
    <mergeCell ref="E4:E6"/>
    <mergeCell ref="F4:K4"/>
    <mergeCell ref="F5:F6"/>
    <mergeCell ref="G5:I5"/>
    <mergeCell ref="K5:K6"/>
    <mergeCell ref="A24:C24"/>
    <mergeCell ref="A1:K1"/>
    <mergeCell ref="A4:A6"/>
    <mergeCell ref="B4:B6"/>
    <mergeCell ref="C4:C6"/>
    <mergeCell ref="D4:D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639" t="s">
        <v>189</v>
      </c>
      <c r="B1" s="639"/>
      <c r="C1" s="639"/>
      <c r="D1" s="639"/>
      <c r="E1" s="639"/>
      <c r="F1" s="639"/>
      <c r="G1" s="639"/>
      <c r="H1" s="639"/>
      <c r="I1" s="639"/>
      <c r="J1" s="639"/>
    </row>
    <row r="2" spans="1:10" ht="16.5">
      <c r="A2" s="639" t="s">
        <v>657</v>
      </c>
      <c r="B2" s="639"/>
      <c r="C2" s="639"/>
      <c r="D2" s="639"/>
      <c r="E2" s="639"/>
      <c r="F2" s="639"/>
      <c r="G2" s="639"/>
      <c r="H2" s="639"/>
      <c r="I2" s="639"/>
      <c r="J2" s="639"/>
    </row>
    <row r="3" spans="1:10" ht="6" customHeight="1">
      <c r="A3" s="5"/>
      <c r="B3" s="5"/>
      <c r="C3" s="5"/>
      <c r="D3" s="5"/>
      <c r="E3" s="5"/>
      <c r="F3" s="5"/>
      <c r="G3" s="5"/>
      <c r="H3" s="5"/>
      <c r="I3" s="5"/>
      <c r="J3" s="5"/>
    </row>
    <row r="4" spans="1:11" ht="12.75">
      <c r="A4" s="1"/>
      <c r="B4" s="1"/>
      <c r="C4" s="1"/>
      <c r="D4" s="1"/>
      <c r="E4" s="1"/>
      <c r="F4" s="1"/>
      <c r="G4" s="1"/>
      <c r="H4" s="1"/>
      <c r="I4" s="1"/>
      <c r="K4" s="8" t="s">
        <v>172</v>
      </c>
    </row>
    <row r="5" spans="1:11" ht="15" customHeight="1">
      <c r="A5" s="594" t="s">
        <v>190</v>
      </c>
      <c r="B5" s="594" t="s">
        <v>131</v>
      </c>
      <c r="C5" s="585" t="s">
        <v>277</v>
      </c>
      <c r="D5" s="640" t="s">
        <v>201</v>
      </c>
      <c r="E5" s="641"/>
      <c r="F5" s="641"/>
      <c r="G5" s="642"/>
      <c r="H5" s="585" t="s">
        <v>139</v>
      </c>
      <c r="I5" s="585"/>
      <c r="J5" s="585" t="s">
        <v>278</v>
      </c>
      <c r="K5" s="585" t="s">
        <v>667</v>
      </c>
    </row>
    <row r="6" spans="1:11" ht="15" customHeight="1">
      <c r="A6" s="594"/>
      <c r="B6" s="594"/>
      <c r="C6" s="585"/>
      <c r="D6" s="585" t="s">
        <v>138</v>
      </c>
      <c r="E6" s="645" t="s">
        <v>137</v>
      </c>
      <c r="F6" s="646"/>
      <c r="G6" s="647"/>
      <c r="H6" s="585" t="s">
        <v>138</v>
      </c>
      <c r="I6" s="585" t="s">
        <v>193</v>
      </c>
      <c r="J6" s="585"/>
      <c r="K6" s="585"/>
    </row>
    <row r="7" spans="1:11" ht="18" customHeight="1">
      <c r="A7" s="594"/>
      <c r="B7" s="594"/>
      <c r="C7" s="585"/>
      <c r="D7" s="585"/>
      <c r="E7" s="643" t="s">
        <v>279</v>
      </c>
      <c r="F7" s="645" t="s">
        <v>137</v>
      </c>
      <c r="G7" s="647"/>
      <c r="H7" s="585"/>
      <c r="I7" s="585"/>
      <c r="J7" s="585"/>
      <c r="K7" s="585"/>
    </row>
    <row r="8" spans="1:11" ht="42" customHeight="1">
      <c r="A8" s="594"/>
      <c r="B8" s="594"/>
      <c r="C8" s="585"/>
      <c r="D8" s="585"/>
      <c r="E8" s="644"/>
      <c r="F8" s="61" t="s">
        <v>276</v>
      </c>
      <c r="G8" s="61" t="s">
        <v>275</v>
      </c>
      <c r="H8" s="585"/>
      <c r="I8" s="585"/>
      <c r="J8" s="585"/>
      <c r="K8" s="585"/>
    </row>
    <row r="9" spans="1:11" ht="7.5" customHeight="1" thickBot="1">
      <c r="A9" s="211">
        <v>1</v>
      </c>
      <c r="B9" s="211">
        <v>2</v>
      </c>
      <c r="C9" s="211">
        <v>3</v>
      </c>
      <c r="D9" s="211">
        <v>4</v>
      </c>
      <c r="E9" s="211">
        <v>5</v>
      </c>
      <c r="F9" s="211">
        <v>6</v>
      </c>
      <c r="G9" s="211">
        <v>7</v>
      </c>
      <c r="H9" s="211">
        <v>8</v>
      </c>
      <c r="I9" s="211">
        <v>9</v>
      </c>
      <c r="J9" s="211">
        <v>10</v>
      </c>
      <c r="K9" s="211">
        <v>11</v>
      </c>
    </row>
    <row r="10" spans="1:11" s="53" customFormat="1" ht="19.5" customHeight="1" thickBot="1">
      <c r="A10" s="209" t="s">
        <v>141</v>
      </c>
      <c r="B10" s="213" t="s">
        <v>145</v>
      </c>
      <c r="C10" s="210">
        <f>SUM(C12:C14)</f>
        <v>13000</v>
      </c>
      <c r="D10" s="210">
        <f aca="true" t="shared" si="0" ref="D10:J10">SUM(D12:D14)</f>
        <v>2464900</v>
      </c>
      <c r="E10" s="210">
        <f t="shared" si="0"/>
        <v>0</v>
      </c>
      <c r="F10" s="210">
        <f t="shared" si="0"/>
        <v>0</v>
      </c>
      <c r="G10" s="210">
        <f t="shared" si="0"/>
        <v>0</v>
      </c>
      <c r="H10" s="210">
        <f t="shared" si="0"/>
        <v>2464900</v>
      </c>
      <c r="I10" s="210">
        <f t="shared" si="0"/>
        <v>0</v>
      </c>
      <c r="J10" s="210">
        <f t="shared" si="0"/>
        <v>13000</v>
      </c>
      <c r="K10" s="214" t="s">
        <v>178</v>
      </c>
    </row>
    <row r="11" spans="1:11" ht="19.5" customHeight="1">
      <c r="A11" s="212"/>
      <c r="B11" s="299" t="s">
        <v>207</v>
      </c>
      <c r="C11" s="300"/>
      <c r="D11" s="300"/>
      <c r="E11" s="300"/>
      <c r="F11" s="301"/>
      <c r="G11" s="300"/>
      <c r="H11" s="300"/>
      <c r="I11" s="300"/>
      <c r="J11" s="300"/>
      <c r="K11" s="301"/>
    </row>
    <row r="12" spans="1:11" ht="38.25">
      <c r="A12" s="30"/>
      <c r="B12" s="302" t="s">
        <v>559</v>
      </c>
      <c r="C12" s="107">
        <v>0</v>
      </c>
      <c r="D12" s="107">
        <v>744300</v>
      </c>
      <c r="E12" s="107"/>
      <c r="F12" s="303" t="s">
        <v>178</v>
      </c>
      <c r="G12" s="107"/>
      <c r="H12" s="107">
        <v>744300</v>
      </c>
      <c r="I12" s="107">
        <v>0</v>
      </c>
      <c r="J12" s="107">
        <v>0</v>
      </c>
      <c r="K12" s="303" t="s">
        <v>178</v>
      </c>
    </row>
    <row r="13" spans="1:11" s="268" customFormat="1" ht="25.5">
      <c r="A13" s="265"/>
      <c r="B13" s="304" t="s">
        <v>114</v>
      </c>
      <c r="C13" s="266"/>
      <c r="D13" s="266">
        <v>1020000</v>
      </c>
      <c r="E13" s="266"/>
      <c r="F13" s="267"/>
      <c r="G13" s="266"/>
      <c r="H13" s="266">
        <v>1020000</v>
      </c>
      <c r="I13" s="266">
        <v>0</v>
      </c>
      <c r="J13" s="266"/>
      <c r="K13" s="267" t="s">
        <v>178</v>
      </c>
    </row>
    <row r="14" spans="1:11" ht="39" thickBot="1">
      <c r="A14" s="203"/>
      <c r="B14" s="145" t="s">
        <v>113</v>
      </c>
      <c r="C14" s="266">
        <v>13000</v>
      </c>
      <c r="D14" s="266">
        <v>700600</v>
      </c>
      <c r="E14" s="266"/>
      <c r="F14" s="267"/>
      <c r="G14" s="266"/>
      <c r="H14" s="266">
        <v>700600</v>
      </c>
      <c r="I14" s="266">
        <v>0</v>
      </c>
      <c r="J14" s="266">
        <v>13000</v>
      </c>
      <c r="K14" s="134" t="s">
        <v>178</v>
      </c>
    </row>
    <row r="15" spans="1:11" s="53" customFormat="1" ht="26.25" thickBot="1">
      <c r="A15" s="209" t="s">
        <v>146</v>
      </c>
      <c r="B15" s="448" t="s">
        <v>274</v>
      </c>
      <c r="C15" s="450">
        <f>SUM(C17:C20)</f>
        <v>23000</v>
      </c>
      <c r="D15" s="210">
        <f>SUM(D17:D20)</f>
        <v>431000</v>
      </c>
      <c r="E15" s="210">
        <f>SUM(E17:E20)</f>
        <v>0</v>
      </c>
      <c r="F15" s="451" t="s">
        <v>178</v>
      </c>
      <c r="G15" s="451" t="s">
        <v>178</v>
      </c>
      <c r="H15" s="210">
        <f>SUM(H17:H20)</f>
        <v>433000</v>
      </c>
      <c r="I15" s="451" t="s">
        <v>178</v>
      </c>
      <c r="J15" s="452">
        <f>SUM(J17:J20)</f>
        <v>21000</v>
      </c>
      <c r="K15" s="449"/>
    </row>
    <row r="16" spans="1:11" ht="19.5" customHeight="1">
      <c r="A16" s="205"/>
      <c r="B16" s="206" t="s">
        <v>207</v>
      </c>
      <c r="C16" s="207"/>
      <c r="D16" s="207"/>
      <c r="E16" s="208"/>
      <c r="F16" s="208"/>
      <c r="G16" s="208"/>
      <c r="H16" s="207"/>
      <c r="I16" s="208"/>
      <c r="J16" s="207"/>
      <c r="K16" s="207"/>
    </row>
    <row r="17" spans="1:11" ht="25.5">
      <c r="A17" s="19"/>
      <c r="B17" s="144" t="s">
        <v>561</v>
      </c>
      <c r="C17" s="131"/>
      <c r="D17" s="131">
        <v>50000</v>
      </c>
      <c r="E17" s="132"/>
      <c r="F17" s="132" t="s">
        <v>178</v>
      </c>
      <c r="G17" s="132" t="s">
        <v>178</v>
      </c>
      <c r="H17" s="131">
        <v>50000</v>
      </c>
      <c r="I17" s="132" t="s">
        <v>178</v>
      </c>
      <c r="J17" s="131"/>
      <c r="K17" s="131"/>
    </row>
    <row r="18" spans="1:11" ht="25.5">
      <c r="A18" s="19"/>
      <c r="B18" s="144" t="s">
        <v>18</v>
      </c>
      <c r="C18" s="131">
        <v>5000</v>
      </c>
      <c r="D18" s="131">
        <v>298000</v>
      </c>
      <c r="E18" s="132"/>
      <c r="F18" s="132" t="s">
        <v>178</v>
      </c>
      <c r="G18" s="132" t="s">
        <v>178</v>
      </c>
      <c r="H18" s="131">
        <v>300000</v>
      </c>
      <c r="I18" s="132" t="s">
        <v>178</v>
      </c>
      <c r="J18" s="204">
        <v>3000</v>
      </c>
      <c r="K18" s="131"/>
    </row>
    <row r="19" spans="1:11" ht="38.25">
      <c r="A19" s="20"/>
      <c r="B19" s="145" t="s">
        <v>115</v>
      </c>
      <c r="C19" s="133">
        <v>18000</v>
      </c>
      <c r="D19" s="133">
        <v>53000</v>
      </c>
      <c r="E19" s="134"/>
      <c r="F19" s="134" t="s">
        <v>178</v>
      </c>
      <c r="G19" s="134" t="s">
        <v>178</v>
      </c>
      <c r="H19" s="133">
        <v>53000</v>
      </c>
      <c r="I19" s="134" t="s">
        <v>178</v>
      </c>
      <c r="J19" s="204">
        <f>C19+D19-H19</f>
        <v>18000</v>
      </c>
      <c r="K19" s="133"/>
    </row>
    <row r="20" spans="1:11" ht="25.5">
      <c r="A20" s="20"/>
      <c r="B20" s="145" t="s">
        <v>623</v>
      </c>
      <c r="C20" s="133"/>
      <c r="D20" s="133">
        <v>30000</v>
      </c>
      <c r="E20" s="134"/>
      <c r="F20" s="134" t="s">
        <v>178</v>
      </c>
      <c r="G20" s="134" t="s">
        <v>178</v>
      </c>
      <c r="H20" s="133">
        <v>30000</v>
      </c>
      <c r="I20" s="134" t="s">
        <v>178</v>
      </c>
      <c r="J20" s="204">
        <f>C20+D20-H20</f>
        <v>0</v>
      </c>
      <c r="K20" s="133"/>
    </row>
    <row r="21" spans="1:11" s="53" customFormat="1" ht="19.5" customHeight="1">
      <c r="A21" s="638" t="s">
        <v>256</v>
      </c>
      <c r="B21" s="638"/>
      <c r="C21" s="201">
        <f>C10+C15</f>
        <v>36000</v>
      </c>
      <c r="D21" s="201">
        <f>D10+D15</f>
        <v>2895900</v>
      </c>
      <c r="E21" s="201">
        <f>E10+E15</f>
        <v>0</v>
      </c>
      <c r="F21" s="201"/>
      <c r="G21" s="201"/>
      <c r="H21" s="201">
        <f>H10+H15</f>
        <v>2897900</v>
      </c>
      <c r="I21" s="201"/>
      <c r="J21" s="201">
        <f>J10+J15</f>
        <v>34000</v>
      </c>
      <c r="K21" s="201"/>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CB28"/>
  <sheetViews>
    <sheetView zoomScalePageLayoutView="0" workbookViewId="0" topLeftCell="A1">
      <selection activeCell="F22" sqref="F22"/>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82" t="s">
        <v>670</v>
      </c>
      <c r="B1" s="582"/>
      <c r="C1" s="582"/>
      <c r="D1" s="582"/>
      <c r="E1" s="582"/>
      <c r="F1" s="582"/>
      <c r="G1" s="582"/>
      <c r="H1" s="582"/>
      <c r="I1" s="582"/>
      <c r="J1" s="582"/>
      <c r="K1" s="582"/>
    </row>
    <row r="3" ht="12.75">
      <c r="K3" s="50" t="s">
        <v>172</v>
      </c>
    </row>
    <row r="4" spans="1:80" ht="20.25" customHeight="1">
      <c r="A4" s="594" t="s">
        <v>133</v>
      </c>
      <c r="B4" s="630" t="s">
        <v>134</v>
      </c>
      <c r="C4" s="630" t="s">
        <v>135</v>
      </c>
      <c r="D4" s="585" t="s">
        <v>245</v>
      </c>
      <c r="E4" s="585" t="s">
        <v>553</v>
      </c>
      <c r="F4" s="585" t="s">
        <v>207</v>
      </c>
      <c r="G4" s="585"/>
      <c r="H4" s="585"/>
      <c r="I4" s="585"/>
      <c r="J4" s="585"/>
      <c r="K4" s="585"/>
      <c r="BY4" s="1"/>
      <c r="BZ4" s="1"/>
      <c r="CA4" s="1"/>
      <c r="CB4" s="1"/>
    </row>
    <row r="5" spans="1:80" ht="18" customHeight="1">
      <c r="A5" s="594"/>
      <c r="B5" s="631"/>
      <c r="C5" s="631"/>
      <c r="D5" s="594"/>
      <c r="E5" s="585"/>
      <c r="F5" s="585" t="s">
        <v>243</v>
      </c>
      <c r="G5" s="585" t="s">
        <v>137</v>
      </c>
      <c r="H5" s="585"/>
      <c r="I5" s="585"/>
      <c r="J5" s="14"/>
      <c r="K5" s="585" t="s">
        <v>244</v>
      </c>
      <c r="BY5" s="1"/>
      <c r="BZ5" s="1"/>
      <c r="CA5" s="1"/>
      <c r="CB5" s="1"/>
    </row>
    <row r="6" spans="1:80" ht="69" customHeight="1">
      <c r="A6" s="594"/>
      <c r="B6" s="632"/>
      <c r="C6" s="632"/>
      <c r="D6" s="594"/>
      <c r="E6" s="585"/>
      <c r="F6" s="585"/>
      <c r="G6" s="14" t="s">
        <v>241</v>
      </c>
      <c r="H6" s="14" t="s">
        <v>242</v>
      </c>
      <c r="I6" s="106" t="s">
        <v>552</v>
      </c>
      <c r="J6" s="106" t="s">
        <v>571</v>
      </c>
      <c r="K6" s="58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5">
        <v>600</v>
      </c>
      <c r="B9" s="109">
        <v>60014</v>
      </c>
      <c r="C9" s="109">
        <v>6208</v>
      </c>
      <c r="D9" s="75">
        <f>1!E21</f>
        <v>0</v>
      </c>
      <c r="E9" s="75">
        <f aca="true" t="shared" si="0" ref="E9:E15">F9+K9</f>
        <v>0</v>
      </c>
      <c r="F9" s="75"/>
      <c r="G9" s="75"/>
      <c r="H9" s="75"/>
      <c r="I9" s="75"/>
      <c r="J9" s="75"/>
      <c r="K9" s="75">
        <f>D9</f>
        <v>0</v>
      </c>
      <c r="BY9" s="1"/>
      <c r="BZ9" s="1"/>
      <c r="CA9" s="1"/>
      <c r="CB9" s="1"/>
    </row>
    <row r="10" spans="1:80" ht="19.5" customHeight="1">
      <c r="A10" s="75"/>
      <c r="B10" s="109">
        <v>60014</v>
      </c>
      <c r="C10" s="271">
        <v>6209</v>
      </c>
      <c r="D10" s="75">
        <f>1!E22</f>
        <v>0</v>
      </c>
      <c r="E10" s="75">
        <f t="shared" si="0"/>
        <v>0</v>
      </c>
      <c r="F10" s="75"/>
      <c r="G10" s="75"/>
      <c r="H10" s="75"/>
      <c r="I10" s="75"/>
      <c r="J10" s="75"/>
      <c r="K10" s="75">
        <f>D10</f>
        <v>0</v>
      </c>
      <c r="BY10" s="1"/>
      <c r="BZ10" s="1"/>
      <c r="CA10" s="1"/>
      <c r="CB10" s="1"/>
    </row>
    <row r="11" spans="1:80" ht="19.5" customHeight="1">
      <c r="A11" s="75">
        <v>801</v>
      </c>
      <c r="B11" s="109">
        <v>80195</v>
      </c>
      <c r="C11" s="271">
        <v>2008</v>
      </c>
      <c r="D11" s="75">
        <f>1!E84</f>
        <v>1067453</v>
      </c>
      <c r="E11" s="75">
        <f t="shared" si="0"/>
        <v>1067453</v>
      </c>
      <c r="F11" s="75">
        <f>D11</f>
        <v>1067453</v>
      </c>
      <c r="G11" s="75"/>
      <c r="H11" s="75">
        <f>2!I328+2!I330</f>
        <v>82199</v>
      </c>
      <c r="I11" s="75"/>
      <c r="J11" s="75"/>
      <c r="K11" s="75"/>
      <c r="BY11" s="1"/>
      <c r="BZ11" s="1"/>
      <c r="CA11" s="1"/>
      <c r="CB11" s="1"/>
    </row>
    <row r="12" spans="1:80" ht="19.5" customHeight="1">
      <c r="A12" s="75"/>
      <c r="B12" s="109">
        <v>80195</v>
      </c>
      <c r="C12" s="271">
        <v>2009</v>
      </c>
      <c r="D12" s="75">
        <f>1!E85</f>
        <v>127414</v>
      </c>
      <c r="E12" s="75">
        <f t="shared" si="0"/>
        <v>127414</v>
      </c>
      <c r="F12" s="75">
        <f>D12</f>
        <v>127414</v>
      </c>
      <c r="G12" s="75"/>
      <c r="H12" s="75">
        <f>2!I329+2!I331</f>
        <v>14507</v>
      </c>
      <c r="I12" s="75"/>
      <c r="J12" s="75"/>
      <c r="K12" s="75"/>
      <c r="BY12" s="1"/>
      <c r="BZ12" s="1"/>
      <c r="CA12" s="1"/>
      <c r="CB12" s="1"/>
    </row>
    <row r="13" spans="1:80" ht="19.5" customHeight="1">
      <c r="A13" s="75"/>
      <c r="B13" s="109">
        <v>85395</v>
      </c>
      <c r="C13" s="109">
        <v>6208</v>
      </c>
      <c r="D13" s="75">
        <f>'[3]Arkusz1'!$G$126</f>
        <v>6120</v>
      </c>
      <c r="E13" s="75">
        <f t="shared" si="0"/>
        <v>6120</v>
      </c>
      <c r="F13" s="75"/>
      <c r="G13" s="75"/>
      <c r="H13" s="75"/>
      <c r="I13" s="75"/>
      <c r="J13" s="454"/>
      <c r="K13" s="75">
        <v>6120</v>
      </c>
      <c r="BY13" s="1"/>
      <c r="BZ13" s="1"/>
      <c r="CA13" s="1"/>
      <c r="CB13" s="1"/>
    </row>
    <row r="14" spans="1:80" ht="19.5" customHeight="1">
      <c r="A14" s="75"/>
      <c r="B14" s="109">
        <v>85395</v>
      </c>
      <c r="C14" s="109">
        <v>2008</v>
      </c>
      <c r="D14" s="75">
        <f>1!E126</f>
        <v>1545330</v>
      </c>
      <c r="E14" s="75">
        <f t="shared" si="0"/>
        <v>1545330</v>
      </c>
      <c r="F14" s="75">
        <f>D14</f>
        <v>1545330</v>
      </c>
      <c r="G14" s="75"/>
      <c r="H14" s="75">
        <f>2!I545+2!I547</f>
        <v>21626</v>
      </c>
      <c r="I14" s="75"/>
      <c r="J14" s="454">
        <f>2!J541+2!J543</f>
        <v>1321278</v>
      </c>
      <c r="K14" s="75"/>
      <c r="BY14" s="1"/>
      <c r="BZ14" s="1"/>
      <c r="CA14" s="1"/>
      <c r="CB14" s="1"/>
    </row>
    <row r="15" spans="1:80" ht="19.5" customHeight="1">
      <c r="A15" s="75">
        <v>853</v>
      </c>
      <c r="B15" s="109">
        <v>85395</v>
      </c>
      <c r="C15" s="109">
        <v>2009</v>
      </c>
      <c r="D15" s="75">
        <f>1!E127</f>
        <v>30292</v>
      </c>
      <c r="E15" s="75">
        <f t="shared" si="0"/>
        <v>30292</v>
      </c>
      <c r="F15" s="75">
        <f>D15</f>
        <v>30292</v>
      </c>
      <c r="G15" s="75"/>
      <c r="H15" s="75">
        <f>2!I546+2!I548</f>
        <v>3816</v>
      </c>
      <c r="I15" s="75"/>
      <c r="J15" s="453">
        <f>2!J542+2!J544</f>
        <v>233167</v>
      </c>
      <c r="K15" s="75"/>
      <c r="BY15" s="1"/>
      <c r="BZ15" s="1"/>
      <c r="CA15" s="1"/>
      <c r="CB15" s="1"/>
    </row>
    <row r="16" spans="1:80" ht="19.5" customHeight="1" hidden="1">
      <c r="A16" s="75"/>
      <c r="B16" s="109">
        <v>85395</v>
      </c>
      <c r="C16" s="109">
        <v>2008</v>
      </c>
      <c r="D16" s="75"/>
      <c r="E16" s="75">
        <f>D16</f>
        <v>0</v>
      </c>
      <c r="F16" s="75">
        <f>E16</f>
        <v>0</v>
      </c>
      <c r="G16" s="75"/>
      <c r="H16" s="75">
        <f>(2!I545+2!I546+2!I547+2!I548)*85%</f>
        <v>21625.7</v>
      </c>
      <c r="I16" s="75"/>
      <c r="J16" s="75">
        <f>2!J541</f>
        <v>479482</v>
      </c>
      <c r="K16" s="75"/>
      <c r="BY16" s="1"/>
      <c r="BZ16" s="1"/>
      <c r="CA16" s="1"/>
      <c r="CB16" s="1"/>
    </row>
    <row r="17" spans="1:80" ht="19.5" customHeight="1" hidden="1">
      <c r="A17" s="75"/>
      <c r="B17" s="109">
        <v>85395</v>
      </c>
      <c r="C17" s="109">
        <v>2009</v>
      </c>
      <c r="D17" s="75"/>
      <c r="E17" s="75">
        <f>D17</f>
        <v>0</v>
      </c>
      <c r="F17" s="75">
        <f>E17</f>
        <v>0</v>
      </c>
      <c r="G17" s="75"/>
      <c r="H17" s="75" t="e">
        <f>(2!I546+2!I548)*#REF!</f>
        <v>#REF!</v>
      </c>
      <c r="I17" s="75"/>
      <c r="J17" s="75" t="e">
        <f>2!J542*8!#REF!+5</f>
        <v>#REF!</v>
      </c>
      <c r="K17" s="75"/>
      <c r="BY17" s="1"/>
      <c r="BZ17" s="1"/>
      <c r="CA17" s="1"/>
      <c r="CB17" s="1"/>
    </row>
    <row r="18" spans="1:80" ht="19.5" customHeight="1" hidden="1">
      <c r="A18" s="75"/>
      <c r="B18" s="109">
        <v>85395</v>
      </c>
      <c r="C18" s="109">
        <v>6208</v>
      </c>
      <c r="D18" s="75">
        <f>1!E128</f>
        <v>0</v>
      </c>
      <c r="E18" s="75">
        <f>K18</f>
        <v>0</v>
      </c>
      <c r="F18" s="75"/>
      <c r="G18" s="75"/>
      <c r="H18" s="75"/>
      <c r="I18" s="75"/>
      <c r="J18" s="75"/>
      <c r="K18" s="75"/>
      <c r="BY18" s="1"/>
      <c r="BZ18" s="1"/>
      <c r="CA18" s="1"/>
      <c r="CB18" s="1"/>
    </row>
    <row r="19" spans="1:80" ht="19.5" customHeight="1" hidden="1">
      <c r="A19" s="75"/>
      <c r="B19" s="109">
        <v>85395</v>
      </c>
      <c r="C19" s="109">
        <v>6209</v>
      </c>
      <c r="D19" s="75">
        <f>1!E129</f>
        <v>0</v>
      </c>
      <c r="E19" s="75">
        <f>K19</f>
        <v>0</v>
      </c>
      <c r="F19" s="75"/>
      <c r="G19" s="75"/>
      <c r="H19" s="75"/>
      <c r="I19" s="75"/>
      <c r="J19" s="75"/>
      <c r="K19" s="75"/>
      <c r="BY19" s="1"/>
      <c r="BZ19" s="1"/>
      <c r="CA19" s="1"/>
      <c r="CB19" s="1"/>
    </row>
    <row r="20" spans="1:80" ht="19.5" customHeight="1" hidden="1">
      <c r="A20" s="75">
        <v>854</v>
      </c>
      <c r="B20" s="109">
        <v>85415</v>
      </c>
      <c r="C20" s="109">
        <v>2330</v>
      </c>
      <c r="D20" s="75">
        <f>1!F143</f>
        <v>0</v>
      </c>
      <c r="E20" s="75">
        <f>F20+K20</f>
        <v>0</v>
      </c>
      <c r="F20" s="75">
        <f>D20</f>
        <v>0</v>
      </c>
      <c r="G20" s="75"/>
      <c r="H20" s="75"/>
      <c r="I20" s="75"/>
      <c r="J20" s="75"/>
      <c r="K20" s="75"/>
      <c r="BY20" s="1"/>
      <c r="BZ20" s="1"/>
      <c r="CA20" s="1"/>
      <c r="CB20" s="1"/>
    </row>
    <row r="21" spans="1:80" ht="19.5" customHeight="1" hidden="1">
      <c r="A21" s="75"/>
      <c r="B21" s="109"/>
      <c r="C21" s="109"/>
      <c r="D21" s="75"/>
      <c r="E21" s="75"/>
      <c r="F21" s="75"/>
      <c r="G21" s="75"/>
      <c r="H21" s="75"/>
      <c r="I21" s="75"/>
      <c r="J21" s="75"/>
      <c r="K21" s="75"/>
      <c r="BY21" s="1"/>
      <c r="BZ21" s="1"/>
      <c r="CA21" s="1"/>
      <c r="CB21" s="1"/>
    </row>
    <row r="22" spans="1:76" s="112" customFormat="1" ht="24.75" customHeight="1">
      <c r="A22" s="635" t="s">
        <v>256</v>
      </c>
      <c r="B22" s="636"/>
      <c r="C22" s="637"/>
      <c r="D22" s="111">
        <f aca="true" t="shared" si="1" ref="D22:K22">SUM(D9:D21)</f>
        <v>2776609</v>
      </c>
      <c r="E22" s="111">
        <f t="shared" si="1"/>
        <v>2776609</v>
      </c>
      <c r="F22" s="111">
        <f t="shared" si="1"/>
        <v>2770489</v>
      </c>
      <c r="G22" s="111">
        <f t="shared" si="1"/>
        <v>0</v>
      </c>
      <c r="H22" s="111">
        <f>SUM(H8:H15)</f>
        <v>122148</v>
      </c>
      <c r="I22" s="111">
        <f t="shared" si="1"/>
        <v>0</v>
      </c>
      <c r="J22" s="111">
        <f>SUM(J8:J15)</f>
        <v>1554445</v>
      </c>
      <c r="K22" s="111">
        <f t="shared" si="1"/>
        <v>6120</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7" ht="12.75">
      <c r="I27" s="74"/>
    </row>
    <row r="28" ht="12.75">
      <c r="I28" s="74">
        <f>F11+F14</f>
        <v>2612783</v>
      </c>
    </row>
  </sheetData>
  <sheetProtection/>
  <mergeCells count="11">
    <mergeCell ref="A1:K1"/>
    <mergeCell ref="F4:K4"/>
    <mergeCell ref="F5:F6"/>
    <mergeCell ref="G5:I5"/>
    <mergeCell ref="K5:K6"/>
    <mergeCell ref="A22:C22"/>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8" customWidth="1"/>
    <col min="7" max="16384" width="9.125" style="1" customWidth="1"/>
  </cols>
  <sheetData>
    <row r="1" spans="1:6" ht="19.5" customHeight="1">
      <c r="A1" s="648" t="s">
        <v>658</v>
      </c>
      <c r="B1" s="648"/>
      <c r="C1" s="648"/>
      <c r="D1" s="648"/>
      <c r="E1" s="648"/>
      <c r="F1" s="648"/>
    </row>
    <row r="2" spans="5:6" ht="19.5" customHeight="1">
      <c r="E2" s="5"/>
      <c r="F2" s="103"/>
    </row>
    <row r="3" ht="19.5" customHeight="1">
      <c r="F3" s="104" t="s">
        <v>172</v>
      </c>
    </row>
    <row r="4" spans="1:6" ht="19.5" customHeight="1">
      <c r="A4" s="13" t="s">
        <v>190</v>
      </c>
      <c r="B4" s="13" t="s">
        <v>133</v>
      </c>
      <c r="C4" s="13" t="s">
        <v>134</v>
      </c>
      <c r="D4" s="13" t="s">
        <v>262</v>
      </c>
      <c r="E4" s="13" t="s">
        <v>175</v>
      </c>
      <c r="F4" s="105" t="s">
        <v>174</v>
      </c>
    </row>
    <row r="5" spans="1:6" ht="7.5" customHeight="1">
      <c r="A5" s="16">
        <v>1</v>
      </c>
      <c r="B5" s="16">
        <v>2</v>
      </c>
      <c r="C5" s="16">
        <v>3</v>
      </c>
      <c r="D5" s="16">
        <v>4</v>
      </c>
      <c r="E5" s="16">
        <v>5</v>
      </c>
      <c r="F5" s="87">
        <v>6</v>
      </c>
    </row>
    <row r="6" spans="1:6" ht="89.25">
      <c r="A6" s="24">
        <v>1</v>
      </c>
      <c r="B6" s="24">
        <v>801</v>
      </c>
      <c r="C6" s="24">
        <v>80120</v>
      </c>
      <c r="D6" s="24">
        <v>2540</v>
      </c>
      <c r="E6" s="65" t="s">
        <v>19</v>
      </c>
      <c r="F6" s="93">
        <f>2!J214</f>
        <v>64100</v>
      </c>
    </row>
    <row r="7" spans="1:256" s="112" customFormat="1" ht="30" customHeight="1">
      <c r="A7" s="649" t="s">
        <v>256</v>
      </c>
      <c r="B7" s="650"/>
      <c r="C7" s="650"/>
      <c r="D7" s="650"/>
      <c r="E7" s="651"/>
      <c r="F7" s="110">
        <f>SUM(F6)</f>
        <v>64100</v>
      </c>
      <c r="IV7" s="113">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F22"/>
  <sheetViews>
    <sheetView zoomScalePageLayoutView="0" workbookViewId="0" topLeftCell="A1">
      <selection activeCell="F2" sqref="F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01" customWidth="1"/>
  </cols>
  <sheetData>
    <row r="1" spans="1:6" ht="48.75" customHeight="1">
      <c r="A1" s="582" t="s">
        <v>659</v>
      </c>
      <c r="B1" s="582"/>
      <c r="C1" s="582"/>
      <c r="D1" s="582"/>
      <c r="E1" s="582"/>
      <c r="F1" s="582"/>
    </row>
    <row r="2" spans="5:6" ht="19.5" customHeight="1">
      <c r="E2" s="5"/>
      <c r="F2" s="98"/>
    </row>
    <row r="3" spans="5:6" ht="19.5" customHeight="1">
      <c r="E3" s="1"/>
      <c r="F3" s="99" t="s">
        <v>172</v>
      </c>
    </row>
    <row r="4" spans="1:6" ht="19.5" customHeight="1">
      <c r="A4" s="13" t="s">
        <v>190</v>
      </c>
      <c r="B4" s="13" t="s">
        <v>133</v>
      </c>
      <c r="C4" s="13" t="s">
        <v>134</v>
      </c>
      <c r="D4" s="13" t="s">
        <v>260</v>
      </c>
      <c r="E4" s="13" t="s">
        <v>173</v>
      </c>
      <c r="F4" s="100" t="s">
        <v>174</v>
      </c>
    </row>
    <row r="5" spans="1:6" s="58" customFormat="1" ht="7.5" customHeight="1">
      <c r="A5" s="16">
        <v>1</v>
      </c>
      <c r="B5" s="16">
        <v>2</v>
      </c>
      <c r="C5" s="16">
        <v>3</v>
      </c>
      <c r="D5" s="16">
        <v>4</v>
      </c>
      <c r="E5" s="16">
        <v>5</v>
      </c>
      <c r="F5" s="87">
        <v>6</v>
      </c>
    </row>
    <row r="6" spans="1:6" ht="153">
      <c r="A6" s="76">
        <v>1</v>
      </c>
      <c r="B6" s="76" t="s">
        <v>321</v>
      </c>
      <c r="C6" s="76" t="s">
        <v>326</v>
      </c>
      <c r="D6" s="76">
        <v>2830</v>
      </c>
      <c r="E6" s="65" t="s">
        <v>49</v>
      </c>
      <c r="F6" s="102">
        <f>2!E15</f>
        <v>46000</v>
      </c>
    </row>
    <row r="7" spans="1:6" ht="102">
      <c r="A7" s="76">
        <v>2</v>
      </c>
      <c r="B7" s="76">
        <v>754</v>
      </c>
      <c r="C7" s="76">
        <v>75495</v>
      </c>
      <c r="D7" s="76">
        <v>2320</v>
      </c>
      <c r="E7" s="65" t="s">
        <v>130</v>
      </c>
      <c r="F7" s="102">
        <f>2!E173</f>
        <v>60000</v>
      </c>
    </row>
    <row r="8" spans="1:6" ht="140.25">
      <c r="A8" s="76">
        <v>5</v>
      </c>
      <c r="B8" s="76">
        <v>801</v>
      </c>
      <c r="C8" s="76">
        <v>80130</v>
      </c>
      <c r="D8" s="76">
        <v>2330</v>
      </c>
      <c r="E8" s="65" t="s">
        <v>23</v>
      </c>
      <c r="F8" s="102">
        <f>2!J226</f>
        <v>30000</v>
      </c>
    </row>
    <row r="9" spans="1:6" ht="63.75">
      <c r="A9" s="76">
        <v>6</v>
      </c>
      <c r="B9" s="76">
        <v>801</v>
      </c>
      <c r="C9" s="76">
        <v>80146</v>
      </c>
      <c r="D9" s="76">
        <v>2310</v>
      </c>
      <c r="E9" s="65" t="s">
        <v>551</v>
      </c>
      <c r="F9" s="102">
        <f>2!J288</f>
        <v>10000</v>
      </c>
    </row>
    <row r="10" spans="1:6" ht="140.25">
      <c r="A10" s="76">
        <v>7</v>
      </c>
      <c r="B10" s="76">
        <v>852</v>
      </c>
      <c r="C10" s="76">
        <v>85201</v>
      </c>
      <c r="D10" s="76">
        <v>2320</v>
      </c>
      <c r="E10" s="65" t="s">
        <v>20</v>
      </c>
      <c r="F10" s="102">
        <f>2!J359</f>
        <v>318000</v>
      </c>
    </row>
    <row r="11" spans="1:6" ht="114.75">
      <c r="A11" s="76">
        <v>8</v>
      </c>
      <c r="B11" s="76">
        <v>852</v>
      </c>
      <c r="C11" s="76">
        <v>85204</v>
      </c>
      <c r="D11" s="76">
        <v>2320</v>
      </c>
      <c r="E11" s="65" t="s">
        <v>24</v>
      </c>
      <c r="F11" s="102">
        <f>2!J439</f>
        <v>127300</v>
      </c>
    </row>
    <row r="12" spans="1:6" ht="38.25">
      <c r="A12" s="76">
        <v>9</v>
      </c>
      <c r="B12" s="76">
        <v>853</v>
      </c>
      <c r="C12" s="76">
        <v>85311</v>
      </c>
      <c r="D12" s="76">
        <v>2320</v>
      </c>
      <c r="E12" s="65" t="s">
        <v>549</v>
      </c>
      <c r="F12" s="102">
        <f>2!J491</f>
        <v>16500</v>
      </c>
    </row>
    <row r="13" spans="1:6" ht="120">
      <c r="A13" s="76"/>
      <c r="B13" s="76"/>
      <c r="C13" s="76">
        <v>85395</v>
      </c>
      <c r="D13" s="313" t="s">
        <v>622</v>
      </c>
      <c r="E13" s="294" t="s">
        <v>360</v>
      </c>
      <c r="F13" s="102">
        <f>2!J543+2!J541</f>
        <v>1321278</v>
      </c>
    </row>
    <row r="14" spans="1:6" ht="137.25" customHeight="1">
      <c r="A14" s="76"/>
      <c r="B14" s="76"/>
      <c r="C14" s="76"/>
      <c r="D14" s="314" t="s">
        <v>621</v>
      </c>
      <c r="E14" s="294" t="s">
        <v>360</v>
      </c>
      <c r="F14" s="102">
        <f>2!J544+2!J542</f>
        <v>233167</v>
      </c>
    </row>
    <row r="15" spans="1:6" ht="204">
      <c r="A15" s="76">
        <v>10</v>
      </c>
      <c r="B15" s="76">
        <v>854</v>
      </c>
      <c r="C15" s="76">
        <v>85406</v>
      </c>
      <c r="D15" s="76">
        <v>2310</v>
      </c>
      <c r="E15" s="65" t="s">
        <v>21</v>
      </c>
      <c r="F15" s="102">
        <f>2!J576</f>
        <v>294000</v>
      </c>
    </row>
    <row r="16" spans="1:6" ht="33.75" hidden="1">
      <c r="A16" s="76">
        <v>11</v>
      </c>
      <c r="B16" s="76">
        <v>921</v>
      </c>
      <c r="C16" s="76">
        <v>92108</v>
      </c>
      <c r="D16" s="76">
        <v>2820</v>
      </c>
      <c r="E16" s="66" t="s">
        <v>1</v>
      </c>
      <c r="F16" s="102">
        <f>2!J633</f>
        <v>0</v>
      </c>
    </row>
    <row r="17" spans="1:6" ht="89.25">
      <c r="A17" s="76">
        <v>12</v>
      </c>
      <c r="B17" s="76"/>
      <c r="C17" s="76">
        <v>92116</v>
      </c>
      <c r="D17" s="76">
        <v>2310</v>
      </c>
      <c r="E17" s="65" t="s">
        <v>22</v>
      </c>
      <c r="F17" s="102">
        <f>2!J635</f>
        <v>55850</v>
      </c>
    </row>
    <row r="18" spans="1:6" ht="33.75">
      <c r="A18" s="76">
        <v>13</v>
      </c>
      <c r="B18" s="76"/>
      <c r="C18" s="76">
        <v>92195</v>
      </c>
      <c r="D18" s="76">
        <v>2820</v>
      </c>
      <c r="E18" s="66" t="s">
        <v>1</v>
      </c>
      <c r="F18" s="102">
        <f>2!J639</f>
        <v>14000</v>
      </c>
    </row>
    <row r="19" spans="1:6" ht="33.75">
      <c r="A19" s="76">
        <v>14</v>
      </c>
      <c r="B19" s="76">
        <v>926</v>
      </c>
      <c r="C19" s="76">
        <v>92605</v>
      </c>
      <c r="D19" s="76">
        <v>2820</v>
      </c>
      <c r="E19" s="66" t="s">
        <v>1</v>
      </c>
      <c r="F19" s="102">
        <f>2!J647</f>
        <v>50000</v>
      </c>
    </row>
    <row r="20" spans="1:6" s="53" customFormat="1" ht="30" customHeight="1">
      <c r="A20" s="629" t="s">
        <v>256</v>
      </c>
      <c r="B20" s="629"/>
      <c r="C20" s="629"/>
      <c r="D20" s="629"/>
      <c r="E20" s="629"/>
      <c r="F20" s="114">
        <f>SUM(F6:F19)</f>
        <v>2576095</v>
      </c>
    </row>
    <row r="21" spans="1:6" ht="12.75">
      <c r="A21" s="652" t="s">
        <v>577</v>
      </c>
      <c r="B21" s="652"/>
      <c r="C21" s="652"/>
      <c r="D21" s="652"/>
      <c r="E21" s="652"/>
      <c r="F21" s="653">
        <f>F20-F13-F14</f>
        <v>1021650</v>
      </c>
    </row>
    <row r="22" spans="1:6" ht="12.75">
      <c r="A22" s="652"/>
      <c r="B22" s="652"/>
      <c r="C22" s="652"/>
      <c r="D22" s="652"/>
      <c r="E22" s="652"/>
      <c r="F22" s="654"/>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3">
      <selection activeCell="D12" sqref="D12"/>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655" t="s">
        <v>50</v>
      </c>
      <c r="B3" s="655" t="s">
        <v>126</v>
      </c>
      <c r="C3" s="655" t="s">
        <v>122</v>
      </c>
      <c r="D3" s="655"/>
    </row>
    <row r="4" spans="1:4" ht="21" customHeight="1">
      <c r="A4" s="655"/>
      <c r="B4" s="655"/>
      <c r="C4" s="67" t="s">
        <v>52</v>
      </c>
      <c r="D4" s="67" t="s">
        <v>53</v>
      </c>
    </row>
    <row r="5" spans="1:4" ht="63">
      <c r="A5" s="659">
        <v>1</v>
      </c>
      <c r="B5" s="262" t="s">
        <v>100</v>
      </c>
      <c r="C5" s="79"/>
      <c r="D5" s="79">
        <f>'13'!C13</f>
        <v>310000</v>
      </c>
    </row>
    <row r="6" spans="1:4" ht="78.75">
      <c r="A6" s="660"/>
      <c r="B6" s="262" t="s">
        <v>668</v>
      </c>
      <c r="C6" s="79">
        <f>'13'!C14</f>
        <v>50000</v>
      </c>
      <c r="D6" s="79"/>
    </row>
    <row r="7" spans="1:4" ht="94.5">
      <c r="A7" s="661"/>
      <c r="B7" s="262" t="s">
        <v>123</v>
      </c>
      <c r="C7" s="79"/>
      <c r="D7" s="79">
        <f>'13'!C15</f>
        <v>70000</v>
      </c>
    </row>
    <row r="8" spans="1:4" ht="15.75">
      <c r="A8" s="447">
        <v>2</v>
      </c>
      <c r="B8" s="262" t="s">
        <v>124</v>
      </c>
      <c r="C8" s="79"/>
      <c r="D8" s="79">
        <f>'13'!C16</f>
        <v>995000</v>
      </c>
    </row>
    <row r="9" spans="1:4" ht="15.75">
      <c r="A9" s="447">
        <v>3</v>
      </c>
      <c r="B9" s="262" t="s">
        <v>125</v>
      </c>
      <c r="C9" s="79">
        <f>'13'!C12</f>
        <v>955000</v>
      </c>
      <c r="D9" s="79"/>
    </row>
    <row r="10" spans="1:4" ht="24" customHeight="1">
      <c r="A10" s="656" t="s">
        <v>99</v>
      </c>
      <c r="B10" s="657"/>
      <c r="C10" s="263">
        <f>SUM(C5:C9)</f>
        <v>1005000</v>
      </c>
      <c r="D10" s="263">
        <f>SUM(D5:D9)</f>
        <v>1375000</v>
      </c>
    </row>
    <row r="11" spans="1:4" ht="22.5" customHeight="1">
      <c r="A11" s="655" t="s">
        <v>669</v>
      </c>
      <c r="B11" s="655"/>
      <c r="C11" s="658">
        <f>C10+D10</f>
        <v>2380000</v>
      </c>
      <c r="D11" s="658"/>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7"/>
  <sheetViews>
    <sheetView zoomScalePageLayoutView="0" workbookViewId="0" topLeftCell="A1">
      <selection activeCell="C16" sqref="C16"/>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662" t="s">
        <v>315</v>
      </c>
      <c r="B1" s="662"/>
      <c r="C1" s="662"/>
      <c r="D1" s="5"/>
      <c r="E1" s="5"/>
      <c r="F1" s="5"/>
      <c r="G1" s="5"/>
      <c r="H1" s="5"/>
      <c r="I1" s="5"/>
      <c r="J1" s="5"/>
    </row>
    <row r="2" spans="1:7" ht="19.5" customHeight="1">
      <c r="A2" s="662" t="s">
        <v>176</v>
      </c>
      <c r="B2" s="662"/>
      <c r="C2" s="662"/>
      <c r="D2" s="5"/>
      <c r="E2" s="5"/>
      <c r="F2" s="5"/>
      <c r="G2" s="5"/>
    </row>
    <row r="5" ht="12.75">
      <c r="C5" s="69" t="s">
        <v>172</v>
      </c>
    </row>
    <row r="6" spans="1:10" ht="19.5" customHeight="1">
      <c r="A6" s="13" t="s">
        <v>190</v>
      </c>
      <c r="B6" s="13" t="s">
        <v>131</v>
      </c>
      <c r="C6" s="70" t="s">
        <v>653</v>
      </c>
      <c r="D6" s="6"/>
      <c r="E6" s="6"/>
      <c r="F6" s="6"/>
      <c r="G6" s="6"/>
      <c r="H6" s="6"/>
      <c r="I6" s="7"/>
      <c r="J6" s="7"/>
    </row>
    <row r="7" spans="1:10" ht="19.5" customHeight="1">
      <c r="A7" s="21" t="s">
        <v>141</v>
      </c>
      <c r="B7" s="31" t="s">
        <v>192</v>
      </c>
      <c r="C7" s="71">
        <v>729696</v>
      </c>
      <c r="D7" s="6"/>
      <c r="E7" s="6"/>
      <c r="F7" s="6"/>
      <c r="G7" s="6"/>
      <c r="H7" s="6"/>
      <c r="I7" s="7"/>
      <c r="J7" s="7"/>
    </row>
    <row r="8" spans="1:10" ht="19.5" customHeight="1">
      <c r="A8" s="21" t="s">
        <v>146</v>
      </c>
      <c r="B8" s="31" t="s">
        <v>140</v>
      </c>
      <c r="C8" s="71">
        <f>SUM(C9:C10)</f>
        <v>1750000</v>
      </c>
      <c r="D8" s="6"/>
      <c r="E8" s="6"/>
      <c r="F8" s="6"/>
      <c r="G8" s="6"/>
      <c r="H8" s="6"/>
      <c r="I8" s="7"/>
      <c r="J8" s="7"/>
    </row>
    <row r="9" spans="1:10" ht="19.5" customHeight="1">
      <c r="A9" s="22">
        <v>1</v>
      </c>
      <c r="B9" s="115" t="s">
        <v>479</v>
      </c>
      <c r="C9" s="116"/>
      <c r="D9" s="6"/>
      <c r="E9" s="6"/>
      <c r="F9" s="6"/>
      <c r="G9" s="6"/>
      <c r="H9" s="6"/>
      <c r="I9" s="7"/>
      <c r="J9" s="7"/>
    </row>
    <row r="10" spans="1:10" ht="19.5" customHeight="1">
      <c r="A10" s="22"/>
      <c r="B10" s="115" t="s">
        <v>384</v>
      </c>
      <c r="C10" s="116">
        <v>1750000</v>
      </c>
      <c r="D10" s="6"/>
      <c r="E10" s="6"/>
      <c r="F10" s="6"/>
      <c r="G10" s="6"/>
      <c r="H10" s="6"/>
      <c r="I10" s="7"/>
      <c r="J10" s="7"/>
    </row>
    <row r="11" spans="1:10" ht="19.5" customHeight="1">
      <c r="A11" s="21" t="s">
        <v>147</v>
      </c>
      <c r="B11" s="31" t="s">
        <v>139</v>
      </c>
      <c r="C11" s="71">
        <f>SUM(C12:C16)</f>
        <v>2380000</v>
      </c>
      <c r="D11" s="6"/>
      <c r="E11" s="6"/>
      <c r="F11" s="6"/>
      <c r="G11" s="6"/>
      <c r="H11" s="6"/>
      <c r="I11" s="7"/>
      <c r="J11" s="7"/>
    </row>
    <row r="12" spans="1:10" ht="19.5" customHeight="1">
      <c r="A12" s="22">
        <v>1</v>
      </c>
      <c r="B12" s="148" t="s">
        <v>168</v>
      </c>
      <c r="C12" s="116">
        <v>955000</v>
      </c>
      <c r="D12" s="6"/>
      <c r="E12" s="6"/>
      <c r="F12" s="6"/>
      <c r="G12" s="6"/>
      <c r="H12" s="6"/>
      <c r="I12" s="7"/>
      <c r="J12" s="7"/>
    </row>
    <row r="13" spans="1:10" ht="38.25">
      <c r="A13" s="22">
        <v>2</v>
      </c>
      <c r="B13" s="148" t="s">
        <v>574</v>
      </c>
      <c r="C13" s="116">
        <f>150000+160000</f>
        <v>310000</v>
      </c>
      <c r="D13" s="6"/>
      <c r="E13" s="6"/>
      <c r="F13" s="6"/>
      <c r="G13" s="6"/>
      <c r="H13" s="6"/>
      <c r="I13" s="7"/>
      <c r="J13" s="7"/>
    </row>
    <row r="14" spans="1:10" ht="25.5">
      <c r="A14" s="22">
        <v>3</v>
      </c>
      <c r="B14" s="148" t="s">
        <v>5</v>
      </c>
      <c r="C14" s="116">
        <v>50000</v>
      </c>
      <c r="D14" s="6"/>
      <c r="E14" s="6"/>
      <c r="F14" s="6"/>
      <c r="G14" s="6"/>
      <c r="H14" s="6"/>
      <c r="I14" s="7"/>
      <c r="J14" s="7"/>
    </row>
    <row r="15" spans="1:10" ht="38.25">
      <c r="A15" s="22">
        <v>4</v>
      </c>
      <c r="B15" s="148" t="s">
        <v>596</v>
      </c>
      <c r="C15" s="116">
        <v>70000</v>
      </c>
      <c r="D15" s="6"/>
      <c r="E15" s="6"/>
      <c r="F15" s="6"/>
      <c r="G15" s="6"/>
      <c r="H15" s="6"/>
      <c r="I15" s="7"/>
      <c r="J15" s="7"/>
    </row>
    <row r="16" spans="1:10" ht="19.5" customHeight="1">
      <c r="A16" s="22">
        <v>5</v>
      </c>
      <c r="B16" s="148" t="s">
        <v>575</v>
      </c>
      <c r="C16" s="116">
        <v>995000</v>
      </c>
      <c r="D16" s="6"/>
      <c r="E16" s="6"/>
      <c r="F16" s="6"/>
      <c r="G16" s="6"/>
      <c r="H16" s="6"/>
      <c r="I16" s="7"/>
      <c r="J16" s="7"/>
    </row>
    <row r="17" spans="1:10" ht="19.5" customHeight="1">
      <c r="A17" s="21" t="s">
        <v>169</v>
      </c>
      <c r="B17" s="31" t="s">
        <v>194</v>
      </c>
      <c r="C17" s="71">
        <f>C7+C8-C11</f>
        <v>99696</v>
      </c>
      <c r="D17" s="6"/>
      <c r="E17" s="6"/>
      <c r="F17" s="6"/>
      <c r="G17" s="6"/>
      <c r="H17" s="6"/>
      <c r="I17" s="7"/>
      <c r="J17" s="7"/>
    </row>
    <row r="18" spans="1:10" ht="15">
      <c r="A18" s="6"/>
      <c r="B18" s="6"/>
      <c r="C18" s="72"/>
      <c r="D18" s="6"/>
      <c r="E18" s="6"/>
      <c r="F18" s="6"/>
      <c r="G18" s="6"/>
      <c r="H18" s="6"/>
      <c r="I18" s="7"/>
      <c r="J18" s="7"/>
    </row>
    <row r="19" spans="1:10" ht="15">
      <c r="A19" s="6"/>
      <c r="B19" s="6"/>
      <c r="C19" s="72"/>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7"/>
      <c r="B24" s="7"/>
      <c r="C24" s="72"/>
      <c r="D24" s="7"/>
      <c r="E24" s="7"/>
      <c r="F24" s="7"/>
      <c r="G24" s="7"/>
      <c r="H24" s="7"/>
      <c r="I24" s="7"/>
      <c r="J24" s="7"/>
    </row>
    <row r="25" spans="1:10" ht="15">
      <c r="A25" s="7"/>
      <c r="B25" s="7"/>
      <c r="C25" s="72"/>
      <c r="D25" s="7"/>
      <c r="E25" s="7"/>
      <c r="F25" s="7"/>
      <c r="G25" s="7"/>
      <c r="H25" s="7"/>
      <c r="I25" s="7"/>
      <c r="J25" s="7"/>
    </row>
    <row r="26" spans="1:10" ht="15">
      <c r="A26" s="7"/>
      <c r="B26" s="7"/>
      <c r="C26" s="72"/>
      <c r="D26" s="7"/>
      <c r="E26" s="7"/>
      <c r="F26" s="7"/>
      <c r="G26" s="7"/>
      <c r="H26" s="7"/>
      <c r="I26" s="7"/>
      <c r="J26" s="7"/>
    </row>
    <row r="27" spans="1:10" ht="15">
      <c r="A27" s="7"/>
      <c r="B27" s="7"/>
      <c r="C27" s="72"/>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662" t="s">
        <v>315</v>
      </c>
      <c r="B1" s="662"/>
      <c r="C1" s="662"/>
      <c r="D1" s="5"/>
      <c r="E1" s="5"/>
      <c r="F1" s="5"/>
      <c r="G1" s="5"/>
      <c r="H1" s="5"/>
      <c r="I1" s="5"/>
      <c r="J1" s="5"/>
    </row>
    <row r="2" spans="1:7" ht="19.5" customHeight="1">
      <c r="A2" s="662" t="s">
        <v>232</v>
      </c>
      <c r="B2" s="662"/>
      <c r="C2" s="662"/>
      <c r="D2" s="5"/>
      <c r="E2" s="5"/>
      <c r="F2" s="5"/>
      <c r="G2" s="5"/>
    </row>
    <row r="4" ht="12.75">
      <c r="C4" s="69" t="s">
        <v>172</v>
      </c>
    </row>
    <row r="5" spans="1:10" ht="19.5" customHeight="1">
      <c r="A5" s="13" t="s">
        <v>190</v>
      </c>
      <c r="B5" s="13" t="s">
        <v>131</v>
      </c>
      <c r="C5" s="70" t="s">
        <v>653</v>
      </c>
      <c r="D5" s="6"/>
      <c r="E5" s="6"/>
      <c r="F5" s="6"/>
      <c r="G5" s="6"/>
      <c r="H5" s="6"/>
      <c r="I5" s="7"/>
      <c r="J5" s="7"/>
    </row>
    <row r="6" spans="1:10" ht="19.5" customHeight="1">
      <c r="A6" s="21" t="s">
        <v>141</v>
      </c>
      <c r="B6" s="31" t="s">
        <v>192</v>
      </c>
      <c r="C6" s="71">
        <v>209999</v>
      </c>
      <c r="D6" s="6"/>
      <c r="E6" s="6"/>
      <c r="F6" s="6"/>
      <c r="G6" s="6"/>
      <c r="H6" s="6"/>
      <c r="I6" s="7"/>
      <c r="J6" s="7"/>
    </row>
    <row r="7" spans="1:10" ht="19.5" customHeight="1">
      <c r="A7" s="21" t="s">
        <v>146</v>
      </c>
      <c r="B7" s="31" t="s">
        <v>140</v>
      </c>
      <c r="C7" s="71">
        <f>SUM(C8:C10)</f>
        <v>1099000</v>
      </c>
      <c r="D7" s="6"/>
      <c r="E7" s="6"/>
      <c r="F7" s="6"/>
      <c r="G7" s="6"/>
      <c r="H7" s="6"/>
      <c r="I7" s="7"/>
      <c r="J7" s="7"/>
    </row>
    <row r="8" spans="1:10" ht="19.5" customHeight="1">
      <c r="A8" s="22" t="s">
        <v>142</v>
      </c>
      <c r="B8" s="115" t="s">
        <v>480</v>
      </c>
      <c r="C8" s="116">
        <v>1093000</v>
      </c>
      <c r="D8" s="6"/>
      <c r="E8" s="6"/>
      <c r="F8" s="6"/>
      <c r="G8" s="6"/>
      <c r="H8" s="6"/>
      <c r="I8" s="7"/>
      <c r="J8" s="7"/>
    </row>
    <row r="9" spans="1:10" ht="19.5" customHeight="1">
      <c r="A9" s="22" t="s">
        <v>143</v>
      </c>
      <c r="B9" s="115" t="s">
        <v>481</v>
      </c>
      <c r="C9" s="116">
        <v>2000</v>
      </c>
      <c r="D9" s="6"/>
      <c r="E9" s="6"/>
      <c r="F9" s="6"/>
      <c r="G9" s="6"/>
      <c r="H9" s="6"/>
      <c r="I9" s="7"/>
      <c r="J9" s="7"/>
    </row>
    <row r="10" spans="1:10" ht="19.5" customHeight="1">
      <c r="A10" s="22" t="s">
        <v>144</v>
      </c>
      <c r="B10" s="115" t="s">
        <v>482</v>
      </c>
      <c r="C10" s="116">
        <v>4000</v>
      </c>
      <c r="D10" s="6"/>
      <c r="E10" s="6"/>
      <c r="F10" s="6"/>
      <c r="G10" s="6"/>
      <c r="H10" s="6"/>
      <c r="I10" s="7"/>
      <c r="J10" s="7"/>
    </row>
    <row r="11" spans="1:10" ht="19.5" customHeight="1">
      <c r="A11" s="21" t="s">
        <v>147</v>
      </c>
      <c r="B11" s="31" t="s">
        <v>139</v>
      </c>
      <c r="C11" s="71">
        <f>C12+C18</f>
        <v>1142300</v>
      </c>
      <c r="D11" s="6"/>
      <c r="E11" s="6"/>
      <c r="F11" s="6"/>
      <c r="G11" s="6"/>
      <c r="H11" s="6"/>
      <c r="I11" s="7"/>
      <c r="J11" s="7"/>
    </row>
    <row r="12" spans="1:10" ht="19.5" customHeight="1">
      <c r="A12" s="22" t="s">
        <v>142</v>
      </c>
      <c r="B12" s="115" t="s">
        <v>168</v>
      </c>
      <c r="C12" s="116">
        <f>SUM(C13:C17)</f>
        <v>981800</v>
      </c>
      <c r="D12" s="6"/>
      <c r="E12" s="6"/>
      <c r="F12" s="6"/>
      <c r="G12" s="6"/>
      <c r="H12" s="6"/>
      <c r="I12" s="7"/>
      <c r="J12" s="7"/>
    </row>
    <row r="13" spans="1:10" ht="15" customHeight="1">
      <c r="A13" s="22"/>
      <c r="B13" s="67" t="s">
        <v>433</v>
      </c>
      <c r="C13" s="116">
        <v>219800</v>
      </c>
      <c r="D13" s="6"/>
      <c r="E13" s="6"/>
      <c r="F13" s="6"/>
      <c r="G13" s="6"/>
      <c r="H13" s="6"/>
      <c r="I13" s="7"/>
      <c r="J13" s="7"/>
    </row>
    <row r="14" spans="1:10" ht="15" customHeight="1">
      <c r="A14" s="22"/>
      <c r="B14" s="67" t="s">
        <v>17</v>
      </c>
      <c r="C14" s="116">
        <v>5000</v>
      </c>
      <c r="D14" s="6"/>
      <c r="E14" s="6"/>
      <c r="F14" s="6"/>
      <c r="G14" s="6"/>
      <c r="H14" s="6"/>
      <c r="I14" s="7"/>
      <c r="J14" s="7"/>
    </row>
    <row r="15" spans="1:10" ht="15" customHeight="1">
      <c r="A15" s="22"/>
      <c r="B15" s="67" t="s">
        <v>16</v>
      </c>
      <c r="C15" s="116"/>
      <c r="D15" s="6"/>
      <c r="E15" s="6"/>
      <c r="F15" s="6"/>
      <c r="G15" s="6"/>
      <c r="H15" s="6"/>
      <c r="I15" s="7"/>
      <c r="J15" s="7"/>
    </row>
    <row r="16" spans="1:10" ht="15" customHeight="1">
      <c r="A16" s="22"/>
      <c r="B16" s="67" t="s">
        <v>483</v>
      </c>
      <c r="C16" s="116">
        <v>757000</v>
      </c>
      <c r="D16" s="6"/>
      <c r="E16" s="6"/>
      <c r="F16" s="6"/>
      <c r="G16" s="6"/>
      <c r="H16" s="6"/>
      <c r="I16" s="7"/>
      <c r="J16" s="7"/>
    </row>
    <row r="17" spans="1:10" ht="15" customHeight="1">
      <c r="A17" s="22"/>
      <c r="B17" s="65" t="s">
        <v>6</v>
      </c>
      <c r="C17" s="116"/>
      <c r="D17" s="6"/>
      <c r="E17" s="6"/>
      <c r="F17" s="6"/>
      <c r="G17" s="6"/>
      <c r="H17" s="6"/>
      <c r="I17" s="7"/>
      <c r="J17" s="7"/>
    </row>
    <row r="18" spans="1:10" ht="19.5" customHeight="1">
      <c r="A18" s="22" t="s">
        <v>143</v>
      </c>
      <c r="B18" s="115" t="s">
        <v>576</v>
      </c>
      <c r="C18" s="116">
        <f>80500+80000</f>
        <v>160500</v>
      </c>
      <c r="D18" s="6"/>
      <c r="E18" s="6"/>
      <c r="F18" s="6"/>
      <c r="G18" s="6"/>
      <c r="H18" s="6"/>
      <c r="I18" s="7"/>
      <c r="J18" s="7"/>
    </row>
    <row r="19" spans="1:10" ht="19.5" customHeight="1">
      <c r="A19" s="21" t="s">
        <v>169</v>
      </c>
      <c r="B19" s="31" t="s">
        <v>194</v>
      </c>
      <c r="C19" s="71">
        <f>C6+C7-C11</f>
        <v>166699</v>
      </c>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6"/>
      <c r="B25" s="6"/>
      <c r="C25" s="72"/>
      <c r="D25" s="6"/>
      <c r="E25" s="6"/>
      <c r="F25" s="6"/>
      <c r="G25" s="6"/>
      <c r="H25" s="6"/>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row r="29" spans="1:10" ht="15">
      <c r="A29" s="7"/>
      <c r="B29" s="7"/>
      <c r="C29" s="72"/>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3" sqref="A3:C6"/>
    </sheetView>
  </sheetViews>
  <sheetFormatPr defaultColWidth="9.00390625" defaultRowHeight="12.75"/>
  <cols>
    <col min="2" max="2" width="27.875" style="0" customWidth="1"/>
    <col min="3" max="3" width="21.25390625" style="0" customWidth="1"/>
  </cols>
  <sheetData>
    <row r="3" spans="1:3" ht="30" customHeight="1">
      <c r="A3" s="67" t="s">
        <v>50</v>
      </c>
      <c r="B3" s="67" t="s">
        <v>126</v>
      </c>
      <c r="C3" s="67" t="s">
        <v>127</v>
      </c>
    </row>
    <row r="4" spans="1:3" ht="12.75">
      <c r="A4" s="67" t="s">
        <v>75</v>
      </c>
      <c r="B4" s="67" t="s">
        <v>128</v>
      </c>
      <c r="C4" s="79">
        <f>'14'!C12</f>
        <v>981800</v>
      </c>
    </row>
    <row r="5" spans="1:3" ht="12.75">
      <c r="A5" s="67" t="s">
        <v>76</v>
      </c>
      <c r="B5" s="67" t="s">
        <v>129</v>
      </c>
      <c r="C5" s="79">
        <f>'14'!C18</f>
        <v>160500</v>
      </c>
    </row>
    <row r="6" spans="1:3" ht="29.25" customHeight="1">
      <c r="A6" s="67"/>
      <c r="B6" s="67" t="s">
        <v>99</v>
      </c>
      <c r="C6" s="79">
        <f>SUM(C4:C5)</f>
        <v>1142300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H19"/>
  <sheetViews>
    <sheetView zoomScalePageLayoutView="0" workbookViewId="0" topLeftCell="A1">
      <selection activeCell="A3" sqref="A3:E13"/>
    </sheetView>
  </sheetViews>
  <sheetFormatPr defaultColWidth="9.00390625" defaultRowHeight="12.75"/>
  <cols>
    <col min="1" max="1" width="5.25390625" style="0" customWidth="1"/>
    <col min="2" max="2" width="32.625" style="0" customWidth="1"/>
    <col min="3" max="3" width="11.75390625" style="0" customWidth="1"/>
    <col min="4" max="4" width="15.00390625" style="0" customWidth="1"/>
    <col min="5" max="5" width="13.00390625" style="0" customWidth="1"/>
  </cols>
  <sheetData>
    <row r="2" ht="13.5" thickBot="1"/>
    <row r="3" spans="1:5" ht="34.5" thickBot="1">
      <c r="A3" s="244" t="s">
        <v>50</v>
      </c>
      <c r="B3" s="245" t="s">
        <v>51</v>
      </c>
      <c r="C3" s="245" t="s">
        <v>52</v>
      </c>
      <c r="D3" s="245" t="s">
        <v>53</v>
      </c>
      <c r="E3" s="246" t="s">
        <v>54</v>
      </c>
    </row>
    <row r="4" spans="1:5" ht="26.25" thickBot="1">
      <c r="A4" s="247" t="s">
        <v>75</v>
      </c>
      <c r="B4" s="248" t="s">
        <v>55</v>
      </c>
      <c r="C4" s="249">
        <f>1!E102</f>
        <v>5734000</v>
      </c>
      <c r="D4" s="250">
        <v>0</v>
      </c>
      <c r="E4" s="250">
        <v>1</v>
      </c>
    </row>
    <row r="5" spans="1:5" ht="38.25">
      <c r="A5" s="254" t="s">
        <v>76</v>
      </c>
      <c r="B5" s="255" t="s">
        <v>56</v>
      </c>
      <c r="C5" s="387">
        <f>6!D19</f>
        <v>3135700</v>
      </c>
      <c r="D5" s="254">
        <v>0</v>
      </c>
      <c r="E5" s="254">
        <v>1.6</v>
      </c>
    </row>
    <row r="6" spans="1:5" ht="51">
      <c r="A6" s="384" t="s">
        <v>77</v>
      </c>
      <c r="B6" s="385" t="s">
        <v>57</v>
      </c>
      <c r="C6" s="388">
        <f>7!D9</f>
        <v>28000</v>
      </c>
      <c r="D6" s="384">
        <v>0</v>
      </c>
      <c r="E6" s="384">
        <v>1.7</v>
      </c>
    </row>
    <row r="7" spans="1:5" ht="27" customHeight="1" thickBot="1">
      <c r="A7" s="247" t="s">
        <v>79</v>
      </c>
      <c r="B7" s="251" t="s">
        <v>58</v>
      </c>
      <c r="C7" s="249">
        <f>8!F24</f>
        <v>520575</v>
      </c>
      <c r="D7" s="249">
        <f>8!K10</f>
        <v>1705000</v>
      </c>
      <c r="E7" s="250">
        <v>1.8</v>
      </c>
    </row>
    <row r="8" spans="1:5" ht="15.75" thickBot="1">
      <c r="A8" s="256" t="s">
        <v>78</v>
      </c>
      <c r="B8" s="257" t="s">
        <v>646</v>
      </c>
      <c r="C8" s="278">
        <f>'10'!F22</f>
        <v>2770489</v>
      </c>
      <c r="D8" s="278">
        <f>'10'!K22</f>
        <v>6120</v>
      </c>
      <c r="E8" s="386" t="s">
        <v>647</v>
      </c>
    </row>
    <row r="9" spans="1:5" ht="21" customHeight="1" thickBot="1">
      <c r="A9" s="247" t="s">
        <v>80</v>
      </c>
      <c r="B9" s="251" t="s">
        <v>59</v>
      </c>
      <c r="C9" s="249">
        <f>SUM(C10:C13)</f>
        <v>41303120</v>
      </c>
      <c r="D9" s="250"/>
      <c r="E9" s="250">
        <v>1</v>
      </c>
    </row>
    <row r="10" spans="1:5" ht="15.75" thickBot="1">
      <c r="A10" s="247"/>
      <c r="B10" s="251" t="s">
        <v>60</v>
      </c>
      <c r="C10" s="249">
        <f>1!E59-1!E68</f>
        <v>23340521</v>
      </c>
      <c r="D10" s="250">
        <v>0</v>
      </c>
      <c r="E10" s="250">
        <v>1</v>
      </c>
    </row>
    <row r="11" spans="1:8" ht="23.25" thickBot="1">
      <c r="A11" s="247"/>
      <c r="B11" s="251" t="s">
        <v>61</v>
      </c>
      <c r="C11" s="249">
        <f>1!E55</f>
        <v>9640000</v>
      </c>
      <c r="D11" s="250">
        <v>0</v>
      </c>
      <c r="E11" s="250">
        <v>1</v>
      </c>
      <c r="H11" s="74"/>
    </row>
    <row r="12" spans="1:5" ht="45.75" thickBot="1">
      <c r="A12" s="247"/>
      <c r="B12" s="251" t="s">
        <v>62</v>
      </c>
      <c r="C12" s="249">
        <f>1!F30+1!F14</f>
        <v>100850</v>
      </c>
      <c r="D12" s="250" t="s">
        <v>63</v>
      </c>
      <c r="E12" s="250">
        <v>1</v>
      </c>
    </row>
    <row r="13" spans="1:5" ht="51.75" customHeight="1" thickBot="1">
      <c r="A13" s="247"/>
      <c r="B13" s="251" t="s">
        <v>64</v>
      </c>
      <c r="C13" s="249">
        <f>C15-SUM(C10:C12)-SUM(C4:C8)-D7-D8</f>
        <v>8221749</v>
      </c>
      <c r="D13" s="250"/>
      <c r="E13" s="250">
        <v>1</v>
      </c>
    </row>
    <row r="14" spans="1:3" ht="15">
      <c r="A14" s="252"/>
      <c r="C14" s="74">
        <f>SUM(C4:C9)+D7+D8</f>
        <v>55203004</v>
      </c>
    </row>
    <row r="15" spans="1:3" ht="18.75">
      <c r="A15" s="252"/>
      <c r="B15" s="258" t="s">
        <v>65</v>
      </c>
      <c r="C15" s="259">
        <f>1!E147</f>
        <v>55203004</v>
      </c>
    </row>
    <row r="16" ht="15">
      <c r="A16" s="253"/>
    </row>
    <row r="17" ht="15">
      <c r="A17" s="253"/>
    </row>
    <row r="18" ht="12.75">
      <c r="B18" s="74"/>
    </row>
    <row r="19" ht="12.75">
      <c r="C19" s="74">
        <f>SUM(C4:D13)-C9</f>
        <v>55203004</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82" t="s">
        <v>199</v>
      </c>
      <c r="B1" s="582"/>
      <c r="C1" s="582"/>
      <c r="D1" s="582"/>
      <c r="E1" s="582"/>
      <c r="F1" s="582"/>
    </row>
    <row r="2" spans="1:6" ht="65.25" customHeight="1">
      <c r="A2" s="13" t="s">
        <v>190</v>
      </c>
      <c r="B2" s="13" t="s">
        <v>280</v>
      </c>
      <c r="C2" s="13" t="s">
        <v>195</v>
      </c>
      <c r="D2" s="14" t="s">
        <v>196</v>
      </c>
      <c r="E2" s="14" t="s">
        <v>197</v>
      </c>
      <c r="F2" s="14" t="s">
        <v>198</v>
      </c>
    </row>
    <row r="3" spans="1:6" ht="9" customHeight="1">
      <c r="A3" s="16">
        <v>1</v>
      </c>
      <c r="B3" s="16">
        <v>2</v>
      </c>
      <c r="C3" s="16">
        <v>3</v>
      </c>
      <c r="D3" s="16">
        <v>4</v>
      </c>
      <c r="E3" s="16">
        <v>5</v>
      </c>
      <c r="F3" s="16">
        <v>6</v>
      </c>
    </row>
    <row r="4" spans="1:6" s="32" customFormat="1" ht="47.25" customHeight="1">
      <c r="A4" s="664" t="s">
        <v>142</v>
      </c>
      <c r="B4" s="663" t="s">
        <v>631</v>
      </c>
      <c r="C4" s="667" t="s">
        <v>546</v>
      </c>
      <c r="D4" s="667" t="s">
        <v>546</v>
      </c>
      <c r="E4" s="670" t="s">
        <v>546</v>
      </c>
      <c r="F4" s="83">
        <v>0</v>
      </c>
    </row>
    <row r="5" spans="1:6" s="32" customFormat="1" ht="47.25" customHeight="1">
      <c r="A5" s="665"/>
      <c r="B5" s="663"/>
      <c r="C5" s="668"/>
      <c r="D5" s="668"/>
      <c r="E5" s="671"/>
      <c r="F5" s="84"/>
    </row>
    <row r="6" spans="1:7" s="32" customFormat="1" ht="47.25" customHeight="1">
      <c r="A6" s="666"/>
      <c r="B6" s="663"/>
      <c r="C6" s="669"/>
      <c r="D6" s="669"/>
      <c r="E6" s="672"/>
      <c r="F6" s="85"/>
      <c r="G6" s="32" t="s">
        <v>155</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5" customWidth="1"/>
    <col min="5" max="5" width="22.125" style="0" customWidth="1"/>
  </cols>
  <sheetData>
    <row r="1" spans="1:5" s="154" customFormat="1" ht="14.25">
      <c r="A1" s="215" t="s">
        <v>630</v>
      </c>
      <c r="B1" s="150"/>
      <c r="C1" s="151"/>
      <c r="E1" s="152"/>
    </row>
    <row r="2" spans="1:5" s="154" customFormat="1" ht="14.25">
      <c r="A2" s="149"/>
      <c r="B2" s="150"/>
      <c r="C2" s="151"/>
      <c r="D2" s="163"/>
      <c r="E2" s="152"/>
    </row>
    <row r="3" spans="1:5" s="154" customFormat="1" ht="15.75">
      <c r="A3" s="166" t="s">
        <v>578</v>
      </c>
      <c r="B3" s="150"/>
      <c r="C3" s="151"/>
      <c r="D3" s="153"/>
      <c r="E3" s="152"/>
    </row>
    <row r="4" spans="1:5" s="154" customFormat="1" ht="15" thickBot="1">
      <c r="A4" s="149"/>
      <c r="B4" s="150"/>
      <c r="C4" s="151"/>
      <c r="D4" s="164"/>
      <c r="E4" s="152"/>
    </row>
    <row r="5" spans="1:251" s="156" customFormat="1" ht="30" customHeight="1">
      <c r="A5" s="194" t="s">
        <v>484</v>
      </c>
      <c r="B5" s="195" t="s">
        <v>485</v>
      </c>
      <c r="C5" s="196" t="s">
        <v>486</v>
      </c>
      <c r="D5" s="197" t="s">
        <v>579</v>
      </c>
      <c r="E5" s="198" t="s">
        <v>593</v>
      </c>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row>
    <row r="6" spans="1:5" s="157" customFormat="1" ht="15">
      <c r="A6" s="167" t="s">
        <v>316</v>
      </c>
      <c r="B6" s="167"/>
      <c r="C6" s="168"/>
      <c r="D6" s="169" t="s">
        <v>317</v>
      </c>
      <c r="E6" s="170">
        <f>E7</f>
        <v>17000</v>
      </c>
    </row>
    <row r="7" spans="1:5" s="158" customFormat="1" ht="26.25">
      <c r="A7" s="171"/>
      <c r="B7" s="172" t="s">
        <v>490</v>
      </c>
      <c r="C7" s="173"/>
      <c r="D7" s="174" t="s">
        <v>580</v>
      </c>
      <c r="E7" s="175">
        <f>SUM(E8:E8)</f>
        <v>17000</v>
      </c>
    </row>
    <row r="8" spans="1:5" s="158" customFormat="1" ht="14.25">
      <c r="A8" s="171"/>
      <c r="B8" s="171"/>
      <c r="C8" s="173" t="s">
        <v>492</v>
      </c>
      <c r="D8" s="176" t="s">
        <v>581</v>
      </c>
      <c r="E8" s="177">
        <v>17000</v>
      </c>
    </row>
    <row r="9" spans="1:5" s="159" customFormat="1" ht="15">
      <c r="A9" s="178">
        <v>700</v>
      </c>
      <c r="B9" s="178"/>
      <c r="C9" s="179"/>
      <c r="D9" s="180" t="s">
        <v>353</v>
      </c>
      <c r="E9" s="181">
        <f>E10</f>
        <v>394000</v>
      </c>
    </row>
    <row r="10" spans="1:5" s="161" customFormat="1" ht="26.25">
      <c r="A10" s="182"/>
      <c r="B10" s="182">
        <v>70005</v>
      </c>
      <c r="C10" s="183"/>
      <c r="D10" s="184" t="s">
        <v>354</v>
      </c>
      <c r="E10" s="185">
        <f>SUM(E11:E13)</f>
        <v>394000</v>
      </c>
    </row>
    <row r="11" spans="1:5" s="160" customFormat="1" ht="38.25">
      <c r="A11" s="186"/>
      <c r="B11" s="186"/>
      <c r="C11" s="187" t="s">
        <v>582</v>
      </c>
      <c r="D11" s="188" t="s">
        <v>583</v>
      </c>
      <c r="E11" s="189">
        <v>380000</v>
      </c>
    </row>
    <row r="12" spans="1:5" s="160" customFormat="1" ht="89.25">
      <c r="A12" s="186"/>
      <c r="B12" s="186"/>
      <c r="C12" s="187" t="s">
        <v>493</v>
      </c>
      <c r="D12" s="188" t="s">
        <v>584</v>
      </c>
      <c r="E12" s="189">
        <v>10000</v>
      </c>
    </row>
    <row r="13" spans="1:5" s="160" customFormat="1" ht="51">
      <c r="A13" s="186"/>
      <c r="B13" s="186"/>
      <c r="C13" s="187" t="s">
        <v>585</v>
      </c>
      <c r="D13" s="188" t="s">
        <v>586</v>
      </c>
      <c r="E13" s="189">
        <v>4000</v>
      </c>
    </row>
    <row r="14" spans="1:5" s="159" customFormat="1" ht="15">
      <c r="A14" s="178">
        <v>710</v>
      </c>
      <c r="B14" s="178"/>
      <c r="C14" s="179"/>
      <c r="D14" s="180" t="s">
        <v>587</v>
      </c>
      <c r="E14" s="181">
        <f>E15</f>
        <v>1000</v>
      </c>
    </row>
    <row r="15" spans="1:5" s="161" customFormat="1" ht="15">
      <c r="A15" s="182"/>
      <c r="B15" s="182">
        <v>71015</v>
      </c>
      <c r="C15" s="183"/>
      <c r="D15" s="184" t="s">
        <v>588</v>
      </c>
      <c r="E15" s="185">
        <f>SUM(E16)</f>
        <v>1000</v>
      </c>
    </row>
    <row r="16" spans="1:7" s="160" customFormat="1" ht="25.5">
      <c r="A16" s="186"/>
      <c r="B16" s="186"/>
      <c r="C16" s="187" t="s">
        <v>589</v>
      </c>
      <c r="D16" s="188" t="s">
        <v>590</v>
      </c>
      <c r="E16" s="189">
        <v>1000</v>
      </c>
      <c r="G16" s="155"/>
    </row>
    <row r="17" spans="1:5" s="159" customFormat="1" ht="15">
      <c r="A17" s="178">
        <v>852</v>
      </c>
      <c r="B17" s="178"/>
      <c r="C17" s="179"/>
      <c r="D17" s="180" t="s">
        <v>591</v>
      </c>
      <c r="E17" s="181">
        <f>E18</f>
        <v>16700</v>
      </c>
    </row>
    <row r="18" spans="1:5" s="161" customFormat="1" ht="15">
      <c r="A18" s="182"/>
      <c r="B18" s="182">
        <v>85203</v>
      </c>
      <c r="C18" s="183"/>
      <c r="D18" s="184" t="s">
        <v>594</v>
      </c>
      <c r="E18" s="185">
        <f>SUM(E19)</f>
        <v>16700</v>
      </c>
    </row>
    <row r="19" spans="1:5" s="160" customFormat="1" ht="14.25">
      <c r="A19" s="186"/>
      <c r="B19" s="186"/>
      <c r="C19" s="187" t="s">
        <v>503</v>
      </c>
      <c r="D19" s="77" t="s">
        <v>504</v>
      </c>
      <c r="E19" s="189">
        <v>16700</v>
      </c>
    </row>
    <row r="20" spans="1:5" s="162" customFormat="1" ht="26.25">
      <c r="A20" s="190"/>
      <c r="B20" s="190"/>
      <c r="C20" s="191"/>
      <c r="D20" s="192" t="s">
        <v>592</v>
      </c>
      <c r="E20" s="193">
        <f>E6+E10+E14+E17</f>
        <v>428700</v>
      </c>
    </row>
    <row r="21" spans="1:5" s="160" customFormat="1" ht="14.25">
      <c r="A21" s="186"/>
      <c r="B21" s="186"/>
      <c r="C21" s="187"/>
      <c r="D21" s="188"/>
      <c r="E21" s="189"/>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C41">
      <selection activeCell="K64" sqref="K64"/>
    </sheetView>
  </sheetViews>
  <sheetFormatPr defaultColWidth="9.00390625" defaultRowHeight="12.75"/>
  <cols>
    <col min="1" max="1" width="6.25390625" style="0" customWidth="1"/>
    <col min="2" max="2" width="55.125" style="0" customWidth="1"/>
    <col min="3" max="3" width="15.875" style="0" bestFit="1" customWidth="1"/>
    <col min="4" max="13" width="10.75390625" style="0" bestFit="1" customWidth="1"/>
  </cols>
  <sheetData>
    <row r="1" spans="1:8" ht="18">
      <c r="A1" s="662" t="s">
        <v>660</v>
      </c>
      <c r="B1" s="662"/>
      <c r="C1" s="662"/>
      <c r="D1" s="662"/>
      <c r="E1" s="662"/>
      <c r="F1" s="662"/>
      <c r="G1" s="662"/>
      <c r="H1" s="662"/>
    </row>
    <row r="2" spans="1:13" ht="9" customHeight="1">
      <c r="A2" s="5"/>
      <c r="B2" s="5"/>
      <c r="C2" s="5"/>
      <c r="D2" s="5"/>
      <c r="E2" s="5"/>
      <c r="F2" s="5"/>
      <c r="G2" s="5"/>
      <c r="H2" s="5"/>
      <c r="I2" s="5"/>
      <c r="J2" s="5"/>
      <c r="K2" s="5"/>
      <c r="L2" s="5"/>
      <c r="M2" s="5"/>
    </row>
    <row r="3" spans="8:13" ht="12.75">
      <c r="H3" s="52" t="s">
        <v>172</v>
      </c>
      <c r="I3" s="52"/>
      <c r="J3" s="52"/>
      <c r="K3" s="52"/>
      <c r="L3" s="52"/>
      <c r="M3" s="52"/>
    </row>
    <row r="4" spans="1:8" s="40" customFormat="1" ht="35.25" customHeight="1">
      <c r="A4" s="571" t="s">
        <v>190</v>
      </c>
      <c r="B4" s="571" t="s">
        <v>131</v>
      </c>
      <c r="C4" s="673" t="s">
        <v>663</v>
      </c>
      <c r="D4" s="675"/>
      <c r="E4" s="675"/>
      <c r="F4" s="675"/>
      <c r="G4" s="675"/>
      <c r="H4" s="675"/>
    </row>
    <row r="5" spans="1:13" s="40" customFormat="1" ht="23.25" customHeight="1">
      <c r="A5" s="571"/>
      <c r="B5" s="571"/>
      <c r="C5" s="674"/>
      <c r="D5" s="49">
        <v>2009</v>
      </c>
      <c r="E5" s="49">
        <v>2010</v>
      </c>
      <c r="F5" s="49">
        <v>2011</v>
      </c>
      <c r="G5" s="49">
        <v>2012</v>
      </c>
      <c r="H5" s="49">
        <v>2013</v>
      </c>
      <c r="I5" s="49">
        <v>2014</v>
      </c>
      <c r="J5" s="49">
        <v>2015</v>
      </c>
      <c r="K5" s="49">
        <v>2016</v>
      </c>
      <c r="L5" s="49">
        <v>2017</v>
      </c>
      <c r="M5" s="49">
        <v>2018</v>
      </c>
    </row>
    <row r="6" spans="1:13" s="48" customFormat="1" ht="8.25">
      <c r="A6" s="47">
        <v>1</v>
      </c>
      <c r="B6" s="47">
        <v>2</v>
      </c>
      <c r="C6" s="47">
        <v>3</v>
      </c>
      <c r="D6" s="47">
        <v>5</v>
      </c>
      <c r="E6" s="47">
        <v>6</v>
      </c>
      <c r="F6" s="47">
        <v>7</v>
      </c>
      <c r="G6" s="47">
        <v>8</v>
      </c>
      <c r="H6" s="47">
        <v>9</v>
      </c>
      <c r="I6" s="47">
        <v>9</v>
      </c>
      <c r="J6" s="47">
        <v>9</v>
      </c>
      <c r="K6" s="47">
        <v>9</v>
      </c>
      <c r="L6" s="47">
        <v>9</v>
      </c>
      <c r="M6" s="47">
        <v>9</v>
      </c>
    </row>
    <row r="7" spans="1:13" s="40" customFormat="1" ht="22.5" customHeight="1">
      <c r="A7" s="38" t="s">
        <v>142</v>
      </c>
      <c r="B7" s="51" t="s">
        <v>283</v>
      </c>
      <c r="C7" s="264">
        <f aca="true" t="shared" si="0" ref="C7:M7">C8+C18+C22</f>
        <v>4101316</v>
      </c>
      <c r="D7" s="264">
        <f t="shared" si="0"/>
        <v>14616316</v>
      </c>
      <c r="E7" s="264">
        <f t="shared" si="0"/>
        <v>9463000</v>
      </c>
      <c r="F7" s="264">
        <f t="shared" si="0"/>
        <v>8964000</v>
      </c>
      <c r="G7" s="264">
        <f t="shared" si="0"/>
        <v>5025000</v>
      </c>
      <c r="H7" s="264">
        <f t="shared" si="0"/>
        <v>2000000</v>
      </c>
      <c r="I7" s="264">
        <f t="shared" si="0"/>
        <v>1000000</v>
      </c>
      <c r="J7" s="264">
        <f t="shared" si="0"/>
        <v>0</v>
      </c>
      <c r="K7" s="264">
        <f t="shared" si="0"/>
        <v>0</v>
      </c>
      <c r="L7" s="264">
        <f t="shared" si="0"/>
        <v>0</v>
      </c>
      <c r="M7" s="264">
        <f t="shared" si="0"/>
        <v>0</v>
      </c>
    </row>
    <row r="8" spans="1:13" s="39" customFormat="1" ht="15" customHeight="1">
      <c r="A8" s="42" t="s">
        <v>217</v>
      </c>
      <c r="B8" s="44" t="s">
        <v>304</v>
      </c>
      <c r="C8" s="129">
        <f aca="true" t="shared" si="1" ref="C8:H8">SUM(C9:C17)-C10</f>
        <v>4101316</v>
      </c>
      <c r="D8" s="129">
        <f t="shared" si="1"/>
        <v>2996316</v>
      </c>
      <c r="E8" s="129">
        <f t="shared" si="1"/>
        <v>1975000</v>
      </c>
      <c r="F8" s="129">
        <f t="shared" si="1"/>
        <v>1500000</v>
      </c>
      <c r="G8" s="129">
        <f t="shared" si="1"/>
        <v>1025000</v>
      </c>
      <c r="H8" s="129">
        <f t="shared" si="1"/>
        <v>0</v>
      </c>
      <c r="I8" s="129">
        <f>SUM(I9:I17)-I10</f>
        <v>0</v>
      </c>
      <c r="J8" s="129">
        <f>SUM(J9:J17)-J10</f>
        <v>0</v>
      </c>
      <c r="K8" s="129">
        <f>SUM(K9:K17)-K10</f>
        <v>0</v>
      </c>
      <c r="L8" s="129">
        <f>SUM(L9:L17)-L10</f>
        <v>0</v>
      </c>
      <c r="M8" s="129">
        <f>SUM(M9:M17)-M10</f>
        <v>0</v>
      </c>
    </row>
    <row r="9" spans="1:13" s="39" customFormat="1" ht="15" customHeight="1">
      <c r="A9" s="46" t="s">
        <v>288</v>
      </c>
      <c r="B9" s="45" t="s">
        <v>233</v>
      </c>
      <c r="C9" s="119"/>
      <c r="D9" s="119"/>
      <c r="E9" s="119"/>
      <c r="F9" s="119"/>
      <c r="G9" s="119"/>
      <c r="H9" s="119"/>
      <c r="I9" s="119"/>
      <c r="J9" s="119"/>
      <c r="K9" s="119"/>
      <c r="L9" s="119"/>
      <c r="M9" s="119"/>
    </row>
    <row r="10" spans="1:13" s="39" customFormat="1" ht="15" customHeight="1">
      <c r="A10" s="46" t="s">
        <v>289</v>
      </c>
      <c r="B10" s="45" t="s">
        <v>234</v>
      </c>
      <c r="C10" s="119">
        <f>SUM(C11:C15)</f>
        <v>4101316</v>
      </c>
      <c r="D10" s="119">
        <f aca="true" t="shared" si="2" ref="D10:M10">SUM(D11:D15)</f>
        <v>2996316</v>
      </c>
      <c r="E10" s="119">
        <f t="shared" si="2"/>
        <v>1975000</v>
      </c>
      <c r="F10" s="119">
        <f t="shared" si="2"/>
        <v>1500000</v>
      </c>
      <c r="G10" s="119">
        <f t="shared" si="2"/>
        <v>1025000</v>
      </c>
      <c r="H10" s="119">
        <f t="shared" si="2"/>
        <v>0</v>
      </c>
      <c r="I10" s="119">
        <f t="shared" si="2"/>
        <v>0</v>
      </c>
      <c r="J10" s="119">
        <f t="shared" si="2"/>
        <v>0</v>
      </c>
      <c r="K10" s="119">
        <f t="shared" si="2"/>
        <v>0</v>
      </c>
      <c r="L10" s="119">
        <f t="shared" si="2"/>
        <v>0</v>
      </c>
      <c r="M10" s="119">
        <f t="shared" si="2"/>
        <v>0</v>
      </c>
    </row>
    <row r="11" spans="1:13" s="39" customFormat="1" ht="15" customHeight="1">
      <c r="A11" s="46">
        <v>2004</v>
      </c>
      <c r="B11" s="45" t="s">
        <v>14</v>
      </c>
      <c r="C11" s="122"/>
      <c r="D11" s="119"/>
      <c r="E11" s="119"/>
      <c r="F11" s="119"/>
      <c r="G11" s="119"/>
      <c r="H11" s="119"/>
      <c r="I11" s="119"/>
      <c r="J11" s="119"/>
      <c r="K11" s="119"/>
      <c r="L11" s="119"/>
      <c r="M11" s="119"/>
    </row>
    <row r="12" spans="1:13" s="39" customFormat="1" ht="15" customHeight="1">
      <c r="A12" s="46">
        <v>2005</v>
      </c>
      <c r="B12" s="45" t="s">
        <v>111</v>
      </c>
      <c r="C12" s="122"/>
      <c r="D12" s="119"/>
      <c r="E12" s="119"/>
      <c r="F12" s="119"/>
      <c r="G12" s="119"/>
      <c r="H12" s="119"/>
      <c r="I12" s="119"/>
      <c r="J12" s="119"/>
      <c r="K12" s="119"/>
      <c r="L12" s="119"/>
      <c r="M12" s="119"/>
    </row>
    <row r="13" spans="1:13" s="39" customFormat="1" ht="15" customHeight="1">
      <c r="A13" s="46">
        <v>2006</v>
      </c>
      <c r="B13" s="45" t="s">
        <v>554</v>
      </c>
      <c r="C13" s="121">
        <v>1921316</v>
      </c>
      <c r="D13" s="119">
        <v>921316</v>
      </c>
      <c r="E13" s="119"/>
      <c r="F13" s="119"/>
      <c r="G13" s="119"/>
      <c r="H13" s="119"/>
      <c r="I13" s="119"/>
      <c r="J13" s="119"/>
      <c r="K13" s="119"/>
      <c r="L13" s="119"/>
      <c r="M13" s="119"/>
    </row>
    <row r="14" spans="1:13" s="39" customFormat="1" ht="15" customHeight="1">
      <c r="A14" s="46">
        <v>2007</v>
      </c>
      <c r="B14" s="45" t="s">
        <v>15</v>
      </c>
      <c r="C14" s="121">
        <v>950000</v>
      </c>
      <c r="D14" s="119">
        <v>900000</v>
      </c>
      <c r="E14" s="119">
        <v>850000</v>
      </c>
      <c r="F14" s="119">
        <v>425000</v>
      </c>
      <c r="G14" s="119"/>
      <c r="H14" s="119"/>
      <c r="I14" s="119"/>
      <c r="J14" s="119"/>
      <c r="K14" s="119"/>
      <c r="L14" s="119"/>
      <c r="M14" s="119"/>
    </row>
    <row r="15" spans="1:13" s="39" customFormat="1" ht="15" customHeight="1">
      <c r="A15" s="46">
        <v>2008</v>
      </c>
      <c r="B15" s="45" t="s">
        <v>102</v>
      </c>
      <c r="C15" s="121">
        <v>1230000</v>
      </c>
      <c r="D15" s="119">
        <f>800000+375000</f>
        <v>1175000</v>
      </c>
      <c r="E15" s="119">
        <f>750000+375000</f>
        <v>1125000</v>
      </c>
      <c r="F15" s="119">
        <f>700000+375000</f>
        <v>1075000</v>
      </c>
      <c r="G15" s="119">
        <f>655000+375000-5000</f>
        <v>1025000</v>
      </c>
      <c r="H15" s="119"/>
      <c r="I15" s="119"/>
      <c r="J15" s="119"/>
      <c r="K15" s="119"/>
      <c r="L15" s="119"/>
      <c r="M15" s="119"/>
    </row>
    <row r="16" spans="1:13" s="39" customFormat="1" ht="15" customHeight="1">
      <c r="A16" s="46"/>
      <c r="B16" s="45"/>
      <c r="C16" s="121"/>
      <c r="D16" s="119"/>
      <c r="E16" s="119"/>
      <c r="F16" s="119"/>
      <c r="G16" s="119"/>
      <c r="H16" s="119"/>
      <c r="I16" s="119"/>
      <c r="J16" s="119"/>
      <c r="K16" s="119"/>
      <c r="L16" s="119"/>
      <c r="M16" s="119"/>
    </row>
    <row r="17" spans="1:13" s="39" customFormat="1" ht="15" customHeight="1">
      <c r="A17" s="46" t="s">
        <v>290</v>
      </c>
      <c r="B17" s="45" t="s">
        <v>235</v>
      </c>
      <c r="C17" s="119"/>
      <c r="D17" s="119"/>
      <c r="E17" s="119"/>
      <c r="F17" s="119"/>
      <c r="G17" s="119"/>
      <c r="H17" s="119"/>
      <c r="I17" s="119"/>
      <c r="J17" s="119"/>
      <c r="K17" s="119"/>
      <c r="L17" s="119"/>
      <c r="M17" s="119"/>
    </row>
    <row r="18" spans="1:13" s="39" customFormat="1" ht="25.5">
      <c r="A18" s="42" t="s">
        <v>223</v>
      </c>
      <c r="B18" s="390" t="s">
        <v>666</v>
      </c>
      <c r="C18" s="119">
        <f aca="true" t="shared" si="3" ref="C18:M18">SUM(C19:C21)</f>
        <v>0</v>
      </c>
      <c r="D18" s="119">
        <f t="shared" si="3"/>
        <v>11620000</v>
      </c>
      <c r="E18" s="119">
        <f t="shared" si="3"/>
        <v>7488000</v>
      </c>
      <c r="F18" s="119">
        <f t="shared" si="3"/>
        <v>7464000</v>
      </c>
      <c r="G18" s="119">
        <f t="shared" si="3"/>
        <v>4000000</v>
      </c>
      <c r="H18" s="119">
        <f t="shared" si="3"/>
        <v>2000000</v>
      </c>
      <c r="I18" s="119">
        <f t="shared" si="3"/>
        <v>1000000</v>
      </c>
      <c r="J18" s="119">
        <f t="shared" si="3"/>
        <v>0</v>
      </c>
      <c r="K18" s="119">
        <f t="shared" si="3"/>
        <v>0</v>
      </c>
      <c r="L18" s="119">
        <f t="shared" si="3"/>
        <v>0</v>
      </c>
      <c r="M18" s="119">
        <f t="shared" si="3"/>
        <v>0</v>
      </c>
    </row>
    <row r="19" spans="1:13" s="39" customFormat="1" ht="15" customHeight="1">
      <c r="A19" s="46" t="s">
        <v>291</v>
      </c>
      <c r="B19" s="45" t="s">
        <v>236</v>
      </c>
      <c r="C19" s="119"/>
      <c r="D19" s="119"/>
      <c r="E19" s="119"/>
      <c r="F19" s="119"/>
      <c r="G19" s="119"/>
      <c r="H19" s="119"/>
      <c r="I19" s="119"/>
      <c r="J19" s="119"/>
      <c r="K19" s="119"/>
      <c r="L19" s="119"/>
      <c r="M19" s="119"/>
    </row>
    <row r="20" spans="1:13" s="39" customFormat="1" ht="15" customHeight="1">
      <c r="A20" s="46" t="s">
        <v>292</v>
      </c>
      <c r="B20" s="45" t="s">
        <v>237</v>
      </c>
      <c r="C20" s="119"/>
      <c r="D20" s="119">
        <v>6150000</v>
      </c>
      <c r="E20" s="119">
        <v>6000000</v>
      </c>
      <c r="F20" s="119">
        <v>5000000</v>
      </c>
      <c r="G20" s="119">
        <v>4000000</v>
      </c>
      <c r="H20" s="119">
        <v>2000000</v>
      </c>
      <c r="I20" s="119">
        <v>1000000</v>
      </c>
      <c r="J20" s="119"/>
      <c r="K20" s="119"/>
      <c r="L20" s="119"/>
      <c r="M20" s="119"/>
    </row>
    <row r="21" spans="1:14" s="39" customFormat="1" ht="15" customHeight="1">
      <c r="A21" s="46" t="s">
        <v>293</v>
      </c>
      <c r="B21" s="45" t="s">
        <v>212</v>
      </c>
      <c r="C21" s="119"/>
      <c r="D21" s="119">
        <v>5470000</v>
      </c>
      <c r="E21" s="119">
        <v>1488000</v>
      </c>
      <c r="F21" s="119">
        <v>2464000</v>
      </c>
      <c r="G21" s="119"/>
      <c r="H21" s="119"/>
      <c r="I21" s="119"/>
      <c r="J21" s="119"/>
      <c r="K21" s="119"/>
      <c r="L21" s="119"/>
      <c r="M21" s="119"/>
      <c r="N21" s="517">
        <f>SUM(D21:M21)</f>
        <v>9422000</v>
      </c>
    </row>
    <row r="22" spans="1:13" s="39" customFormat="1" ht="15" customHeight="1">
      <c r="A22" s="42" t="s">
        <v>224</v>
      </c>
      <c r="B22" s="44" t="s">
        <v>238</v>
      </c>
      <c r="C22" s="123">
        <f aca="true" t="shared" si="4" ref="C22:L22">SUM(C23:C24)</f>
        <v>0</v>
      </c>
      <c r="D22" s="123">
        <f t="shared" si="4"/>
        <v>0</v>
      </c>
      <c r="E22" s="123">
        <f t="shared" si="4"/>
        <v>0</v>
      </c>
      <c r="F22" s="123">
        <f t="shared" si="4"/>
        <v>0</v>
      </c>
      <c r="G22" s="123">
        <f t="shared" si="4"/>
        <v>0</v>
      </c>
      <c r="H22" s="123">
        <f t="shared" si="4"/>
        <v>0</v>
      </c>
      <c r="I22" s="123">
        <f t="shared" si="4"/>
        <v>0</v>
      </c>
      <c r="J22" s="123">
        <f t="shared" si="4"/>
        <v>0</v>
      </c>
      <c r="K22" s="123">
        <f t="shared" si="4"/>
        <v>0</v>
      </c>
      <c r="L22" s="123">
        <f t="shared" si="4"/>
        <v>0</v>
      </c>
      <c r="M22" s="123">
        <f>SUM(M23:M24)</f>
        <v>0</v>
      </c>
    </row>
    <row r="23" spans="1:13" s="39" customFormat="1" ht="15" customHeight="1">
      <c r="A23" s="46" t="s">
        <v>306</v>
      </c>
      <c r="B23" s="64" t="s">
        <v>308</v>
      </c>
      <c r="C23" s="124"/>
      <c r="D23" s="124"/>
      <c r="E23" s="124"/>
      <c r="F23" s="124"/>
      <c r="G23" s="124"/>
      <c r="H23" s="124"/>
      <c r="I23" s="124"/>
      <c r="J23" s="124"/>
      <c r="K23" s="124"/>
      <c r="L23" s="124"/>
      <c r="M23" s="124"/>
    </row>
    <row r="24" spans="1:13" s="39" customFormat="1" ht="15" customHeight="1">
      <c r="A24" s="46" t="s">
        <v>307</v>
      </c>
      <c r="B24" s="64" t="s">
        <v>309</v>
      </c>
      <c r="C24" s="124"/>
      <c r="D24" s="124"/>
      <c r="E24" s="124"/>
      <c r="F24" s="124"/>
      <c r="G24" s="124"/>
      <c r="H24" s="124"/>
      <c r="I24" s="124"/>
      <c r="J24" s="124"/>
      <c r="K24" s="124"/>
      <c r="L24" s="124"/>
      <c r="M24" s="124"/>
    </row>
    <row r="25" spans="1:13" s="40" customFormat="1" ht="22.5" customHeight="1">
      <c r="A25" s="38">
        <v>2</v>
      </c>
      <c r="B25" s="51" t="s">
        <v>597</v>
      </c>
      <c r="C25" s="264">
        <f aca="true" t="shared" si="5" ref="C25:M25">C26+C39+C40</f>
        <v>2280842</v>
      </c>
      <c r="D25" s="264">
        <f t="shared" si="5"/>
        <v>1610000</v>
      </c>
      <c r="E25" s="264">
        <f t="shared" si="5"/>
        <v>2268694</v>
      </c>
      <c r="F25" s="264">
        <f t="shared" si="5"/>
        <v>1774038</v>
      </c>
      <c r="G25" s="264">
        <f t="shared" si="5"/>
        <v>1763236</v>
      </c>
      <c r="H25" s="264">
        <f t="shared" si="5"/>
        <v>2166000</v>
      </c>
      <c r="I25" s="264">
        <f t="shared" si="5"/>
        <v>3555000</v>
      </c>
      <c r="J25" s="264">
        <f t="shared" si="5"/>
        <v>3788000</v>
      </c>
      <c r="K25" s="264">
        <f t="shared" si="5"/>
        <v>2118000</v>
      </c>
      <c r="L25" s="264">
        <f t="shared" si="5"/>
        <v>4809000</v>
      </c>
      <c r="M25" s="264">
        <f t="shared" si="5"/>
        <v>2065000</v>
      </c>
    </row>
    <row r="26" spans="1:13" s="40" customFormat="1" ht="15" customHeight="1">
      <c r="A26" s="38" t="s">
        <v>226</v>
      </c>
      <c r="B26" s="51" t="s">
        <v>303</v>
      </c>
      <c r="C26" s="264">
        <f>C27+C34+C38</f>
        <v>2007842</v>
      </c>
      <c r="D26" s="264">
        <f aca="true" t="shared" si="6" ref="D26:M26">D27+D34+D38</f>
        <v>1225000</v>
      </c>
      <c r="E26" s="264">
        <f t="shared" si="6"/>
        <v>1261316</v>
      </c>
      <c r="F26" s="264">
        <f t="shared" si="6"/>
        <v>717000</v>
      </c>
      <c r="G26" s="264">
        <f t="shared" si="6"/>
        <v>719000</v>
      </c>
      <c r="H26" s="264">
        <f t="shared" si="6"/>
        <v>1271000</v>
      </c>
      <c r="I26" s="264">
        <f t="shared" si="6"/>
        <v>2718000</v>
      </c>
      <c r="J26" s="264">
        <f t="shared" si="6"/>
        <v>3250000</v>
      </c>
      <c r="K26" s="264">
        <f t="shared" si="6"/>
        <v>1741000</v>
      </c>
      <c r="L26" s="264">
        <f t="shared" si="6"/>
        <v>4592000</v>
      </c>
      <c r="M26" s="264">
        <f t="shared" si="6"/>
        <v>2065000</v>
      </c>
    </row>
    <row r="27" spans="1:13" s="39" customFormat="1" ht="15" customHeight="1">
      <c r="A27" s="46" t="s">
        <v>285</v>
      </c>
      <c r="B27" s="45" t="s">
        <v>296</v>
      </c>
      <c r="C27" s="119">
        <f>SUM(C28:C32)</f>
        <v>2007842</v>
      </c>
      <c r="D27" s="119">
        <f aca="true" t="shared" si="7" ref="D27:L27">SUM(D28:D33)</f>
        <v>1105000</v>
      </c>
      <c r="E27" s="119">
        <f t="shared" si="7"/>
        <v>1021316</v>
      </c>
      <c r="F27" s="119">
        <f t="shared" si="7"/>
        <v>475000</v>
      </c>
      <c r="G27" s="119">
        <f t="shared" si="7"/>
        <v>475000</v>
      </c>
      <c r="H27" s="119">
        <f t="shared" si="7"/>
        <v>1025000</v>
      </c>
      <c r="I27" s="119">
        <f t="shared" si="7"/>
        <v>0</v>
      </c>
      <c r="J27" s="119">
        <f t="shared" si="7"/>
        <v>0</v>
      </c>
      <c r="K27" s="119">
        <f t="shared" si="7"/>
        <v>0</v>
      </c>
      <c r="L27" s="119">
        <f t="shared" si="7"/>
        <v>0</v>
      </c>
      <c r="M27" s="119">
        <f>SUM(M28:M33)</f>
        <v>0</v>
      </c>
    </row>
    <row r="28" spans="1:13" s="39" customFormat="1" ht="15" customHeight="1">
      <c r="A28" s="46"/>
      <c r="B28" s="118" t="s">
        <v>555</v>
      </c>
      <c r="C28" s="125"/>
      <c r="D28" s="119"/>
      <c r="E28" s="119"/>
      <c r="F28" s="119"/>
      <c r="G28" s="119"/>
      <c r="H28" s="119"/>
      <c r="I28" s="119"/>
      <c r="J28" s="119"/>
      <c r="K28" s="119"/>
      <c r="L28" s="119"/>
      <c r="M28" s="119"/>
    </row>
    <row r="29" spans="1:13" s="39" customFormat="1" ht="15" customHeight="1">
      <c r="A29" s="46"/>
      <c r="B29" s="118" t="s">
        <v>556</v>
      </c>
      <c r="C29" s="125">
        <v>157842</v>
      </c>
      <c r="D29" s="117"/>
      <c r="E29" s="119"/>
      <c r="F29" s="119"/>
      <c r="G29" s="126"/>
      <c r="H29" s="119"/>
      <c r="I29" s="119"/>
      <c r="J29" s="119"/>
      <c r="K29" s="119"/>
      <c r="L29" s="119"/>
      <c r="M29" s="119"/>
    </row>
    <row r="30" spans="1:13" s="39" customFormat="1" ht="15" customHeight="1">
      <c r="A30" s="46"/>
      <c r="B30" s="118" t="s">
        <v>557</v>
      </c>
      <c r="C30" s="125">
        <v>800000</v>
      </c>
      <c r="E30" s="119"/>
      <c r="F30" s="119"/>
      <c r="G30" s="126"/>
      <c r="H30" s="119"/>
      <c r="I30" s="119"/>
      <c r="J30" s="119"/>
      <c r="K30" s="119"/>
      <c r="L30" s="119"/>
      <c r="M30" s="119"/>
    </row>
    <row r="31" spans="1:13" s="39" customFormat="1" ht="15" customHeight="1">
      <c r="A31" s="46"/>
      <c r="B31" s="118" t="s">
        <v>558</v>
      </c>
      <c r="C31" s="125">
        <v>1000000</v>
      </c>
      <c r="D31" s="127">
        <v>1000000</v>
      </c>
      <c r="E31" s="128">
        <v>921316</v>
      </c>
      <c r="F31" s="117"/>
      <c r="G31" s="119"/>
      <c r="H31" s="119"/>
      <c r="I31" s="119"/>
      <c r="J31" s="119"/>
      <c r="K31" s="119"/>
      <c r="L31" s="119"/>
      <c r="M31" s="119"/>
    </row>
    <row r="32" spans="1:13" s="39" customFormat="1" ht="15" customHeight="1">
      <c r="A32" s="46"/>
      <c r="B32" s="118" t="s">
        <v>560</v>
      </c>
      <c r="C32" s="119">
        <v>50000</v>
      </c>
      <c r="D32" s="127">
        <v>50000</v>
      </c>
      <c r="E32" s="128">
        <v>50000</v>
      </c>
      <c r="F32" s="126">
        <v>425000</v>
      </c>
      <c r="G32" s="119">
        <v>425000</v>
      </c>
      <c r="H32" s="117"/>
      <c r="I32" s="117"/>
      <c r="J32" s="117"/>
      <c r="K32" s="117"/>
      <c r="L32" s="117"/>
      <c r="M32" s="117"/>
    </row>
    <row r="33" spans="1:13" s="39" customFormat="1" ht="15" customHeight="1">
      <c r="A33" s="46"/>
      <c r="B33" s="118" t="s">
        <v>116</v>
      </c>
      <c r="C33" s="119"/>
      <c r="D33" s="127">
        <v>55000</v>
      </c>
      <c r="E33" s="128">
        <v>50000</v>
      </c>
      <c r="F33" s="126">
        <v>50000</v>
      </c>
      <c r="G33" s="119">
        <v>50000</v>
      </c>
      <c r="H33" s="280">
        <v>1025000</v>
      </c>
      <c r="I33" s="280"/>
      <c r="J33" s="280"/>
      <c r="K33" s="280"/>
      <c r="L33" s="280"/>
      <c r="M33" s="280"/>
    </row>
    <row r="34" spans="1:13" s="39" customFormat="1" ht="15" customHeight="1">
      <c r="A34" s="46" t="s">
        <v>286</v>
      </c>
      <c r="B34" s="45" t="s">
        <v>298</v>
      </c>
      <c r="C34" s="119">
        <f>SUM(C35:C38)</f>
        <v>0</v>
      </c>
      <c r="D34" s="119">
        <f>SUM(D35:D37)</f>
        <v>0</v>
      </c>
      <c r="E34" s="119">
        <f aca="true" t="shared" si="8" ref="E34:M34">SUM(E35:E37)</f>
        <v>0</v>
      </c>
      <c r="F34" s="119">
        <f t="shared" si="8"/>
        <v>0</v>
      </c>
      <c r="G34" s="119">
        <f t="shared" si="8"/>
        <v>0</v>
      </c>
      <c r="H34" s="119">
        <f t="shared" si="8"/>
        <v>0</v>
      </c>
      <c r="I34" s="119">
        <f t="shared" si="8"/>
        <v>2470000</v>
      </c>
      <c r="J34" s="119">
        <f t="shared" si="8"/>
        <v>3000000</v>
      </c>
      <c r="K34" s="119">
        <f t="shared" si="8"/>
        <v>1488000</v>
      </c>
      <c r="L34" s="119">
        <f t="shared" si="8"/>
        <v>2464000</v>
      </c>
      <c r="M34" s="119">
        <f t="shared" si="8"/>
        <v>0</v>
      </c>
    </row>
    <row r="35" spans="1:13" s="39" customFormat="1" ht="15" customHeight="1">
      <c r="A35" s="46"/>
      <c r="B35" s="45" t="s">
        <v>664</v>
      </c>
      <c r="C35" s="119"/>
      <c r="D35" s="119"/>
      <c r="E35" s="119"/>
      <c r="F35" s="119"/>
      <c r="G35" s="119"/>
      <c r="H35" s="119"/>
      <c r="I35" s="119">
        <v>2470000</v>
      </c>
      <c r="J35" s="119">
        <v>3000000</v>
      </c>
      <c r="K35" s="119"/>
      <c r="L35" s="119"/>
      <c r="M35" s="119"/>
    </row>
    <row r="36" spans="1:13" s="39" customFormat="1" ht="15" customHeight="1">
      <c r="A36" s="46"/>
      <c r="B36" s="45" t="s">
        <v>665</v>
      </c>
      <c r="C36" s="119"/>
      <c r="D36" s="119"/>
      <c r="E36" s="119"/>
      <c r="F36" s="119"/>
      <c r="G36" s="119"/>
      <c r="H36" s="119"/>
      <c r="I36" s="119"/>
      <c r="J36" s="119"/>
      <c r="K36" s="119">
        <v>1488000</v>
      </c>
      <c r="L36" s="119"/>
      <c r="M36" s="119"/>
    </row>
    <row r="37" spans="1:13" s="39" customFormat="1" ht="15" customHeight="1">
      <c r="A37" s="46"/>
      <c r="B37" s="45" t="s">
        <v>711</v>
      </c>
      <c r="C37" s="119"/>
      <c r="D37" s="119"/>
      <c r="E37" s="119"/>
      <c r="F37" s="119"/>
      <c r="G37" s="119"/>
      <c r="H37" s="119"/>
      <c r="I37" s="119"/>
      <c r="J37" s="119"/>
      <c r="K37" s="119"/>
      <c r="L37" s="119">
        <v>2464000</v>
      </c>
      <c r="M37" s="119"/>
    </row>
    <row r="38" spans="1:13" s="39" customFormat="1" ht="15" customHeight="1">
      <c r="A38" s="46" t="s">
        <v>287</v>
      </c>
      <c r="B38" s="45" t="s">
        <v>297</v>
      </c>
      <c r="C38" s="119"/>
      <c r="D38" s="119">
        <v>120000</v>
      </c>
      <c r="E38" s="119">
        <v>240000</v>
      </c>
      <c r="F38" s="119">
        <v>242000</v>
      </c>
      <c r="G38" s="119">
        <v>244000</v>
      </c>
      <c r="H38" s="119">
        <v>246000</v>
      </c>
      <c r="I38" s="119">
        <v>248000</v>
      </c>
      <c r="J38" s="119">
        <v>250000</v>
      </c>
      <c r="K38" s="119">
        <v>253000</v>
      </c>
      <c r="L38" s="119">
        <v>2128000</v>
      </c>
      <c r="M38" s="119">
        <v>2065000</v>
      </c>
    </row>
    <row r="39" spans="1:13" s="39" customFormat="1" ht="15" customHeight="1">
      <c r="A39" s="42" t="s">
        <v>227</v>
      </c>
      <c r="B39" s="44" t="s">
        <v>295</v>
      </c>
      <c r="C39" s="129">
        <v>0</v>
      </c>
      <c r="D39" s="129">
        <v>0</v>
      </c>
      <c r="E39" s="129">
        <v>0</v>
      </c>
      <c r="F39" s="129">
        <v>0</v>
      </c>
      <c r="G39" s="129"/>
      <c r="H39" s="129"/>
      <c r="I39" s="129"/>
      <c r="J39" s="129"/>
      <c r="K39" s="129"/>
      <c r="L39" s="129"/>
      <c r="M39" s="129"/>
    </row>
    <row r="40" spans="1:13" s="63" customFormat="1" ht="14.25" customHeight="1">
      <c r="A40" s="42" t="s">
        <v>284</v>
      </c>
      <c r="B40" s="44" t="s">
        <v>294</v>
      </c>
      <c r="C40" s="129">
        <f>267000+6000</f>
        <v>273000</v>
      </c>
      <c r="D40" s="129">
        <f>2!E176</f>
        <v>385000</v>
      </c>
      <c r="E40" s="129">
        <f>40000+5000+47378+37000+602000+420000-144000</f>
        <v>1007378</v>
      </c>
      <c r="F40" s="129">
        <f>37038+35000+806000+350000-171000</f>
        <v>1057038</v>
      </c>
      <c r="G40" s="129">
        <f>14236+32000+912000+280000-194000</f>
        <v>1044236</v>
      </c>
      <c r="H40" s="202">
        <f>16000+939000+140000-200000</f>
        <v>895000</v>
      </c>
      <c r="I40" s="202">
        <f>5000+968000+70000-206000</f>
        <v>837000</v>
      </c>
      <c r="J40" s="202">
        <f>650000-112000</f>
        <v>538000</v>
      </c>
      <c r="K40" s="202">
        <f>423000-46000</f>
        <v>377000</v>
      </c>
      <c r="L40" s="202">
        <v>217000</v>
      </c>
      <c r="M40" s="202"/>
    </row>
    <row r="41" spans="1:13" s="40" customFormat="1" ht="22.5" customHeight="1">
      <c r="A41" s="38" t="s">
        <v>144</v>
      </c>
      <c r="B41" s="51" t="s">
        <v>239</v>
      </c>
      <c r="C41" s="391">
        <v>48993479</v>
      </c>
      <c r="D41" s="120">
        <f>1!E147</f>
        <v>55203004</v>
      </c>
      <c r="E41" s="120">
        <f aca="true" t="shared" si="9" ref="E41:M41">ROUND(D41+(D41*5%),-3)</f>
        <v>57963000</v>
      </c>
      <c r="F41" s="120">
        <f t="shared" si="9"/>
        <v>60861000</v>
      </c>
      <c r="G41" s="120">
        <f t="shared" si="9"/>
        <v>63904000</v>
      </c>
      <c r="H41" s="120">
        <f t="shared" si="9"/>
        <v>67099000</v>
      </c>
      <c r="I41" s="120">
        <f t="shared" si="9"/>
        <v>70454000</v>
      </c>
      <c r="J41" s="120">
        <f t="shared" si="9"/>
        <v>73977000</v>
      </c>
      <c r="K41" s="120">
        <f t="shared" si="9"/>
        <v>77676000</v>
      </c>
      <c r="L41" s="120">
        <f t="shared" si="9"/>
        <v>81560000</v>
      </c>
      <c r="M41" s="120">
        <f t="shared" si="9"/>
        <v>85638000</v>
      </c>
    </row>
    <row r="42" spans="1:13" s="59" customFormat="1" ht="22.5" customHeight="1">
      <c r="A42" s="38" t="s">
        <v>132</v>
      </c>
      <c r="B42" s="51" t="s">
        <v>257</v>
      </c>
      <c r="C42" s="120">
        <v>50261239</v>
      </c>
      <c r="D42" s="120">
        <f>2!E657</f>
        <v>67188804</v>
      </c>
      <c r="E42" s="120">
        <f>ROUND(D42+(D42*4%)-13056000+2616000,-3)</f>
        <v>59436000</v>
      </c>
      <c r="F42" s="120">
        <f>F41+2464000</f>
        <v>63325000</v>
      </c>
      <c r="G42" s="120">
        <f>ROUND(F42+(F42*4%)-2464000,-3)</f>
        <v>63394000</v>
      </c>
      <c r="H42" s="120">
        <f aca="true" t="shared" si="10" ref="H42:M42">ROUND(G42+(G42*4%),-3)</f>
        <v>65930000</v>
      </c>
      <c r="I42" s="120">
        <f t="shared" si="10"/>
        <v>68567000</v>
      </c>
      <c r="J42" s="120">
        <f t="shared" si="10"/>
        <v>71310000</v>
      </c>
      <c r="K42" s="120">
        <f t="shared" si="10"/>
        <v>74162000</v>
      </c>
      <c r="L42" s="120">
        <f t="shared" si="10"/>
        <v>77128000</v>
      </c>
      <c r="M42" s="120">
        <f t="shared" si="10"/>
        <v>80213000</v>
      </c>
    </row>
    <row r="43" spans="1:13" s="59" customFormat="1" ht="22.5" customHeight="1">
      <c r="A43" s="38" t="s">
        <v>149</v>
      </c>
      <c r="B43" s="51" t="s">
        <v>258</v>
      </c>
      <c r="C43" s="120">
        <f>C41-C42</f>
        <v>-1267760</v>
      </c>
      <c r="D43" s="120">
        <f aca="true" t="shared" si="11" ref="D43:I43">D41-D42</f>
        <v>-11985800</v>
      </c>
      <c r="E43" s="120">
        <f t="shared" si="11"/>
        <v>-1473000</v>
      </c>
      <c r="F43" s="120">
        <f t="shared" si="11"/>
        <v>-2464000</v>
      </c>
      <c r="G43" s="120">
        <f t="shared" si="11"/>
        <v>510000</v>
      </c>
      <c r="H43" s="120">
        <f t="shared" si="11"/>
        <v>1169000</v>
      </c>
      <c r="I43" s="120">
        <f t="shared" si="11"/>
        <v>1887000</v>
      </c>
      <c r="J43" s="120">
        <f>J41-J42</f>
        <v>2667000</v>
      </c>
      <c r="K43" s="120">
        <f>K41-K42</f>
        <v>3514000</v>
      </c>
      <c r="L43" s="120">
        <f>L41-L42</f>
        <v>4432000</v>
      </c>
      <c r="M43" s="120">
        <f>M41-M42</f>
        <v>5425000</v>
      </c>
    </row>
    <row r="44" spans="1:13" s="40" customFormat="1" ht="22.5" customHeight="1">
      <c r="A44" s="38" t="s">
        <v>152</v>
      </c>
      <c r="B44" s="51" t="s">
        <v>240</v>
      </c>
      <c r="C44" s="120"/>
      <c r="D44" s="120"/>
      <c r="E44" s="120"/>
      <c r="F44" s="120"/>
      <c r="G44" s="120"/>
      <c r="H44" s="120"/>
      <c r="I44" s="120"/>
      <c r="J44" s="120"/>
      <c r="K44" s="120"/>
      <c r="L44" s="120"/>
      <c r="M44" s="120"/>
    </row>
    <row r="45" spans="1:13" s="39" customFormat="1" ht="15" customHeight="1">
      <c r="A45" s="42" t="s">
        <v>299</v>
      </c>
      <c r="B45" s="43" t="s">
        <v>599</v>
      </c>
      <c r="C45" s="130">
        <f aca="true" t="shared" si="12" ref="C45:M45">(C7-C22)/C41</f>
        <v>0.08371146698931096</v>
      </c>
      <c r="D45" s="130">
        <f t="shared" si="12"/>
        <v>0.26477392425962903</v>
      </c>
      <c r="E45" s="130">
        <f t="shared" si="12"/>
        <v>0.1632593206010731</v>
      </c>
      <c r="F45" s="130">
        <f t="shared" si="12"/>
        <v>0.14728643959185686</v>
      </c>
      <c r="G45" s="130">
        <f t="shared" si="12"/>
        <v>0.07863357536304456</v>
      </c>
      <c r="H45" s="130">
        <f t="shared" si="12"/>
        <v>0.029806703527623362</v>
      </c>
      <c r="I45" s="130">
        <f t="shared" si="12"/>
        <v>0.014193658273483407</v>
      </c>
      <c r="J45" s="130">
        <f t="shared" si="12"/>
        <v>0</v>
      </c>
      <c r="K45" s="130">
        <f t="shared" si="12"/>
        <v>0</v>
      </c>
      <c r="L45" s="130">
        <f t="shared" si="12"/>
        <v>0</v>
      </c>
      <c r="M45" s="130">
        <f t="shared" si="12"/>
        <v>0</v>
      </c>
    </row>
    <row r="46" spans="1:13" s="39" customFormat="1" ht="28.5" customHeight="1">
      <c r="A46" s="42" t="s">
        <v>300</v>
      </c>
      <c r="B46" s="43" t="s">
        <v>598</v>
      </c>
      <c r="C46" s="130">
        <f aca="true" t="shared" si="13" ref="C46:M46">(C8+C18)/C41</f>
        <v>0.08371146698931096</v>
      </c>
      <c r="D46" s="130">
        <f t="shared" si="13"/>
        <v>0.26477392425962903</v>
      </c>
      <c r="E46" s="130">
        <f t="shared" si="13"/>
        <v>0.1632593206010731</v>
      </c>
      <c r="F46" s="130">
        <f t="shared" si="13"/>
        <v>0.14728643959185686</v>
      </c>
      <c r="G46" s="130">
        <f t="shared" si="13"/>
        <v>0.07863357536304456</v>
      </c>
      <c r="H46" s="130">
        <f t="shared" si="13"/>
        <v>0.029806703527623362</v>
      </c>
      <c r="I46" s="130">
        <f t="shared" si="13"/>
        <v>0.014193658273483407</v>
      </c>
      <c r="J46" s="130">
        <f t="shared" si="13"/>
        <v>0</v>
      </c>
      <c r="K46" s="130">
        <f t="shared" si="13"/>
        <v>0</v>
      </c>
      <c r="L46" s="130">
        <f t="shared" si="13"/>
        <v>0</v>
      </c>
      <c r="M46" s="130">
        <f t="shared" si="13"/>
        <v>0</v>
      </c>
    </row>
    <row r="47" spans="1:13" s="39" customFormat="1" ht="15" customHeight="1">
      <c r="A47" s="42" t="s">
        <v>301</v>
      </c>
      <c r="B47" s="43" t="s">
        <v>310</v>
      </c>
      <c r="C47" s="130">
        <f aca="true" t="shared" si="14" ref="C47:L47">C25/C41</f>
        <v>0.04655399139954931</v>
      </c>
      <c r="D47" s="130">
        <f t="shared" si="14"/>
        <v>0.029165079494586924</v>
      </c>
      <c r="E47" s="130">
        <f t="shared" si="14"/>
        <v>0.039140382657902456</v>
      </c>
      <c r="F47" s="130">
        <f t="shared" si="14"/>
        <v>0.029149011682358162</v>
      </c>
      <c r="G47" s="130">
        <f t="shared" si="14"/>
        <v>0.02759195042563846</v>
      </c>
      <c r="H47" s="130">
        <f t="shared" si="14"/>
        <v>0.0322806599204161</v>
      </c>
      <c r="I47" s="130">
        <f t="shared" si="14"/>
        <v>0.05045845516223351</v>
      </c>
      <c r="J47" s="130">
        <f t="shared" si="14"/>
        <v>0.05120510428917096</v>
      </c>
      <c r="K47" s="130">
        <f t="shared" si="14"/>
        <v>0.027267109531901746</v>
      </c>
      <c r="L47" s="130">
        <f t="shared" si="14"/>
        <v>0.05896272682687592</v>
      </c>
      <c r="M47" s="130">
        <f>M25/M41</f>
        <v>0.024113127350008173</v>
      </c>
    </row>
    <row r="48" spans="1:13" s="39" customFormat="1" ht="25.5" customHeight="1">
      <c r="A48" s="42" t="s">
        <v>302</v>
      </c>
      <c r="B48" s="43" t="s">
        <v>311</v>
      </c>
      <c r="C48" s="130">
        <f>(C26+C40)/C41</f>
        <v>0.04655399139954931</v>
      </c>
      <c r="D48" s="130">
        <f>(D26+D40)/D41</f>
        <v>0.029165079494586924</v>
      </c>
      <c r="E48" s="130">
        <f aca="true" t="shared" si="15" ref="E48:M48">(E26+D40)/E41</f>
        <v>0.028402877697841725</v>
      </c>
      <c r="F48" s="130">
        <f t="shared" si="15"/>
        <v>0.028333054008314026</v>
      </c>
      <c r="G48" s="130">
        <f t="shared" si="15"/>
        <v>0.02779228217325989</v>
      </c>
      <c r="H48" s="130">
        <f t="shared" si="15"/>
        <v>0.034504776524240305</v>
      </c>
      <c r="I48" s="130">
        <f t="shared" si="15"/>
        <v>0.05128168734209555</v>
      </c>
      <c r="J48" s="130">
        <f t="shared" si="15"/>
        <v>0.05524690106384417</v>
      </c>
      <c r="K48" s="130">
        <f t="shared" si="15"/>
        <v>0.02933982182398682</v>
      </c>
      <c r="L48" s="130">
        <f t="shared" si="15"/>
        <v>0.06092447278077489</v>
      </c>
      <c r="M48" s="130">
        <f t="shared" si="15"/>
        <v>0.02664704920712768</v>
      </c>
    </row>
    <row r="50" spans="4:13" ht="12.75">
      <c r="D50" s="67" t="s">
        <v>715</v>
      </c>
      <c r="E50" s="67">
        <v>6920000</v>
      </c>
      <c r="F50" s="67">
        <v>9536000</v>
      </c>
      <c r="G50" s="67">
        <v>12000000</v>
      </c>
      <c r="H50" s="67">
        <v>12000000</v>
      </c>
      <c r="I50" s="67">
        <v>12000000</v>
      </c>
      <c r="J50" s="67">
        <f>12000000-3920000</f>
        <v>8080000</v>
      </c>
      <c r="K50" s="67">
        <f>J50-3000000</f>
        <v>5080000</v>
      </c>
      <c r="L50" s="67">
        <f>K50-2616000</f>
        <v>2464000</v>
      </c>
      <c r="M50" s="67">
        <f>L50-2616000</f>
        <v>-152000</v>
      </c>
    </row>
    <row r="51" spans="4:13" ht="12.75">
      <c r="D51" s="67"/>
      <c r="E51" s="67"/>
      <c r="F51" s="67"/>
      <c r="G51" s="67"/>
      <c r="H51" s="67"/>
      <c r="I51" s="67"/>
      <c r="J51" s="67"/>
      <c r="K51" s="67"/>
      <c r="L51" s="67"/>
      <c r="M51" s="67"/>
    </row>
    <row r="52" spans="4:13" ht="12.75">
      <c r="D52" s="67" t="s">
        <v>716</v>
      </c>
      <c r="E52" s="67">
        <v>2009</v>
      </c>
      <c r="F52" s="67">
        <v>2010</v>
      </c>
      <c r="G52" s="67">
        <v>2011</v>
      </c>
      <c r="H52" s="67">
        <v>2012</v>
      </c>
      <c r="I52" s="67">
        <v>2013</v>
      </c>
      <c r="J52" s="67">
        <v>2014</v>
      </c>
      <c r="K52" s="67">
        <v>2015</v>
      </c>
      <c r="L52" s="67">
        <v>2016</v>
      </c>
      <c r="M52" s="67">
        <v>2016</v>
      </c>
    </row>
    <row r="53" spans="4:13" ht="12.75">
      <c r="D53" s="67"/>
      <c r="E53" s="67"/>
      <c r="F53" s="67"/>
      <c r="G53" s="67"/>
      <c r="H53" s="67"/>
      <c r="I53" s="67"/>
      <c r="J53" s="67"/>
      <c r="K53" s="67"/>
      <c r="L53" s="67"/>
      <c r="M53" s="67"/>
    </row>
    <row r="54" spans="4:13" ht="12.75">
      <c r="D54" s="67"/>
      <c r="E54" s="67">
        <v>602000</v>
      </c>
      <c r="F54" s="67">
        <v>806000</v>
      </c>
      <c r="G54" s="67">
        <v>912000</v>
      </c>
      <c r="H54" s="67">
        <v>939000</v>
      </c>
      <c r="I54" s="67">
        <v>968000</v>
      </c>
      <c r="J54" s="67">
        <v>650000</v>
      </c>
      <c r="K54" s="67">
        <v>423000</v>
      </c>
      <c r="L54" s="67">
        <v>217000</v>
      </c>
      <c r="M54" s="67">
        <v>217000</v>
      </c>
    </row>
    <row r="56" spans="4:6" ht="12.75">
      <c r="D56" s="67" t="s">
        <v>717</v>
      </c>
      <c r="E56" s="67"/>
      <c r="F56" s="67"/>
    </row>
    <row r="57" spans="4:11" ht="12.75">
      <c r="D57" s="67" t="s">
        <v>718</v>
      </c>
      <c r="E57" s="67"/>
      <c r="F57" s="67"/>
      <c r="I57" s="67"/>
      <c r="J57" s="67"/>
      <c r="K57" s="67"/>
    </row>
    <row r="58" spans="4:11" ht="12.75">
      <c r="D58" s="67" t="s">
        <v>713</v>
      </c>
      <c r="E58" s="67">
        <v>2000000</v>
      </c>
      <c r="F58" s="67"/>
      <c r="I58" s="67"/>
      <c r="J58" s="67" t="s">
        <v>721</v>
      </c>
      <c r="K58" s="67"/>
    </row>
    <row r="59" spans="4:11" ht="12.75">
      <c r="D59" s="67" t="s">
        <v>714</v>
      </c>
      <c r="E59" s="67"/>
      <c r="F59" s="67">
        <v>568000</v>
      </c>
      <c r="I59" s="67"/>
      <c r="J59" s="67"/>
      <c r="K59" s="67" t="s">
        <v>722</v>
      </c>
    </row>
    <row r="62" spans="4:13" ht="12.75">
      <c r="D62" s="426" t="s">
        <v>719</v>
      </c>
      <c r="E62" s="67"/>
      <c r="F62" s="67"/>
      <c r="G62" s="67"/>
      <c r="H62" s="67"/>
      <c r="I62" s="67"/>
      <c r="J62" s="67"/>
      <c r="K62" s="67"/>
      <c r="L62" s="67"/>
      <c r="M62" s="67"/>
    </row>
    <row r="63" spans="4:13" ht="12.75">
      <c r="D63" s="67"/>
      <c r="E63" s="67"/>
      <c r="F63" s="67"/>
      <c r="G63" s="67"/>
      <c r="H63" s="67"/>
      <c r="I63" s="67"/>
      <c r="J63" s="67"/>
      <c r="K63" s="67"/>
      <c r="L63" s="67"/>
      <c r="M63" s="67"/>
    </row>
    <row r="64" spans="4:13" s="74" customFormat="1" ht="12.75">
      <c r="D64" s="79" t="s">
        <v>730</v>
      </c>
      <c r="E64" s="79">
        <v>144000</v>
      </c>
      <c r="F64" s="79">
        <v>148320</v>
      </c>
      <c r="G64" s="79">
        <v>152769</v>
      </c>
      <c r="H64" s="79">
        <v>157352</v>
      </c>
      <c r="I64" s="79">
        <v>162073</v>
      </c>
      <c r="J64" s="79">
        <v>66774</v>
      </c>
      <c r="K64" s="79"/>
      <c r="L64" s="79">
        <v>831289</v>
      </c>
      <c r="M64" s="79">
        <v>831289</v>
      </c>
    </row>
    <row r="65" spans="4:13" ht="12.75">
      <c r="D65" s="67" t="s">
        <v>720</v>
      </c>
      <c r="E65" s="79"/>
      <c r="F65" s="79">
        <v>22720</v>
      </c>
      <c r="G65" s="79">
        <v>41464</v>
      </c>
      <c r="H65" s="79">
        <v>42708</v>
      </c>
      <c r="I65" s="79">
        <v>43989</v>
      </c>
      <c r="J65" s="79">
        <v>45309</v>
      </c>
      <c r="K65" s="79">
        <v>46668</v>
      </c>
      <c r="L65" s="79">
        <v>242858</v>
      </c>
      <c r="M65" s="79">
        <v>242858</v>
      </c>
    </row>
    <row r="66" spans="4:13" ht="12.75">
      <c r="D66" s="67"/>
      <c r="E66" s="67"/>
      <c r="F66" s="67"/>
      <c r="G66" s="67"/>
      <c r="H66" s="67"/>
      <c r="I66" s="67"/>
      <c r="J66" s="67"/>
      <c r="K66" s="67"/>
      <c r="L66" s="67"/>
      <c r="M66" s="67"/>
    </row>
    <row r="67" spans="4:13" ht="12.75">
      <c r="D67" s="67" t="s">
        <v>729</v>
      </c>
      <c r="E67" s="79">
        <v>144000</v>
      </c>
      <c r="F67" s="79">
        <v>171040</v>
      </c>
      <c r="G67" s="79">
        <v>194233</v>
      </c>
      <c r="H67" s="79">
        <v>200060</v>
      </c>
      <c r="I67" s="79">
        <v>206062</v>
      </c>
      <c r="J67" s="79">
        <v>112083</v>
      </c>
      <c r="K67" s="79">
        <v>46668</v>
      </c>
      <c r="L67" s="79">
        <v>1074147</v>
      </c>
      <c r="M67" s="79">
        <v>1074147</v>
      </c>
    </row>
    <row r="68" spans="4:13" ht="12.75">
      <c r="D68" s="67"/>
      <c r="E68" s="67"/>
      <c r="F68" s="67"/>
      <c r="G68" s="67"/>
      <c r="H68" s="67"/>
      <c r="I68" s="67"/>
      <c r="J68" s="67"/>
      <c r="K68" s="67"/>
      <c r="L68" s="67"/>
      <c r="M68" s="67"/>
    </row>
    <row r="69" spans="4:13" ht="38.25">
      <c r="D69" s="506" t="s">
        <v>733</v>
      </c>
      <c r="E69" s="67">
        <v>144000</v>
      </c>
      <c r="F69" s="67">
        <v>171000</v>
      </c>
      <c r="G69" s="67">
        <v>194000</v>
      </c>
      <c r="H69" s="67">
        <v>200000</v>
      </c>
      <c r="I69" s="67">
        <v>206000</v>
      </c>
      <c r="J69" s="67">
        <v>112000</v>
      </c>
      <c r="K69" s="67">
        <v>46000</v>
      </c>
      <c r="L69" s="67">
        <f>SUM(E69:K69)</f>
        <v>1073000</v>
      </c>
      <c r="M69" s="67">
        <f>SUM(F69:L69)</f>
        <v>2002000</v>
      </c>
    </row>
    <row r="72" spans="4:15" ht="63.75">
      <c r="D72" s="44" t="s">
        <v>723</v>
      </c>
      <c r="E72" s="129"/>
      <c r="F72" s="129"/>
      <c r="G72" s="129">
        <v>166</v>
      </c>
      <c r="H72" s="129">
        <v>365</v>
      </c>
      <c r="I72" s="129">
        <v>365</v>
      </c>
      <c r="J72" s="129">
        <v>365</v>
      </c>
      <c r="K72" s="202">
        <v>365</v>
      </c>
      <c r="L72" s="202">
        <v>365</v>
      </c>
      <c r="M72" s="202">
        <v>365</v>
      </c>
      <c r="N72" s="202"/>
      <c r="O72" s="501"/>
    </row>
    <row r="73" spans="4:15" ht="38.25">
      <c r="D73" s="44" t="s">
        <v>724</v>
      </c>
      <c r="E73" s="129"/>
      <c r="F73" s="129"/>
      <c r="G73" s="129"/>
      <c r="H73" s="129">
        <f>6920000*7.2%</f>
        <v>498240.00000000006</v>
      </c>
      <c r="I73" s="129">
        <f>H73*103%</f>
        <v>513187.20000000007</v>
      </c>
      <c r="J73" s="129">
        <f>I73*103%</f>
        <v>528582.8160000001</v>
      </c>
      <c r="K73" s="129">
        <f>J73*103%</f>
        <v>544440.3004800001</v>
      </c>
      <c r="L73" s="129">
        <f>K73*103%/365*365</f>
        <v>560773.5094944001</v>
      </c>
      <c r="M73" s="129">
        <f>L73*103%/365*365</f>
        <v>577596.7147792322</v>
      </c>
      <c r="N73" s="202"/>
      <c r="O73" s="202"/>
    </row>
    <row r="74" spans="4:15" ht="63.75">
      <c r="D74" s="44" t="s">
        <v>725</v>
      </c>
      <c r="E74" s="129"/>
      <c r="F74" s="129"/>
      <c r="H74" s="129">
        <v>200</v>
      </c>
      <c r="I74" s="129">
        <v>365</v>
      </c>
      <c r="J74" s="129">
        <v>365</v>
      </c>
      <c r="K74" s="129">
        <v>365</v>
      </c>
      <c r="L74" s="202">
        <v>365</v>
      </c>
      <c r="M74" s="202">
        <v>365</v>
      </c>
      <c r="N74" s="202">
        <v>365</v>
      </c>
      <c r="O74" s="202"/>
    </row>
    <row r="75" spans="4:15" ht="38.25">
      <c r="D75" s="44" t="s">
        <v>726</v>
      </c>
      <c r="E75" s="129"/>
      <c r="F75" s="129"/>
      <c r="G75" s="129"/>
      <c r="H75" s="129">
        <f>2616000*7.3%/365*200</f>
        <v>104640.00000000001</v>
      </c>
      <c r="I75" s="129">
        <f>2616000*7.3%</f>
        <v>190968</v>
      </c>
      <c r="J75" s="129">
        <f>I75*103%</f>
        <v>196697.04</v>
      </c>
      <c r="K75" s="129">
        <f>J75*103%</f>
        <v>202597.9512</v>
      </c>
      <c r="L75" s="129">
        <f>K75*103%</f>
        <v>208675.889736</v>
      </c>
      <c r="M75" s="129">
        <f>L75*103%</f>
        <v>214936.16642808003</v>
      </c>
      <c r="N75" s="129">
        <f>M75*103%</f>
        <v>221384.25142092243</v>
      </c>
      <c r="O75" s="202"/>
    </row>
    <row r="76" spans="4:15" ht="63.75">
      <c r="D76" s="44" t="s">
        <v>727</v>
      </c>
      <c r="E76" s="129"/>
      <c r="F76" s="129"/>
      <c r="H76" s="67"/>
      <c r="I76" s="129">
        <v>200</v>
      </c>
      <c r="J76" s="129">
        <v>365</v>
      </c>
      <c r="K76" s="129">
        <v>365</v>
      </c>
      <c r="L76" s="129">
        <v>365</v>
      </c>
      <c r="M76" s="129">
        <v>365</v>
      </c>
      <c r="N76" s="202">
        <v>365</v>
      </c>
      <c r="O76" s="202">
        <v>365</v>
      </c>
    </row>
    <row r="77" spans="4:15" ht="38.25">
      <c r="D77" s="44" t="s">
        <v>728</v>
      </c>
      <c r="E77" s="129"/>
      <c r="F77" s="129"/>
      <c r="G77" s="129"/>
      <c r="H77" s="129"/>
      <c r="I77" s="129">
        <f>2464000*7.6%/365*200</f>
        <v>102610.41095890412</v>
      </c>
      <c r="J77" s="129">
        <f>2464000*7.6%</f>
        <v>187264</v>
      </c>
      <c r="K77" s="129">
        <f>J77*103%</f>
        <v>192881.92</v>
      </c>
      <c r="L77" s="129">
        <f>K77*103%</f>
        <v>198668.3776</v>
      </c>
      <c r="M77" s="129">
        <f>L77*103%</f>
        <v>204628.428928</v>
      </c>
      <c r="N77" s="129">
        <f>M77*103%</f>
        <v>210767.28179584</v>
      </c>
      <c r="O77" s="129">
        <f>N77*103%</f>
        <v>217090.30024971522</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P664"/>
  <sheetViews>
    <sheetView tabSelected="1" zoomScale="75" zoomScaleNormal="75" zoomScalePageLayoutView="0" workbookViewId="0" topLeftCell="A323">
      <selection activeCell="A324" sqref="A324"/>
    </sheetView>
  </sheetViews>
  <sheetFormatPr defaultColWidth="9.00390625" defaultRowHeight="12.75"/>
  <cols>
    <col min="1" max="1" width="7.75390625" style="284" customWidth="1"/>
    <col min="2" max="2" width="12.625" style="284" bestFit="1" customWidth="1"/>
    <col min="3" max="3" width="7.625" style="284" bestFit="1" customWidth="1"/>
    <col min="4" max="4" width="26.375" style="284" customWidth="1"/>
    <col min="5" max="5" width="15.625" style="395" bestFit="1" customWidth="1"/>
    <col min="6" max="6" width="16.75390625" style="395" customWidth="1"/>
    <col min="7" max="7" width="11.25390625" style="395" customWidth="1"/>
    <col min="8" max="8" width="13.00390625" style="395" customWidth="1"/>
    <col min="9" max="9" width="12.875" style="395" customWidth="1"/>
    <col min="10" max="10" width="13.875" style="395" customWidth="1"/>
    <col min="11" max="11" width="11.875" style="395" customWidth="1"/>
    <col min="12" max="12" width="18.125" style="395" customWidth="1"/>
    <col min="13" max="13" width="15.125" style="395" customWidth="1"/>
    <col min="14" max="14" width="17.125" style="395" customWidth="1"/>
    <col min="15" max="15" width="9.125" style="392" customWidth="1"/>
    <col min="16" max="16" width="10.75390625" style="392" bestFit="1" customWidth="1"/>
    <col min="17" max="17" width="9.125" style="392" customWidth="1"/>
    <col min="18" max="18" width="11.00390625" style="392" bestFit="1" customWidth="1"/>
    <col min="19" max="16384" width="9.125" style="392" customWidth="1"/>
  </cols>
  <sheetData>
    <row r="1" spans="1:14" ht="98.25" customHeight="1">
      <c r="A1" s="575" t="s">
        <v>628</v>
      </c>
      <c r="B1" s="575"/>
      <c r="C1" s="575"/>
      <c r="D1" s="575"/>
      <c r="E1" s="575"/>
      <c r="F1" s="575"/>
      <c r="G1" s="575"/>
      <c r="H1" s="575"/>
      <c r="I1" s="575"/>
      <c r="J1" s="575"/>
      <c r="K1" s="575"/>
      <c r="L1" s="575"/>
      <c r="M1" s="575"/>
      <c r="N1" s="575"/>
    </row>
    <row r="2" spans="1:8" ht="12.75">
      <c r="A2" s="393"/>
      <c r="B2" s="393"/>
      <c r="C2" s="393"/>
      <c r="D2" s="393"/>
      <c r="E2" s="394"/>
      <c r="F2" s="394"/>
      <c r="G2" s="394"/>
      <c r="H2" s="394"/>
    </row>
    <row r="3" spans="1:14" ht="12.75">
      <c r="A3" s="393"/>
      <c r="B3" s="393"/>
      <c r="C3" s="393"/>
      <c r="D3" s="393"/>
      <c r="E3" s="394"/>
      <c r="F3" s="394"/>
      <c r="N3" s="396" t="s">
        <v>187</v>
      </c>
    </row>
    <row r="4" spans="1:14" s="39" customFormat="1" ht="12.75">
      <c r="A4" s="571" t="s">
        <v>133</v>
      </c>
      <c r="B4" s="571" t="s">
        <v>134</v>
      </c>
      <c r="C4" s="571" t="s">
        <v>135</v>
      </c>
      <c r="D4" s="571" t="s">
        <v>148</v>
      </c>
      <c r="E4" s="570" t="s">
        <v>629</v>
      </c>
      <c r="F4" s="570" t="s">
        <v>207</v>
      </c>
      <c r="G4" s="570"/>
      <c r="H4" s="570"/>
      <c r="I4" s="570"/>
      <c r="J4" s="570"/>
      <c r="K4" s="570"/>
      <c r="L4" s="570"/>
      <c r="M4" s="570"/>
      <c r="N4" s="570"/>
    </row>
    <row r="5" spans="1:14" s="39" customFormat="1" ht="12.75">
      <c r="A5" s="571"/>
      <c r="B5" s="571"/>
      <c r="C5" s="571"/>
      <c r="D5" s="571"/>
      <c r="E5" s="570"/>
      <c r="F5" s="570" t="s">
        <v>168</v>
      </c>
      <c r="G5" s="570" t="s">
        <v>137</v>
      </c>
      <c r="H5" s="570"/>
      <c r="I5" s="570"/>
      <c r="J5" s="570"/>
      <c r="K5" s="570"/>
      <c r="L5" s="570"/>
      <c r="M5" s="570"/>
      <c r="N5" s="570" t="s">
        <v>170</v>
      </c>
    </row>
    <row r="6" spans="1:14" s="39" customFormat="1" ht="89.25">
      <c r="A6" s="571"/>
      <c r="B6" s="571"/>
      <c r="C6" s="571"/>
      <c r="D6" s="571"/>
      <c r="E6" s="570"/>
      <c r="F6" s="570"/>
      <c r="G6" s="397" t="s">
        <v>231</v>
      </c>
      <c r="H6" s="397" t="s">
        <v>476</v>
      </c>
      <c r="I6" s="397" t="s">
        <v>314</v>
      </c>
      <c r="J6" s="397" t="s">
        <v>229</v>
      </c>
      <c r="K6" s="397" t="s">
        <v>261</v>
      </c>
      <c r="L6" s="397" t="s">
        <v>343</v>
      </c>
      <c r="M6" s="397" t="s">
        <v>475</v>
      </c>
      <c r="N6" s="570"/>
    </row>
    <row r="7" spans="1:14" s="39" customFormat="1" ht="12.75">
      <c r="A7" s="398">
        <v>1</v>
      </c>
      <c r="B7" s="398">
        <v>2</v>
      </c>
      <c r="C7" s="398">
        <v>3</v>
      </c>
      <c r="D7" s="398">
        <v>4</v>
      </c>
      <c r="E7" s="399">
        <v>5</v>
      </c>
      <c r="F7" s="399">
        <v>6</v>
      </c>
      <c r="G7" s="399">
        <v>7</v>
      </c>
      <c r="H7" s="399">
        <v>8</v>
      </c>
      <c r="I7" s="399">
        <v>9</v>
      </c>
      <c r="J7" s="399">
        <v>10</v>
      </c>
      <c r="K7" s="399">
        <v>11</v>
      </c>
      <c r="L7" s="399">
        <v>12</v>
      </c>
      <c r="M7" s="399">
        <v>13</v>
      </c>
      <c r="N7" s="399">
        <v>14</v>
      </c>
    </row>
    <row r="8" spans="1:14" s="404" customFormat="1" ht="25.5">
      <c r="A8" s="400" t="s">
        <v>316</v>
      </c>
      <c r="B8" s="400"/>
      <c r="C8" s="401"/>
      <c r="D8" s="402" t="s">
        <v>317</v>
      </c>
      <c r="E8" s="403">
        <f>F8+N8</f>
        <v>45000</v>
      </c>
      <c r="F8" s="403">
        <f aca="true" t="shared" si="0" ref="F8:F15">SUM(G8:M8)</f>
        <v>45000</v>
      </c>
      <c r="G8" s="403">
        <f>SUM(G9)</f>
        <v>0</v>
      </c>
      <c r="H8" s="403">
        <f aca="true" t="shared" si="1" ref="H8:M8">SUM(H9:H9)</f>
        <v>0</v>
      </c>
      <c r="I8" s="403">
        <f t="shared" si="1"/>
        <v>0</v>
      </c>
      <c r="J8" s="403">
        <f t="shared" si="1"/>
        <v>0</v>
      </c>
      <c r="K8" s="403">
        <f t="shared" si="1"/>
        <v>0</v>
      </c>
      <c r="L8" s="403">
        <f t="shared" si="1"/>
        <v>0</v>
      </c>
      <c r="M8" s="403">
        <f t="shared" si="1"/>
        <v>45000</v>
      </c>
      <c r="N8" s="403">
        <v>0</v>
      </c>
    </row>
    <row r="9" spans="1:14" s="63" customFormat="1" ht="38.25">
      <c r="A9" s="405"/>
      <c r="B9" s="405" t="s">
        <v>318</v>
      </c>
      <c r="C9" s="406"/>
      <c r="D9" s="407" t="s">
        <v>319</v>
      </c>
      <c r="E9" s="408">
        <f aca="true" t="shared" si="2" ref="E9:E75">F9+N9</f>
        <v>45000</v>
      </c>
      <c r="F9" s="408">
        <f t="shared" si="0"/>
        <v>45000</v>
      </c>
      <c r="G9" s="408">
        <f>SUM(G10)</f>
        <v>0</v>
      </c>
      <c r="H9" s="408">
        <f aca="true" t="shared" si="3" ref="H9:N9">SUM(H10)</f>
        <v>0</v>
      </c>
      <c r="I9" s="408">
        <f t="shared" si="3"/>
        <v>0</v>
      </c>
      <c r="J9" s="408">
        <f t="shared" si="3"/>
        <v>0</v>
      </c>
      <c r="K9" s="408">
        <f t="shared" si="3"/>
        <v>0</v>
      </c>
      <c r="L9" s="408">
        <f t="shared" si="3"/>
        <v>0</v>
      </c>
      <c r="M9" s="408">
        <f>SUM(M10)</f>
        <v>45000</v>
      </c>
      <c r="N9" s="408">
        <f t="shared" si="3"/>
        <v>0</v>
      </c>
    </row>
    <row r="10" spans="1:14" s="39" customFormat="1" ht="12.75">
      <c r="A10" s="409"/>
      <c r="B10" s="409"/>
      <c r="C10" s="410">
        <v>4300</v>
      </c>
      <c r="D10" s="411" t="s">
        <v>320</v>
      </c>
      <c r="E10" s="412">
        <f t="shared" si="2"/>
        <v>45000</v>
      </c>
      <c r="F10" s="412">
        <f t="shared" si="0"/>
        <v>45000</v>
      </c>
      <c r="G10" s="412"/>
      <c r="H10" s="412"/>
      <c r="I10" s="412"/>
      <c r="J10" s="412"/>
      <c r="K10" s="412"/>
      <c r="L10" s="412"/>
      <c r="M10" s="412">
        <v>45000</v>
      </c>
      <c r="N10" s="412"/>
    </row>
    <row r="11" spans="1:14" s="404" customFormat="1" ht="12.75">
      <c r="A11" s="400" t="s">
        <v>321</v>
      </c>
      <c r="B11" s="400"/>
      <c r="C11" s="401"/>
      <c r="D11" s="402" t="s">
        <v>322</v>
      </c>
      <c r="E11" s="403">
        <f t="shared" si="2"/>
        <v>322000</v>
      </c>
      <c r="F11" s="403">
        <f t="shared" si="0"/>
        <v>322000</v>
      </c>
      <c r="G11" s="403">
        <f>SUM(G12+G14)</f>
        <v>0</v>
      </c>
      <c r="H11" s="403">
        <f aca="true" t="shared" si="4" ref="H11:N11">H12+H14</f>
        <v>0</v>
      </c>
      <c r="I11" s="403">
        <f t="shared" si="4"/>
        <v>0</v>
      </c>
      <c r="J11" s="403">
        <f t="shared" si="4"/>
        <v>46000</v>
      </c>
      <c r="K11" s="403">
        <f t="shared" si="4"/>
        <v>0</v>
      </c>
      <c r="L11" s="403">
        <f t="shared" si="4"/>
        <v>0</v>
      </c>
      <c r="M11" s="403">
        <f t="shared" si="4"/>
        <v>276000</v>
      </c>
      <c r="N11" s="403">
        <f t="shared" si="4"/>
        <v>0</v>
      </c>
    </row>
    <row r="12" spans="1:14" s="63" customFormat="1" ht="12.75">
      <c r="A12" s="405"/>
      <c r="B12" s="405" t="s">
        <v>323</v>
      </c>
      <c r="C12" s="406"/>
      <c r="D12" s="407" t="s">
        <v>324</v>
      </c>
      <c r="E12" s="408">
        <f t="shared" si="2"/>
        <v>276000</v>
      </c>
      <c r="F12" s="408">
        <f t="shared" si="0"/>
        <v>276000</v>
      </c>
      <c r="G12" s="408">
        <f aca="true" t="shared" si="5" ref="G12:N12">SUM(G13)</f>
        <v>0</v>
      </c>
      <c r="H12" s="408">
        <f t="shared" si="5"/>
        <v>0</v>
      </c>
      <c r="I12" s="408">
        <f t="shared" si="5"/>
        <v>0</v>
      </c>
      <c r="J12" s="408">
        <f t="shared" si="5"/>
        <v>0</v>
      </c>
      <c r="K12" s="408">
        <f t="shared" si="5"/>
        <v>0</v>
      </c>
      <c r="L12" s="408">
        <f t="shared" si="5"/>
        <v>0</v>
      </c>
      <c r="M12" s="408">
        <f t="shared" si="5"/>
        <v>276000</v>
      </c>
      <c r="N12" s="408">
        <f t="shared" si="5"/>
        <v>0</v>
      </c>
    </row>
    <row r="13" spans="1:14" s="39" customFormat="1" ht="25.5">
      <c r="A13" s="413"/>
      <c r="B13" s="413"/>
      <c r="C13" s="414">
        <v>3030</v>
      </c>
      <c r="D13" s="415" t="s">
        <v>325</v>
      </c>
      <c r="E13" s="412">
        <f t="shared" si="2"/>
        <v>276000</v>
      </c>
      <c r="F13" s="412">
        <f t="shared" si="0"/>
        <v>276000</v>
      </c>
      <c r="G13" s="412"/>
      <c r="H13" s="412"/>
      <c r="I13" s="412"/>
      <c r="J13" s="412"/>
      <c r="K13" s="412"/>
      <c r="L13" s="412"/>
      <c r="M13" s="412">
        <v>276000</v>
      </c>
      <c r="N13" s="412"/>
    </row>
    <row r="14" spans="1:14" s="63" customFormat="1" ht="25.5">
      <c r="A14" s="405"/>
      <c r="B14" s="405" t="s">
        <v>326</v>
      </c>
      <c r="C14" s="406"/>
      <c r="D14" s="416" t="s">
        <v>327</v>
      </c>
      <c r="E14" s="408">
        <f t="shared" si="2"/>
        <v>46000</v>
      </c>
      <c r="F14" s="408">
        <f t="shared" si="0"/>
        <v>46000</v>
      </c>
      <c r="G14" s="408"/>
      <c r="H14" s="408">
        <f aca="true" t="shared" si="6" ref="H14:N14">SUM(H15)</f>
        <v>0</v>
      </c>
      <c r="I14" s="408">
        <f t="shared" si="6"/>
        <v>0</v>
      </c>
      <c r="J14" s="408">
        <f t="shared" si="6"/>
        <v>46000</v>
      </c>
      <c r="K14" s="408">
        <f t="shared" si="6"/>
        <v>0</v>
      </c>
      <c r="L14" s="408">
        <f t="shared" si="6"/>
        <v>0</v>
      </c>
      <c r="M14" s="408">
        <f t="shared" si="6"/>
        <v>0</v>
      </c>
      <c r="N14" s="408">
        <f t="shared" si="6"/>
        <v>0</v>
      </c>
    </row>
    <row r="15" spans="1:14" s="39" customFormat="1" ht="96" customHeight="1">
      <c r="A15" s="409"/>
      <c r="B15" s="409"/>
      <c r="C15" s="410">
        <v>2830</v>
      </c>
      <c r="D15" s="411" t="s">
        <v>328</v>
      </c>
      <c r="E15" s="412">
        <f t="shared" si="2"/>
        <v>46000</v>
      </c>
      <c r="F15" s="412">
        <f t="shared" si="0"/>
        <v>46000</v>
      </c>
      <c r="G15" s="412"/>
      <c r="H15" s="412"/>
      <c r="I15" s="412"/>
      <c r="J15" s="412">
        <v>46000</v>
      </c>
      <c r="K15" s="412"/>
      <c r="L15" s="412"/>
      <c r="M15" s="412"/>
      <c r="N15" s="412"/>
    </row>
    <row r="16" spans="1:14" s="404" customFormat="1" ht="12.75">
      <c r="A16" s="400">
        <v>600</v>
      </c>
      <c r="B16" s="400"/>
      <c r="C16" s="401"/>
      <c r="D16" s="417" t="s">
        <v>329</v>
      </c>
      <c r="E16" s="403">
        <f t="shared" si="2"/>
        <v>16866430</v>
      </c>
      <c r="F16" s="403">
        <f>SUM(G16:M16)</f>
        <v>2766430</v>
      </c>
      <c r="G16" s="403">
        <f>SUM(G17)</f>
        <v>635000</v>
      </c>
      <c r="H16" s="403">
        <f aca="true" t="shared" si="7" ref="H16:N16">SUM(H17)</f>
        <v>39000</v>
      </c>
      <c r="I16" s="403">
        <f t="shared" si="7"/>
        <v>123420</v>
      </c>
      <c r="J16" s="403">
        <f t="shared" si="7"/>
        <v>0</v>
      </c>
      <c r="K16" s="403">
        <f t="shared" si="7"/>
        <v>0</v>
      </c>
      <c r="L16" s="403">
        <f t="shared" si="7"/>
        <v>0</v>
      </c>
      <c r="M16" s="403">
        <f t="shared" si="7"/>
        <v>1969010</v>
      </c>
      <c r="N16" s="403">
        <f t="shared" si="7"/>
        <v>14100000</v>
      </c>
    </row>
    <row r="17" spans="1:14" s="63" customFormat="1" ht="12.75">
      <c r="A17" s="405"/>
      <c r="B17" s="405">
        <v>60014</v>
      </c>
      <c r="C17" s="406"/>
      <c r="D17" s="416" t="s">
        <v>330</v>
      </c>
      <c r="E17" s="408">
        <f t="shared" si="2"/>
        <v>16866430</v>
      </c>
      <c r="F17" s="408">
        <f>SUM(F18:F40)</f>
        <v>2766430</v>
      </c>
      <c r="G17" s="408">
        <f>SUM(G18:G43)</f>
        <v>635000</v>
      </c>
      <c r="H17" s="408">
        <f aca="true" t="shared" si="8" ref="H17:N17">SUM(H18:H43)</f>
        <v>39000</v>
      </c>
      <c r="I17" s="408">
        <f t="shared" si="8"/>
        <v>123420</v>
      </c>
      <c r="J17" s="408">
        <f t="shared" si="8"/>
        <v>0</v>
      </c>
      <c r="K17" s="408">
        <f t="shared" si="8"/>
        <v>0</v>
      </c>
      <c r="L17" s="408">
        <f t="shared" si="8"/>
        <v>0</v>
      </c>
      <c r="M17" s="408">
        <f t="shared" si="8"/>
        <v>1969010</v>
      </c>
      <c r="N17" s="408">
        <f t="shared" si="8"/>
        <v>14100000</v>
      </c>
    </row>
    <row r="18" spans="1:14" s="39" customFormat="1" ht="25.5">
      <c r="A18" s="400"/>
      <c r="B18" s="400"/>
      <c r="C18" s="410">
        <v>3020</v>
      </c>
      <c r="D18" s="411" t="s">
        <v>331</v>
      </c>
      <c r="E18" s="412">
        <f t="shared" si="2"/>
        <v>16000</v>
      </c>
      <c r="F18" s="412">
        <f aca="true" t="shared" si="9" ref="F18:F49">SUM(G18:M18)</f>
        <v>16000</v>
      </c>
      <c r="G18" s="412"/>
      <c r="H18" s="412"/>
      <c r="I18" s="412"/>
      <c r="J18" s="412"/>
      <c r="K18" s="412"/>
      <c r="L18" s="412"/>
      <c r="M18" s="412">
        <v>16000</v>
      </c>
      <c r="N18" s="412"/>
    </row>
    <row r="19" spans="1:14" s="39" customFormat="1" ht="25.5">
      <c r="A19" s="400"/>
      <c r="B19" s="400"/>
      <c r="C19" s="286">
        <v>4010</v>
      </c>
      <c r="D19" s="411" t="s">
        <v>332</v>
      </c>
      <c r="E19" s="412">
        <f t="shared" si="2"/>
        <v>635000</v>
      </c>
      <c r="F19" s="412">
        <f t="shared" si="9"/>
        <v>635000</v>
      </c>
      <c r="G19" s="412">
        <v>635000</v>
      </c>
      <c r="H19" s="412"/>
      <c r="I19" s="412"/>
      <c r="J19" s="412"/>
      <c r="K19" s="412"/>
      <c r="L19" s="412"/>
      <c r="M19" s="412"/>
      <c r="N19" s="412"/>
    </row>
    <row r="20" spans="1:14" s="39" customFormat="1" ht="25.5">
      <c r="A20" s="400"/>
      <c r="B20" s="400"/>
      <c r="C20" s="410">
        <v>4040</v>
      </c>
      <c r="D20" s="411" t="s">
        <v>333</v>
      </c>
      <c r="E20" s="412">
        <f t="shared" si="2"/>
        <v>39000</v>
      </c>
      <c r="F20" s="412">
        <f t="shared" si="9"/>
        <v>39000</v>
      </c>
      <c r="G20" s="412"/>
      <c r="H20" s="412">
        <v>39000</v>
      </c>
      <c r="I20" s="412"/>
      <c r="J20" s="412"/>
      <c r="K20" s="412"/>
      <c r="L20" s="412"/>
      <c r="M20" s="412"/>
      <c r="N20" s="412"/>
    </row>
    <row r="21" spans="1:14" s="39" customFormat="1" ht="25.5">
      <c r="A21" s="400"/>
      <c r="B21" s="400"/>
      <c r="C21" s="410">
        <v>4110</v>
      </c>
      <c r="D21" s="411" t="s">
        <v>334</v>
      </c>
      <c r="E21" s="412">
        <f t="shared" si="2"/>
        <v>106900</v>
      </c>
      <c r="F21" s="412">
        <f t="shared" si="9"/>
        <v>106900</v>
      </c>
      <c r="G21" s="412"/>
      <c r="H21" s="412"/>
      <c r="I21" s="412">
        <v>106900</v>
      </c>
      <c r="J21" s="412"/>
      <c r="K21" s="412"/>
      <c r="L21" s="412"/>
      <c r="M21" s="412"/>
      <c r="N21" s="412"/>
    </row>
    <row r="22" spans="1:14" s="39" customFormat="1" ht="12.75">
      <c r="A22" s="400"/>
      <c r="B22" s="400"/>
      <c r="C22" s="410">
        <v>4120</v>
      </c>
      <c r="D22" s="411" t="s">
        <v>335</v>
      </c>
      <c r="E22" s="412">
        <f t="shared" si="2"/>
        <v>16520</v>
      </c>
      <c r="F22" s="412">
        <f t="shared" si="9"/>
        <v>16520</v>
      </c>
      <c r="G22" s="412"/>
      <c r="H22" s="412"/>
      <c r="I22" s="412">
        <v>16520</v>
      </c>
      <c r="J22" s="412"/>
      <c r="K22" s="412"/>
      <c r="L22" s="412"/>
      <c r="M22" s="412"/>
      <c r="N22" s="412"/>
    </row>
    <row r="23" spans="1:14" s="39" customFormat="1" ht="30.75" customHeight="1">
      <c r="A23" s="400"/>
      <c r="B23" s="400"/>
      <c r="C23" s="410">
        <v>4170</v>
      </c>
      <c r="D23" s="411" t="s">
        <v>336</v>
      </c>
      <c r="E23" s="412">
        <f aca="true" t="shared" si="10" ref="E23:E39">F23+N23</f>
        <v>5000</v>
      </c>
      <c r="F23" s="412">
        <f t="shared" si="9"/>
        <v>5000</v>
      </c>
      <c r="G23" s="412"/>
      <c r="H23" s="412"/>
      <c r="I23" s="412"/>
      <c r="J23" s="412"/>
      <c r="K23" s="412"/>
      <c r="L23" s="412"/>
      <c r="M23" s="412">
        <v>5000</v>
      </c>
      <c r="N23" s="412"/>
    </row>
    <row r="24" spans="1:14" s="39" customFormat="1" ht="25.5">
      <c r="A24" s="400"/>
      <c r="B24" s="400"/>
      <c r="C24" s="410">
        <v>4210</v>
      </c>
      <c r="D24" s="411" t="s">
        <v>337</v>
      </c>
      <c r="E24" s="412">
        <f t="shared" si="10"/>
        <v>175680</v>
      </c>
      <c r="F24" s="412">
        <f t="shared" si="9"/>
        <v>175680</v>
      </c>
      <c r="G24" s="412"/>
      <c r="H24" s="412"/>
      <c r="I24" s="412"/>
      <c r="J24" s="412"/>
      <c r="K24" s="412"/>
      <c r="L24" s="412"/>
      <c r="M24" s="412">
        <v>175680</v>
      </c>
      <c r="N24" s="412"/>
    </row>
    <row r="25" spans="1:14" s="39" customFormat="1" ht="12.75">
      <c r="A25" s="400"/>
      <c r="B25" s="400"/>
      <c r="C25" s="410">
        <v>4260</v>
      </c>
      <c r="D25" s="411" t="s">
        <v>338</v>
      </c>
      <c r="E25" s="412">
        <f t="shared" si="10"/>
        <v>20600</v>
      </c>
      <c r="F25" s="412">
        <f t="shared" si="9"/>
        <v>20600</v>
      </c>
      <c r="G25" s="412"/>
      <c r="H25" s="412"/>
      <c r="I25" s="412"/>
      <c r="J25" s="412"/>
      <c r="K25" s="412"/>
      <c r="L25" s="412"/>
      <c r="M25" s="412">
        <v>20600</v>
      </c>
      <c r="N25" s="412"/>
    </row>
    <row r="26" spans="1:14" s="39" customFormat="1" ht="12.75">
      <c r="A26" s="400"/>
      <c r="B26" s="400"/>
      <c r="C26" s="410">
        <v>4270</v>
      </c>
      <c r="D26" s="411" t="s">
        <v>339</v>
      </c>
      <c r="E26" s="412">
        <f t="shared" si="10"/>
        <v>557000</v>
      </c>
      <c r="F26" s="412">
        <f t="shared" si="9"/>
        <v>557000</v>
      </c>
      <c r="G26" s="412"/>
      <c r="H26" s="412"/>
      <c r="I26" s="412"/>
      <c r="J26" s="412"/>
      <c r="K26" s="412"/>
      <c r="L26" s="412"/>
      <c r="M26" s="412">
        <f>807000-250000</f>
        <v>557000</v>
      </c>
      <c r="N26" s="412"/>
    </row>
    <row r="27" spans="1:14" s="39" customFormat="1" ht="12.75">
      <c r="A27" s="400"/>
      <c r="B27" s="400"/>
      <c r="C27" s="410">
        <v>4280</v>
      </c>
      <c r="D27" s="411" t="s">
        <v>340</v>
      </c>
      <c r="E27" s="412">
        <f t="shared" si="10"/>
        <v>900</v>
      </c>
      <c r="F27" s="412">
        <f t="shared" si="9"/>
        <v>900</v>
      </c>
      <c r="G27" s="412"/>
      <c r="H27" s="412"/>
      <c r="I27" s="412"/>
      <c r="J27" s="412"/>
      <c r="K27" s="412"/>
      <c r="L27" s="412"/>
      <c r="M27" s="412">
        <v>900</v>
      </c>
      <c r="N27" s="412"/>
    </row>
    <row r="28" spans="1:14" s="39" customFormat="1" ht="12.75">
      <c r="A28" s="400"/>
      <c r="B28" s="400"/>
      <c r="C28" s="410">
        <v>4300</v>
      </c>
      <c r="D28" s="411" t="s">
        <v>320</v>
      </c>
      <c r="E28" s="412">
        <f t="shared" si="10"/>
        <v>1125000</v>
      </c>
      <c r="F28" s="412">
        <f t="shared" si="9"/>
        <v>1125000</v>
      </c>
      <c r="G28" s="412"/>
      <c r="H28" s="412"/>
      <c r="I28" s="412"/>
      <c r="J28" s="412"/>
      <c r="K28" s="412"/>
      <c r="L28" s="412"/>
      <c r="M28" s="412">
        <v>1125000</v>
      </c>
      <c r="N28" s="412"/>
    </row>
    <row r="29" spans="1:14" s="39" customFormat="1" ht="25.5">
      <c r="A29" s="400"/>
      <c r="B29" s="400"/>
      <c r="C29" s="410">
        <v>4350</v>
      </c>
      <c r="D29" s="411" t="s">
        <v>341</v>
      </c>
      <c r="E29" s="412">
        <f t="shared" si="10"/>
        <v>1500</v>
      </c>
      <c r="F29" s="412">
        <f t="shared" si="9"/>
        <v>1500</v>
      </c>
      <c r="G29" s="412"/>
      <c r="H29" s="412"/>
      <c r="I29" s="412"/>
      <c r="J29" s="412"/>
      <c r="K29" s="412"/>
      <c r="L29" s="412"/>
      <c r="M29" s="412">
        <v>1500</v>
      </c>
      <c r="N29" s="412"/>
    </row>
    <row r="30" spans="1:14" s="39" customFormat="1" ht="34.5" customHeight="1">
      <c r="A30" s="400"/>
      <c r="B30" s="400"/>
      <c r="C30" s="410">
        <v>4360</v>
      </c>
      <c r="D30" s="411" t="s">
        <v>569</v>
      </c>
      <c r="E30" s="412">
        <f t="shared" si="10"/>
        <v>6300</v>
      </c>
      <c r="F30" s="412">
        <f t="shared" si="9"/>
        <v>6300</v>
      </c>
      <c r="G30" s="412"/>
      <c r="H30" s="412"/>
      <c r="I30" s="412"/>
      <c r="J30" s="412"/>
      <c r="K30" s="412"/>
      <c r="L30" s="412"/>
      <c r="M30" s="412">
        <v>6300</v>
      </c>
      <c r="N30" s="412"/>
    </row>
    <row r="31" spans="1:14" s="39" customFormat="1" ht="34.5" customHeight="1">
      <c r="A31" s="400"/>
      <c r="B31" s="400"/>
      <c r="C31" s="410">
        <v>4370</v>
      </c>
      <c r="D31" s="411" t="s">
        <v>570</v>
      </c>
      <c r="E31" s="412">
        <f t="shared" si="10"/>
        <v>6000</v>
      </c>
      <c r="F31" s="412">
        <f t="shared" si="9"/>
        <v>6000</v>
      </c>
      <c r="G31" s="412"/>
      <c r="H31" s="412"/>
      <c r="I31" s="412"/>
      <c r="J31" s="412"/>
      <c r="K31" s="412"/>
      <c r="L31" s="412"/>
      <c r="M31" s="412">
        <v>6000</v>
      </c>
      <c r="N31" s="412"/>
    </row>
    <row r="32" spans="1:14" s="39" customFormat="1" ht="38.25">
      <c r="A32" s="400"/>
      <c r="B32" s="400"/>
      <c r="C32" s="410">
        <v>4390</v>
      </c>
      <c r="D32" s="411" t="s">
        <v>562</v>
      </c>
      <c r="E32" s="412">
        <f t="shared" si="10"/>
        <v>5000</v>
      </c>
      <c r="F32" s="412">
        <f t="shared" si="9"/>
        <v>5000</v>
      </c>
      <c r="G32" s="412"/>
      <c r="H32" s="412"/>
      <c r="I32" s="412"/>
      <c r="J32" s="412"/>
      <c r="K32" s="412"/>
      <c r="L32" s="412"/>
      <c r="M32" s="412">
        <v>5000</v>
      </c>
      <c r="N32" s="412"/>
    </row>
    <row r="33" spans="1:14" s="39" customFormat="1" ht="12.75">
      <c r="A33" s="400"/>
      <c r="B33" s="400"/>
      <c r="C33" s="410">
        <v>4410</v>
      </c>
      <c r="D33" s="411" t="s">
        <v>346</v>
      </c>
      <c r="E33" s="412">
        <f t="shared" si="10"/>
        <v>3700</v>
      </c>
      <c r="F33" s="412">
        <f t="shared" si="9"/>
        <v>3700</v>
      </c>
      <c r="G33" s="412"/>
      <c r="H33" s="412"/>
      <c r="I33" s="412"/>
      <c r="J33" s="412"/>
      <c r="K33" s="412"/>
      <c r="L33" s="412"/>
      <c r="M33" s="412">
        <v>3700</v>
      </c>
      <c r="N33" s="412"/>
    </row>
    <row r="34" spans="1:14" s="39" customFormat="1" ht="12.75">
      <c r="A34" s="400"/>
      <c r="B34" s="400"/>
      <c r="C34" s="410">
        <v>4430</v>
      </c>
      <c r="D34" s="411" t="s">
        <v>347</v>
      </c>
      <c r="E34" s="412">
        <f t="shared" si="10"/>
        <v>10000</v>
      </c>
      <c r="F34" s="412">
        <f t="shared" si="9"/>
        <v>10000</v>
      </c>
      <c r="G34" s="412"/>
      <c r="H34" s="412"/>
      <c r="I34" s="412"/>
      <c r="J34" s="412"/>
      <c r="K34" s="412"/>
      <c r="L34" s="412"/>
      <c r="M34" s="412">
        <v>10000</v>
      </c>
      <c r="N34" s="412"/>
    </row>
    <row r="35" spans="1:14" s="39" customFormat="1" ht="25.5">
      <c r="A35" s="400"/>
      <c r="B35" s="400"/>
      <c r="C35" s="410">
        <v>4440</v>
      </c>
      <c r="D35" s="411" t="s">
        <v>348</v>
      </c>
      <c r="E35" s="412">
        <f t="shared" si="10"/>
        <v>18330</v>
      </c>
      <c r="F35" s="412">
        <f t="shared" si="9"/>
        <v>18330</v>
      </c>
      <c r="G35" s="412"/>
      <c r="H35" s="412"/>
      <c r="I35" s="412"/>
      <c r="J35" s="412"/>
      <c r="K35" s="412"/>
      <c r="L35" s="412"/>
      <c r="M35" s="412">
        <v>18330</v>
      </c>
      <c r="N35" s="412"/>
    </row>
    <row r="36" spans="1:14" s="39" customFormat="1" ht="12.75">
      <c r="A36" s="400"/>
      <c r="B36" s="400"/>
      <c r="C36" s="410">
        <v>4480</v>
      </c>
      <c r="D36" s="411" t="s">
        <v>349</v>
      </c>
      <c r="E36" s="412">
        <f t="shared" si="10"/>
        <v>7000</v>
      </c>
      <c r="F36" s="412">
        <f t="shared" si="9"/>
        <v>7000</v>
      </c>
      <c r="G36" s="412"/>
      <c r="H36" s="412"/>
      <c r="I36" s="412"/>
      <c r="J36" s="412"/>
      <c r="K36" s="412"/>
      <c r="L36" s="412"/>
      <c r="M36" s="412">
        <v>7000</v>
      </c>
      <c r="N36" s="412"/>
    </row>
    <row r="37" spans="1:14" s="39" customFormat="1" ht="38.25">
      <c r="A37" s="400"/>
      <c r="B37" s="400"/>
      <c r="C37" s="410">
        <v>4700</v>
      </c>
      <c r="D37" s="411" t="s">
        <v>565</v>
      </c>
      <c r="E37" s="412">
        <f t="shared" si="10"/>
        <v>5000</v>
      </c>
      <c r="F37" s="412">
        <f t="shared" si="9"/>
        <v>5000</v>
      </c>
      <c r="G37" s="412"/>
      <c r="H37" s="412"/>
      <c r="I37" s="412"/>
      <c r="J37" s="412"/>
      <c r="K37" s="412"/>
      <c r="L37" s="412"/>
      <c r="M37" s="412">
        <v>5000</v>
      </c>
      <c r="N37" s="412"/>
    </row>
    <row r="38" spans="1:14" s="39" customFormat="1" ht="25.5">
      <c r="A38" s="400"/>
      <c r="B38" s="400"/>
      <c r="C38" s="410">
        <v>4740</v>
      </c>
      <c r="D38" s="411" t="s">
        <v>350</v>
      </c>
      <c r="E38" s="412">
        <f t="shared" si="10"/>
        <v>1000</v>
      </c>
      <c r="F38" s="412">
        <f t="shared" si="9"/>
        <v>1000</v>
      </c>
      <c r="G38" s="412"/>
      <c r="H38" s="412"/>
      <c r="I38" s="412"/>
      <c r="J38" s="412"/>
      <c r="K38" s="412"/>
      <c r="L38" s="412"/>
      <c r="M38" s="412">
        <v>1000</v>
      </c>
      <c r="N38" s="412"/>
    </row>
    <row r="39" spans="1:14" s="39" customFormat="1" ht="25.5">
      <c r="A39" s="400"/>
      <c r="B39" s="400"/>
      <c r="C39" s="410">
        <v>4750</v>
      </c>
      <c r="D39" s="411" t="s">
        <v>351</v>
      </c>
      <c r="E39" s="412">
        <f t="shared" si="10"/>
        <v>5000</v>
      </c>
      <c r="F39" s="412">
        <f t="shared" si="9"/>
        <v>5000</v>
      </c>
      <c r="G39" s="412"/>
      <c r="H39" s="412"/>
      <c r="I39" s="412"/>
      <c r="J39" s="412"/>
      <c r="K39" s="412"/>
      <c r="L39" s="412"/>
      <c r="M39" s="412">
        <v>5000</v>
      </c>
      <c r="N39" s="412"/>
    </row>
    <row r="40" spans="1:14" s="39" customFormat="1" ht="25.5">
      <c r="A40" s="400"/>
      <c r="B40" s="400"/>
      <c r="C40" s="286">
        <v>6050</v>
      </c>
      <c r="D40" s="418" t="s">
        <v>352</v>
      </c>
      <c r="E40" s="412">
        <f t="shared" si="2"/>
        <v>13250000</v>
      </c>
      <c r="F40" s="412">
        <f t="shared" si="9"/>
        <v>0</v>
      </c>
      <c r="G40" s="412"/>
      <c r="H40" s="412"/>
      <c r="I40" s="412"/>
      <c r="J40" s="412"/>
      <c r="K40" s="412"/>
      <c r="L40" s="412"/>
      <c r="M40" s="412"/>
      <c r="N40" s="412">
        <f>12300000+250000+500000+200000</f>
        <v>13250000</v>
      </c>
    </row>
    <row r="41" spans="1:14" s="39" customFormat="1" ht="25.5">
      <c r="A41" s="400"/>
      <c r="B41" s="400"/>
      <c r="C41" s="286">
        <v>6058</v>
      </c>
      <c r="D41" s="418" t="s">
        <v>352</v>
      </c>
      <c r="E41" s="412">
        <f>F41+N41</f>
        <v>493000</v>
      </c>
      <c r="F41" s="412">
        <f t="shared" si="9"/>
        <v>0</v>
      </c>
      <c r="G41" s="412"/>
      <c r="H41" s="412"/>
      <c r="I41" s="412"/>
      <c r="J41" s="412"/>
      <c r="K41" s="412"/>
      <c r="L41" s="412"/>
      <c r="M41" s="412"/>
      <c r="N41" s="412">
        <v>493000</v>
      </c>
    </row>
    <row r="42" spans="1:14" s="39" customFormat="1" ht="25.5">
      <c r="A42" s="400"/>
      <c r="B42" s="400"/>
      <c r="C42" s="286">
        <v>6059</v>
      </c>
      <c r="D42" s="418" t="s">
        <v>352</v>
      </c>
      <c r="E42" s="412">
        <f>F42+N42</f>
        <v>357000</v>
      </c>
      <c r="F42" s="412">
        <f t="shared" si="9"/>
        <v>0</v>
      </c>
      <c r="G42" s="412"/>
      <c r="H42" s="412"/>
      <c r="I42" s="412"/>
      <c r="J42" s="412"/>
      <c r="K42" s="412"/>
      <c r="L42" s="412"/>
      <c r="M42" s="412"/>
      <c r="N42" s="412">
        <v>357000</v>
      </c>
    </row>
    <row r="43" spans="1:14" s="39" customFormat="1" ht="38.25">
      <c r="A43" s="400"/>
      <c r="B43" s="400"/>
      <c r="C43" s="286">
        <v>6060</v>
      </c>
      <c r="D43" s="418" t="s">
        <v>25</v>
      </c>
      <c r="E43" s="412">
        <f>F43+N43</f>
        <v>0</v>
      </c>
      <c r="F43" s="412">
        <f t="shared" si="9"/>
        <v>0</v>
      </c>
      <c r="G43" s="412"/>
      <c r="H43" s="412"/>
      <c r="I43" s="412"/>
      <c r="J43" s="412"/>
      <c r="K43" s="412"/>
      <c r="L43" s="412"/>
      <c r="M43" s="412"/>
      <c r="N43" s="412"/>
    </row>
    <row r="44" spans="1:14" s="404" customFormat="1" ht="25.5">
      <c r="A44" s="400">
        <v>700</v>
      </c>
      <c r="B44" s="400"/>
      <c r="C44" s="401"/>
      <c r="D44" s="417" t="s">
        <v>353</v>
      </c>
      <c r="E44" s="403">
        <f t="shared" si="2"/>
        <v>230900</v>
      </c>
      <c r="F44" s="403">
        <f t="shared" si="9"/>
        <v>150900</v>
      </c>
      <c r="G44" s="403">
        <f aca="true" t="shared" si="11" ref="G44:N44">SUM(G45)</f>
        <v>0</v>
      </c>
      <c r="H44" s="403">
        <f t="shared" si="11"/>
        <v>0</v>
      </c>
      <c r="I44" s="403">
        <f t="shared" si="11"/>
        <v>0</v>
      </c>
      <c r="J44" s="403">
        <f t="shared" si="11"/>
        <v>0</v>
      </c>
      <c r="K44" s="403">
        <f t="shared" si="11"/>
        <v>0</v>
      </c>
      <c r="L44" s="403">
        <f t="shared" si="11"/>
        <v>0</v>
      </c>
      <c r="M44" s="403">
        <f t="shared" si="11"/>
        <v>150900</v>
      </c>
      <c r="N44" s="403">
        <f t="shared" si="11"/>
        <v>80000</v>
      </c>
    </row>
    <row r="45" spans="1:14" s="63" customFormat="1" ht="25.5">
      <c r="A45" s="405"/>
      <c r="B45" s="405">
        <v>70005</v>
      </c>
      <c r="C45" s="406"/>
      <c r="D45" s="416" t="s">
        <v>354</v>
      </c>
      <c r="E45" s="408">
        <f t="shared" si="2"/>
        <v>230900</v>
      </c>
      <c r="F45" s="408">
        <f t="shared" si="9"/>
        <v>150900</v>
      </c>
      <c r="G45" s="408">
        <f>SUM(G46:G55)</f>
        <v>0</v>
      </c>
      <c r="H45" s="408">
        <f aca="true" t="shared" si="12" ref="H45:N45">SUM(H46:H55)</f>
        <v>0</v>
      </c>
      <c r="I45" s="408">
        <f t="shared" si="12"/>
        <v>0</v>
      </c>
      <c r="J45" s="408">
        <f t="shared" si="12"/>
        <v>0</v>
      </c>
      <c r="K45" s="408">
        <f t="shared" si="12"/>
        <v>0</v>
      </c>
      <c r="L45" s="408">
        <f t="shared" si="12"/>
        <v>0</v>
      </c>
      <c r="M45" s="408">
        <f t="shared" si="12"/>
        <v>150900</v>
      </c>
      <c r="N45" s="408">
        <f t="shared" si="12"/>
        <v>80000</v>
      </c>
    </row>
    <row r="46" spans="1:14" s="39" customFormat="1" ht="12.75">
      <c r="A46" s="400"/>
      <c r="B46" s="400"/>
      <c r="C46" s="410">
        <v>4260</v>
      </c>
      <c r="D46" s="411" t="s">
        <v>338</v>
      </c>
      <c r="E46" s="412">
        <f t="shared" si="2"/>
        <v>7000</v>
      </c>
      <c r="F46" s="412">
        <f t="shared" si="9"/>
        <v>7000</v>
      </c>
      <c r="G46" s="412"/>
      <c r="H46" s="412"/>
      <c r="I46" s="412"/>
      <c r="J46" s="412"/>
      <c r="K46" s="412"/>
      <c r="L46" s="412"/>
      <c r="M46" s="412">
        <v>7000</v>
      </c>
      <c r="N46" s="412"/>
    </row>
    <row r="47" spans="1:14" s="39" customFormat="1" ht="12.75">
      <c r="A47" s="409"/>
      <c r="B47" s="409"/>
      <c r="C47" s="410">
        <v>4270</v>
      </c>
      <c r="D47" s="411" t="s">
        <v>355</v>
      </c>
      <c r="E47" s="412">
        <f t="shared" si="2"/>
        <v>3600</v>
      </c>
      <c r="F47" s="412">
        <f t="shared" si="9"/>
        <v>3600</v>
      </c>
      <c r="G47" s="412"/>
      <c r="H47" s="412"/>
      <c r="I47" s="412"/>
      <c r="J47" s="412"/>
      <c r="K47" s="412"/>
      <c r="L47" s="412"/>
      <c r="M47" s="412">
        <v>3600</v>
      </c>
      <c r="N47" s="412"/>
    </row>
    <row r="48" spans="1:14" s="39" customFormat="1" ht="12.75">
      <c r="A48" s="409"/>
      <c r="B48" s="409"/>
      <c r="C48" s="410">
        <v>4300</v>
      </c>
      <c r="D48" s="411" t="s">
        <v>320</v>
      </c>
      <c r="E48" s="412">
        <f t="shared" si="2"/>
        <v>8300</v>
      </c>
      <c r="F48" s="412">
        <f t="shared" si="9"/>
        <v>8300</v>
      </c>
      <c r="G48" s="412"/>
      <c r="H48" s="412"/>
      <c r="I48" s="412"/>
      <c r="J48" s="412"/>
      <c r="K48" s="412"/>
      <c r="L48" s="412"/>
      <c r="M48" s="412">
        <v>8300</v>
      </c>
      <c r="N48" s="412"/>
    </row>
    <row r="49" spans="1:14" s="39" customFormat="1" ht="38.25">
      <c r="A49" s="409"/>
      <c r="B49" s="409"/>
      <c r="C49" s="410">
        <v>4390</v>
      </c>
      <c r="D49" s="411" t="s">
        <v>562</v>
      </c>
      <c r="E49" s="412">
        <f t="shared" si="2"/>
        <v>90000</v>
      </c>
      <c r="F49" s="412">
        <f t="shared" si="9"/>
        <v>90000</v>
      </c>
      <c r="G49" s="412"/>
      <c r="H49" s="412"/>
      <c r="I49" s="412"/>
      <c r="J49" s="412"/>
      <c r="K49" s="412"/>
      <c r="L49" s="412"/>
      <c r="M49" s="412">
        <v>90000</v>
      </c>
      <c r="N49" s="412"/>
    </row>
    <row r="50" spans="1:14" s="39" customFormat="1" ht="12.75">
      <c r="A50" s="409"/>
      <c r="B50" s="409"/>
      <c r="C50" s="410">
        <v>4480</v>
      </c>
      <c r="D50" s="411" t="s">
        <v>349</v>
      </c>
      <c r="E50" s="412">
        <f t="shared" si="2"/>
        <v>1000</v>
      </c>
      <c r="F50" s="412">
        <f aca="true" t="shared" si="13" ref="F50:F75">SUM(G50:M50)</f>
        <v>1000</v>
      </c>
      <c r="G50" s="412"/>
      <c r="H50" s="412"/>
      <c r="I50" s="412"/>
      <c r="J50" s="412"/>
      <c r="K50" s="412"/>
      <c r="L50" s="412"/>
      <c r="M50" s="412">
        <v>1000</v>
      </c>
      <c r="N50" s="412"/>
    </row>
    <row r="51" spans="1:14" s="39" customFormat="1" ht="12.75" hidden="1">
      <c r="A51" s="409"/>
      <c r="B51" s="409"/>
      <c r="C51" s="410">
        <v>4580</v>
      </c>
      <c r="D51" s="411" t="s">
        <v>3</v>
      </c>
      <c r="E51" s="412">
        <f t="shared" si="2"/>
        <v>0</v>
      </c>
      <c r="F51" s="412">
        <f t="shared" si="13"/>
        <v>0</v>
      </c>
      <c r="G51" s="412"/>
      <c r="H51" s="412"/>
      <c r="I51" s="412"/>
      <c r="J51" s="412"/>
      <c r="K51" s="412"/>
      <c r="L51" s="412"/>
      <c r="M51" s="412"/>
      <c r="N51" s="412"/>
    </row>
    <row r="52" spans="1:14" s="39" customFormat="1" ht="38.25">
      <c r="A52" s="409"/>
      <c r="B52" s="409"/>
      <c r="C52" s="410">
        <v>4590</v>
      </c>
      <c r="D52" s="411" t="s">
        <v>118</v>
      </c>
      <c r="E52" s="412">
        <f>F52+N52</f>
        <v>39000</v>
      </c>
      <c r="F52" s="412">
        <f>SUM(G52:M52)</f>
        <v>39000</v>
      </c>
      <c r="G52" s="412"/>
      <c r="H52" s="412"/>
      <c r="I52" s="412"/>
      <c r="J52" s="412"/>
      <c r="K52" s="412"/>
      <c r="L52" s="412"/>
      <c r="M52" s="412">
        <v>39000</v>
      </c>
      <c r="N52" s="412"/>
    </row>
    <row r="53" spans="1:14" s="39" customFormat="1" ht="25.5">
      <c r="A53" s="409"/>
      <c r="B53" s="409"/>
      <c r="C53" s="410">
        <v>4610</v>
      </c>
      <c r="D53" s="419" t="s">
        <v>356</v>
      </c>
      <c r="E53" s="412">
        <f>F53+N53</f>
        <v>2000</v>
      </c>
      <c r="F53" s="412">
        <f>SUM(G53:M53)</f>
        <v>2000</v>
      </c>
      <c r="G53" s="412"/>
      <c r="H53" s="412"/>
      <c r="I53" s="412"/>
      <c r="J53" s="412"/>
      <c r="K53" s="412"/>
      <c r="L53" s="412"/>
      <c r="M53" s="412">
        <v>2000</v>
      </c>
      <c r="N53" s="412"/>
    </row>
    <row r="54" spans="1:14" s="39" customFormat="1" ht="25.5">
      <c r="A54" s="400"/>
      <c r="B54" s="400"/>
      <c r="C54" s="286">
        <v>6050</v>
      </c>
      <c r="D54" s="418" t="s">
        <v>352</v>
      </c>
      <c r="E54" s="412">
        <f>F54+N54</f>
        <v>80000</v>
      </c>
      <c r="F54" s="412">
        <f>SUM(G54:M54)</f>
        <v>0</v>
      </c>
      <c r="G54" s="412"/>
      <c r="H54" s="412"/>
      <c r="I54" s="412"/>
      <c r="J54" s="412"/>
      <c r="K54" s="412"/>
      <c r="L54" s="412"/>
      <c r="M54" s="412"/>
      <c r="N54" s="412">
        <v>80000</v>
      </c>
    </row>
    <row r="55" spans="1:14" s="39" customFormat="1" ht="38.25" hidden="1">
      <c r="A55" s="400"/>
      <c r="B55" s="400"/>
      <c r="C55" s="286">
        <v>6060</v>
      </c>
      <c r="D55" s="418" t="s">
        <v>88</v>
      </c>
      <c r="E55" s="412">
        <f>F55+N55</f>
        <v>0</v>
      </c>
      <c r="F55" s="412">
        <f>SUM(G55:M55)</f>
        <v>0</v>
      </c>
      <c r="G55" s="412"/>
      <c r="H55" s="412"/>
      <c r="I55" s="412"/>
      <c r="J55" s="412"/>
      <c r="K55" s="412"/>
      <c r="L55" s="412"/>
      <c r="M55" s="412"/>
      <c r="N55" s="412"/>
    </row>
    <row r="56" spans="1:14" s="404" customFormat="1" ht="12.75">
      <c r="A56" s="400">
        <v>710</v>
      </c>
      <c r="B56" s="400"/>
      <c r="C56" s="401"/>
      <c r="D56" s="417" t="s">
        <v>367</v>
      </c>
      <c r="E56" s="403">
        <f t="shared" si="2"/>
        <v>617800</v>
      </c>
      <c r="F56" s="403">
        <f t="shared" si="13"/>
        <v>617800</v>
      </c>
      <c r="G56" s="403">
        <f aca="true" t="shared" si="14" ref="G56:N56">SUM(G57+G59+G61+G85)</f>
        <v>331200</v>
      </c>
      <c r="H56" s="403">
        <f t="shared" si="14"/>
        <v>25000</v>
      </c>
      <c r="I56" s="403">
        <f t="shared" si="14"/>
        <v>66400</v>
      </c>
      <c r="J56" s="403">
        <f t="shared" si="14"/>
        <v>0</v>
      </c>
      <c r="K56" s="403">
        <f t="shared" si="14"/>
        <v>0</v>
      </c>
      <c r="L56" s="403">
        <f t="shared" si="14"/>
        <v>0</v>
      </c>
      <c r="M56" s="403">
        <f t="shared" si="14"/>
        <v>195200</v>
      </c>
      <c r="N56" s="403">
        <f t="shared" si="14"/>
        <v>0</v>
      </c>
    </row>
    <row r="57" spans="1:14" s="63" customFormat="1" ht="25.5">
      <c r="A57" s="405"/>
      <c r="B57" s="405">
        <v>71013</v>
      </c>
      <c r="C57" s="406"/>
      <c r="D57" s="416" t="s">
        <v>368</v>
      </c>
      <c r="E57" s="408">
        <f t="shared" si="2"/>
        <v>70000</v>
      </c>
      <c r="F57" s="408">
        <f t="shared" si="13"/>
        <v>70000</v>
      </c>
      <c r="G57" s="408">
        <f aca="true" t="shared" si="15" ref="G57:N57">SUM(G58)</f>
        <v>0</v>
      </c>
      <c r="H57" s="408">
        <f t="shared" si="15"/>
        <v>0</v>
      </c>
      <c r="I57" s="408">
        <f t="shared" si="15"/>
        <v>0</v>
      </c>
      <c r="J57" s="408">
        <f t="shared" si="15"/>
        <v>0</v>
      </c>
      <c r="K57" s="408">
        <f t="shared" si="15"/>
        <v>0</v>
      </c>
      <c r="L57" s="408">
        <f t="shared" si="15"/>
        <v>0</v>
      </c>
      <c r="M57" s="408">
        <f t="shared" si="15"/>
        <v>70000</v>
      </c>
      <c r="N57" s="408">
        <f t="shared" si="15"/>
        <v>0</v>
      </c>
    </row>
    <row r="58" spans="1:14" s="39" customFormat="1" ht="12.75">
      <c r="A58" s="409"/>
      <c r="B58" s="409"/>
      <c r="C58" s="410">
        <v>4300</v>
      </c>
      <c r="D58" s="411" t="s">
        <v>320</v>
      </c>
      <c r="E58" s="412">
        <f t="shared" si="2"/>
        <v>70000</v>
      </c>
      <c r="F58" s="412">
        <f t="shared" si="13"/>
        <v>70000</v>
      </c>
      <c r="G58" s="412"/>
      <c r="H58" s="412"/>
      <c r="I58" s="412"/>
      <c r="J58" s="412"/>
      <c r="K58" s="412"/>
      <c r="L58" s="412"/>
      <c r="M58" s="412">
        <v>70000</v>
      </c>
      <c r="N58" s="412"/>
    </row>
    <row r="59" spans="1:14" s="63" customFormat="1" ht="25.5">
      <c r="A59" s="405"/>
      <c r="B59" s="405">
        <v>71014</v>
      </c>
      <c r="C59" s="406"/>
      <c r="D59" s="416" t="s">
        <v>369</v>
      </c>
      <c r="E59" s="408">
        <f t="shared" si="2"/>
        <v>10400</v>
      </c>
      <c r="F59" s="408">
        <f t="shared" si="13"/>
        <v>10400</v>
      </c>
      <c r="G59" s="408">
        <f aca="true" t="shared" si="16" ref="G59:N59">SUM(G60:G60)</f>
        <v>0</v>
      </c>
      <c r="H59" s="408">
        <f t="shared" si="16"/>
        <v>0</v>
      </c>
      <c r="I59" s="408">
        <f t="shared" si="16"/>
        <v>0</v>
      </c>
      <c r="J59" s="408">
        <f t="shared" si="16"/>
        <v>0</v>
      </c>
      <c r="K59" s="408">
        <f t="shared" si="16"/>
        <v>0</v>
      </c>
      <c r="L59" s="408">
        <f t="shared" si="16"/>
        <v>0</v>
      </c>
      <c r="M59" s="408">
        <f t="shared" si="16"/>
        <v>10400</v>
      </c>
      <c r="N59" s="408">
        <f t="shared" si="16"/>
        <v>0</v>
      </c>
    </row>
    <row r="60" spans="1:14" s="39" customFormat="1" ht="38.25">
      <c r="A60" s="409"/>
      <c r="B60" s="409"/>
      <c r="C60" s="410">
        <v>4390</v>
      </c>
      <c r="D60" s="411" t="s">
        <v>562</v>
      </c>
      <c r="E60" s="412">
        <f>F60+N60</f>
        <v>10400</v>
      </c>
      <c r="F60" s="412">
        <f t="shared" si="13"/>
        <v>10400</v>
      </c>
      <c r="G60" s="412"/>
      <c r="H60" s="412"/>
      <c r="I60" s="412"/>
      <c r="J60" s="412"/>
      <c r="K60" s="412"/>
      <c r="L60" s="412"/>
      <c r="M60" s="412">
        <v>10400</v>
      </c>
      <c r="N60" s="412"/>
    </row>
    <row r="61" spans="1:14" s="63" customFormat="1" ht="12.75">
      <c r="A61" s="405"/>
      <c r="B61" s="405">
        <v>71015</v>
      </c>
      <c r="C61" s="406"/>
      <c r="D61" s="416" t="s">
        <v>370</v>
      </c>
      <c r="E61" s="408">
        <f t="shared" si="2"/>
        <v>531400</v>
      </c>
      <c r="F61" s="408">
        <f t="shared" si="13"/>
        <v>531400</v>
      </c>
      <c r="G61" s="408">
        <f aca="true" t="shared" si="17" ref="G61:L61">SUM(G62:G84)</f>
        <v>331200</v>
      </c>
      <c r="H61" s="408">
        <f t="shared" si="17"/>
        <v>25000</v>
      </c>
      <c r="I61" s="408">
        <f t="shared" si="17"/>
        <v>66400</v>
      </c>
      <c r="J61" s="408">
        <f t="shared" si="17"/>
        <v>0</v>
      </c>
      <c r="K61" s="408">
        <f t="shared" si="17"/>
        <v>0</v>
      </c>
      <c r="L61" s="408">
        <f t="shared" si="17"/>
        <v>0</v>
      </c>
      <c r="M61" s="408">
        <f>SUM(M62:M84)</f>
        <v>108800</v>
      </c>
      <c r="N61" s="408">
        <f>SUM(N62:N84)</f>
        <v>0</v>
      </c>
    </row>
    <row r="62" spans="1:14" s="39" customFormat="1" ht="25.5">
      <c r="A62" s="400"/>
      <c r="B62" s="400"/>
      <c r="C62" s="410">
        <v>3020</v>
      </c>
      <c r="D62" s="411" t="s">
        <v>566</v>
      </c>
      <c r="E62" s="412">
        <f t="shared" si="2"/>
        <v>800</v>
      </c>
      <c r="F62" s="412">
        <f t="shared" si="13"/>
        <v>800</v>
      </c>
      <c r="G62" s="412"/>
      <c r="H62" s="412"/>
      <c r="I62" s="412"/>
      <c r="J62" s="412"/>
      <c r="K62" s="412"/>
      <c r="L62" s="412"/>
      <c r="M62" s="412">
        <v>800</v>
      </c>
      <c r="N62" s="412"/>
    </row>
    <row r="63" spans="1:14" s="39" customFormat="1" ht="25.5">
      <c r="A63" s="400"/>
      <c r="B63" s="400"/>
      <c r="C63" s="286">
        <v>4010</v>
      </c>
      <c r="D63" s="411" t="s">
        <v>332</v>
      </c>
      <c r="E63" s="412">
        <f t="shared" si="2"/>
        <v>80500</v>
      </c>
      <c r="F63" s="412">
        <f t="shared" si="13"/>
        <v>80500</v>
      </c>
      <c r="G63" s="412">
        <v>80500</v>
      </c>
      <c r="H63" s="412"/>
      <c r="I63" s="412"/>
      <c r="J63" s="412"/>
      <c r="K63" s="412"/>
      <c r="L63" s="412"/>
      <c r="M63" s="412"/>
      <c r="N63" s="412"/>
    </row>
    <row r="64" spans="1:14" s="39" customFormat="1" ht="38.25">
      <c r="A64" s="400"/>
      <c r="B64" s="400"/>
      <c r="C64" s="286">
        <v>4020</v>
      </c>
      <c r="D64" s="411" t="s">
        <v>648</v>
      </c>
      <c r="E64" s="412">
        <f>F64+N64</f>
        <v>250700</v>
      </c>
      <c r="F64" s="412">
        <f>SUM(G64:M64)</f>
        <v>250700</v>
      </c>
      <c r="G64" s="412">
        <v>250700</v>
      </c>
      <c r="H64" s="412"/>
      <c r="I64" s="412"/>
      <c r="J64" s="412"/>
      <c r="K64" s="412"/>
      <c r="L64" s="412"/>
      <c r="M64" s="412"/>
      <c r="N64" s="412"/>
    </row>
    <row r="65" spans="1:14" s="39" customFormat="1" ht="25.5">
      <c r="A65" s="400"/>
      <c r="B65" s="400"/>
      <c r="C65" s="410">
        <v>4040</v>
      </c>
      <c r="D65" s="411" t="s">
        <v>333</v>
      </c>
      <c r="E65" s="412">
        <f t="shared" si="2"/>
        <v>25000</v>
      </c>
      <c r="F65" s="412">
        <f t="shared" si="13"/>
        <v>25000</v>
      </c>
      <c r="G65" s="412"/>
      <c r="H65" s="412">
        <v>25000</v>
      </c>
      <c r="I65" s="412"/>
      <c r="J65" s="412"/>
      <c r="K65" s="412"/>
      <c r="L65" s="412"/>
      <c r="M65" s="412"/>
      <c r="N65" s="412"/>
    </row>
    <row r="66" spans="1:14" s="39" customFormat="1" ht="25.5">
      <c r="A66" s="400"/>
      <c r="B66" s="400"/>
      <c r="C66" s="410">
        <v>4110</v>
      </c>
      <c r="D66" s="411" t="s">
        <v>334</v>
      </c>
      <c r="E66" s="412">
        <f t="shared" si="2"/>
        <v>57600</v>
      </c>
      <c r="F66" s="412">
        <f t="shared" si="13"/>
        <v>57600</v>
      </c>
      <c r="G66" s="412"/>
      <c r="H66" s="412"/>
      <c r="I66" s="412">
        <v>57600</v>
      </c>
      <c r="J66" s="412"/>
      <c r="K66" s="412"/>
      <c r="L66" s="412"/>
      <c r="M66" s="412"/>
      <c r="N66" s="412"/>
    </row>
    <row r="67" spans="1:14" s="39" customFormat="1" ht="12.75">
      <c r="A67" s="400"/>
      <c r="B67" s="400"/>
      <c r="C67" s="410">
        <v>4120</v>
      </c>
      <c r="D67" s="411" t="s">
        <v>335</v>
      </c>
      <c r="E67" s="412">
        <f t="shared" si="2"/>
        <v>8800</v>
      </c>
      <c r="F67" s="412">
        <f t="shared" si="13"/>
        <v>8800</v>
      </c>
      <c r="G67" s="412"/>
      <c r="H67" s="412"/>
      <c r="I67" s="412">
        <v>8800</v>
      </c>
      <c r="J67" s="412"/>
      <c r="K67" s="412"/>
      <c r="L67" s="412"/>
      <c r="M67" s="412"/>
      <c r="N67" s="412"/>
    </row>
    <row r="68" spans="1:14" s="39" customFormat="1" ht="12.75">
      <c r="A68" s="420"/>
      <c r="B68" s="400"/>
      <c r="C68" s="410">
        <v>4170</v>
      </c>
      <c r="D68" s="411" t="s">
        <v>371</v>
      </c>
      <c r="E68" s="412">
        <f t="shared" si="2"/>
        <v>16500</v>
      </c>
      <c r="F68" s="412">
        <f t="shared" si="13"/>
        <v>16500</v>
      </c>
      <c r="G68" s="412"/>
      <c r="H68" s="412"/>
      <c r="I68" s="412"/>
      <c r="J68" s="412"/>
      <c r="K68" s="412"/>
      <c r="L68" s="412"/>
      <c r="M68" s="412">
        <v>16500</v>
      </c>
      <c r="N68" s="412"/>
    </row>
    <row r="69" spans="1:14" s="39" customFormat="1" ht="25.5">
      <c r="A69" s="400"/>
      <c r="B69" s="400"/>
      <c r="C69" s="410">
        <v>4210</v>
      </c>
      <c r="D69" s="411" t="s">
        <v>337</v>
      </c>
      <c r="E69" s="412">
        <f t="shared" si="2"/>
        <v>25000</v>
      </c>
      <c r="F69" s="412">
        <f t="shared" si="13"/>
        <v>25000</v>
      </c>
      <c r="G69" s="412"/>
      <c r="H69" s="412"/>
      <c r="I69" s="412"/>
      <c r="J69" s="412"/>
      <c r="K69" s="412"/>
      <c r="L69" s="412"/>
      <c r="M69" s="412">
        <v>25000</v>
      </c>
      <c r="N69" s="412"/>
    </row>
    <row r="70" spans="1:14" s="39" customFormat="1" ht="12.75">
      <c r="A70" s="400"/>
      <c r="B70" s="400"/>
      <c r="C70" s="410">
        <v>4260</v>
      </c>
      <c r="D70" s="411" t="s">
        <v>338</v>
      </c>
      <c r="E70" s="412">
        <f t="shared" si="2"/>
        <v>3000</v>
      </c>
      <c r="F70" s="412">
        <f t="shared" si="13"/>
        <v>3000</v>
      </c>
      <c r="G70" s="412"/>
      <c r="H70" s="412"/>
      <c r="I70" s="412"/>
      <c r="J70" s="412"/>
      <c r="K70" s="412"/>
      <c r="L70" s="412"/>
      <c r="M70" s="412">
        <v>3000</v>
      </c>
      <c r="N70" s="412"/>
    </row>
    <row r="71" spans="1:14" s="39" customFormat="1" ht="12.75">
      <c r="A71" s="400"/>
      <c r="B71" s="400"/>
      <c r="C71" s="410">
        <v>4270</v>
      </c>
      <c r="D71" s="411" t="s">
        <v>355</v>
      </c>
      <c r="E71" s="412">
        <f t="shared" si="2"/>
        <v>8700</v>
      </c>
      <c r="F71" s="412">
        <f t="shared" si="13"/>
        <v>8700</v>
      </c>
      <c r="G71" s="412"/>
      <c r="H71" s="412"/>
      <c r="I71" s="412"/>
      <c r="J71" s="412"/>
      <c r="K71" s="412"/>
      <c r="L71" s="412"/>
      <c r="M71" s="412">
        <v>8700</v>
      </c>
      <c r="N71" s="412"/>
    </row>
    <row r="72" spans="1:14" s="39" customFormat="1" ht="12.75">
      <c r="A72" s="400"/>
      <c r="B72" s="400"/>
      <c r="C72" s="410">
        <v>4280</v>
      </c>
      <c r="D72" s="411" t="s">
        <v>372</v>
      </c>
      <c r="E72" s="412">
        <f t="shared" si="2"/>
        <v>200</v>
      </c>
      <c r="F72" s="412">
        <f t="shared" si="13"/>
        <v>200</v>
      </c>
      <c r="G72" s="412"/>
      <c r="H72" s="412"/>
      <c r="I72" s="412"/>
      <c r="J72" s="412"/>
      <c r="K72" s="412"/>
      <c r="L72" s="412"/>
      <c r="M72" s="412">
        <v>200</v>
      </c>
      <c r="N72" s="412"/>
    </row>
    <row r="73" spans="1:14" s="39" customFormat="1" ht="12.75">
      <c r="A73" s="400"/>
      <c r="B73" s="400"/>
      <c r="C73" s="410">
        <v>4300</v>
      </c>
      <c r="D73" s="411" t="s">
        <v>373</v>
      </c>
      <c r="E73" s="412">
        <f t="shared" si="2"/>
        <v>17800</v>
      </c>
      <c r="F73" s="412">
        <f t="shared" si="13"/>
        <v>17800</v>
      </c>
      <c r="G73" s="412"/>
      <c r="H73" s="412"/>
      <c r="I73" s="412"/>
      <c r="J73" s="412"/>
      <c r="K73" s="412"/>
      <c r="L73" s="412"/>
      <c r="M73" s="412">
        <v>17800</v>
      </c>
      <c r="N73" s="412"/>
    </row>
    <row r="74" spans="1:14" s="39" customFormat="1" ht="25.5">
      <c r="A74" s="400"/>
      <c r="B74" s="400"/>
      <c r="C74" s="410">
        <v>4350</v>
      </c>
      <c r="D74" s="411" t="s">
        <v>613</v>
      </c>
      <c r="E74" s="412">
        <f t="shared" si="2"/>
        <v>700</v>
      </c>
      <c r="F74" s="412">
        <f t="shared" si="13"/>
        <v>700</v>
      </c>
      <c r="G74" s="412"/>
      <c r="H74" s="412"/>
      <c r="I74" s="412"/>
      <c r="J74" s="412"/>
      <c r="K74" s="412"/>
      <c r="L74" s="412"/>
      <c r="M74" s="412">
        <v>700</v>
      </c>
      <c r="N74" s="412"/>
    </row>
    <row r="75" spans="1:14" s="39" customFormat="1" ht="38.25">
      <c r="A75" s="400"/>
      <c r="B75" s="400"/>
      <c r="C75" s="410">
        <v>4360</v>
      </c>
      <c r="D75" s="411" t="s">
        <v>563</v>
      </c>
      <c r="E75" s="412">
        <f t="shared" si="2"/>
        <v>1300</v>
      </c>
      <c r="F75" s="412">
        <f t="shared" si="13"/>
        <v>1300</v>
      </c>
      <c r="G75" s="412"/>
      <c r="H75" s="412"/>
      <c r="I75" s="412"/>
      <c r="J75" s="412"/>
      <c r="K75" s="412"/>
      <c r="L75" s="412"/>
      <c r="M75" s="412">
        <v>1300</v>
      </c>
      <c r="N75" s="412"/>
    </row>
    <row r="76" spans="1:14" s="39" customFormat="1" ht="38.25">
      <c r="A76" s="400"/>
      <c r="B76" s="400"/>
      <c r="C76" s="410">
        <v>4370</v>
      </c>
      <c r="D76" s="411" t="s">
        <v>564</v>
      </c>
      <c r="E76" s="412">
        <f aca="true" t="shared" si="18" ref="E76:E154">F76+N76</f>
        <v>5300</v>
      </c>
      <c r="F76" s="412">
        <f aca="true" t="shared" si="19" ref="F76:F154">SUM(G76:M76)</f>
        <v>5300</v>
      </c>
      <c r="G76" s="412"/>
      <c r="H76" s="412"/>
      <c r="I76" s="412"/>
      <c r="J76" s="412"/>
      <c r="K76" s="412"/>
      <c r="L76" s="412"/>
      <c r="M76" s="412">
        <v>5300</v>
      </c>
      <c r="N76" s="412"/>
    </row>
    <row r="77" spans="1:14" s="39" customFormat="1" ht="38.25">
      <c r="A77" s="400"/>
      <c r="B77" s="400"/>
      <c r="C77" s="410">
        <v>4400</v>
      </c>
      <c r="D77" s="411" t="s">
        <v>11</v>
      </c>
      <c r="E77" s="412">
        <f t="shared" si="18"/>
        <v>8200</v>
      </c>
      <c r="F77" s="412">
        <f t="shared" si="19"/>
        <v>8200</v>
      </c>
      <c r="G77" s="412"/>
      <c r="H77" s="412"/>
      <c r="I77" s="412"/>
      <c r="J77" s="412"/>
      <c r="K77" s="412"/>
      <c r="L77" s="412"/>
      <c r="M77" s="412">
        <v>8200</v>
      </c>
      <c r="N77" s="412"/>
    </row>
    <row r="78" spans="1:14" s="39" customFormat="1" ht="12.75">
      <c r="A78" s="400"/>
      <c r="B78" s="400"/>
      <c r="C78" s="410">
        <v>4410</v>
      </c>
      <c r="D78" s="411" t="s">
        <v>346</v>
      </c>
      <c r="E78" s="412">
        <f t="shared" si="18"/>
        <v>500</v>
      </c>
      <c r="F78" s="412">
        <f t="shared" si="19"/>
        <v>500</v>
      </c>
      <c r="G78" s="412"/>
      <c r="H78" s="412"/>
      <c r="I78" s="412"/>
      <c r="J78" s="412"/>
      <c r="K78" s="412"/>
      <c r="L78" s="412"/>
      <c r="M78" s="412">
        <v>500</v>
      </c>
      <c r="N78" s="412"/>
    </row>
    <row r="79" spans="1:14" s="39" customFormat="1" ht="12.75">
      <c r="A79" s="400"/>
      <c r="B79" s="400"/>
      <c r="C79" s="410">
        <v>4430</v>
      </c>
      <c r="D79" s="411" t="s">
        <v>347</v>
      </c>
      <c r="E79" s="412">
        <f t="shared" si="18"/>
        <v>2900</v>
      </c>
      <c r="F79" s="412">
        <f t="shared" si="19"/>
        <v>2900</v>
      </c>
      <c r="G79" s="412"/>
      <c r="H79" s="412"/>
      <c r="I79" s="412"/>
      <c r="J79" s="412"/>
      <c r="K79" s="412"/>
      <c r="L79" s="412"/>
      <c r="M79" s="412">
        <v>2900</v>
      </c>
      <c r="N79" s="412"/>
    </row>
    <row r="80" spans="1:14" s="39" customFormat="1" ht="40.5" customHeight="1">
      <c r="A80" s="400"/>
      <c r="B80" s="400"/>
      <c r="C80" s="410">
        <v>4440</v>
      </c>
      <c r="D80" s="411" t="s">
        <v>348</v>
      </c>
      <c r="E80" s="412">
        <f t="shared" si="18"/>
        <v>8900</v>
      </c>
      <c r="F80" s="412">
        <f t="shared" si="19"/>
        <v>8900</v>
      </c>
      <c r="G80" s="412"/>
      <c r="H80" s="412"/>
      <c r="I80" s="412"/>
      <c r="J80" s="412"/>
      <c r="K80" s="412"/>
      <c r="L80" s="412"/>
      <c r="M80" s="412">
        <v>8900</v>
      </c>
      <c r="N80" s="412"/>
    </row>
    <row r="81" spans="1:14" s="39" customFormat="1" ht="38.25">
      <c r="A81" s="400"/>
      <c r="B81" s="400"/>
      <c r="C81" s="410">
        <v>4700</v>
      </c>
      <c r="D81" s="411" t="s">
        <v>565</v>
      </c>
      <c r="E81" s="412">
        <f t="shared" si="18"/>
        <v>1000</v>
      </c>
      <c r="F81" s="412">
        <f t="shared" si="19"/>
        <v>1000</v>
      </c>
      <c r="G81" s="412"/>
      <c r="H81" s="412"/>
      <c r="I81" s="412"/>
      <c r="J81" s="412"/>
      <c r="K81" s="412"/>
      <c r="L81" s="412"/>
      <c r="M81" s="412">
        <v>1000</v>
      </c>
      <c r="N81" s="412"/>
    </row>
    <row r="82" spans="1:14" s="39" customFormat="1" ht="51">
      <c r="A82" s="400"/>
      <c r="B82" s="400"/>
      <c r="C82" s="410">
        <v>4740</v>
      </c>
      <c r="D82" s="411" t="s">
        <v>374</v>
      </c>
      <c r="E82" s="412">
        <f t="shared" si="18"/>
        <v>1200</v>
      </c>
      <c r="F82" s="412">
        <f t="shared" si="19"/>
        <v>1200</v>
      </c>
      <c r="G82" s="412"/>
      <c r="H82" s="412"/>
      <c r="I82" s="412"/>
      <c r="J82" s="412"/>
      <c r="K82" s="412"/>
      <c r="L82" s="412"/>
      <c r="M82" s="412">
        <v>1200</v>
      </c>
      <c r="N82" s="412"/>
    </row>
    <row r="83" spans="1:14" s="39" customFormat="1" ht="38.25">
      <c r="A83" s="400"/>
      <c r="B83" s="400"/>
      <c r="C83" s="410">
        <v>4750</v>
      </c>
      <c r="D83" s="411" t="s">
        <v>375</v>
      </c>
      <c r="E83" s="412">
        <f t="shared" si="18"/>
        <v>6800</v>
      </c>
      <c r="F83" s="412">
        <f t="shared" si="19"/>
        <v>6800</v>
      </c>
      <c r="G83" s="412"/>
      <c r="H83" s="412"/>
      <c r="I83" s="412"/>
      <c r="J83" s="412"/>
      <c r="K83" s="412"/>
      <c r="L83" s="412"/>
      <c r="M83" s="412">
        <v>6800</v>
      </c>
      <c r="N83" s="412"/>
    </row>
    <row r="84" spans="1:14" s="39" customFormat="1" ht="38.25" hidden="1">
      <c r="A84" s="400"/>
      <c r="B84" s="400"/>
      <c r="C84" s="410">
        <v>6060</v>
      </c>
      <c r="D84" s="418" t="s">
        <v>567</v>
      </c>
      <c r="E84" s="412">
        <f>F84+N84</f>
        <v>0</v>
      </c>
      <c r="F84" s="412">
        <f>SUM(G84:M84)</f>
        <v>0</v>
      </c>
      <c r="G84" s="412"/>
      <c r="H84" s="412"/>
      <c r="I84" s="412"/>
      <c r="J84" s="412"/>
      <c r="K84" s="412"/>
      <c r="L84" s="412"/>
      <c r="M84" s="412"/>
      <c r="N84" s="412">
        <v>0</v>
      </c>
    </row>
    <row r="85" spans="1:14" s="63" customFormat="1" ht="12.75">
      <c r="A85" s="405"/>
      <c r="B85" s="405">
        <v>71095</v>
      </c>
      <c r="C85" s="406"/>
      <c r="D85" s="416" t="s">
        <v>376</v>
      </c>
      <c r="E85" s="408">
        <f t="shared" si="18"/>
        <v>6000</v>
      </c>
      <c r="F85" s="408">
        <f t="shared" si="19"/>
        <v>6000</v>
      </c>
      <c r="G85" s="408">
        <f>SUM(G86:G86)</f>
        <v>0</v>
      </c>
      <c r="H85" s="408">
        <f aca="true" t="shared" si="20" ref="H85:N85">SUM(H86:H86)</f>
        <v>0</v>
      </c>
      <c r="I85" s="408">
        <f t="shared" si="20"/>
        <v>0</v>
      </c>
      <c r="J85" s="408">
        <f t="shared" si="20"/>
        <v>0</v>
      </c>
      <c r="K85" s="408">
        <f t="shared" si="20"/>
        <v>0</v>
      </c>
      <c r="L85" s="408">
        <f t="shared" si="20"/>
        <v>0</v>
      </c>
      <c r="M85" s="408">
        <f t="shared" si="20"/>
        <v>6000</v>
      </c>
      <c r="N85" s="408">
        <f t="shared" si="20"/>
        <v>0</v>
      </c>
    </row>
    <row r="86" spans="1:14" s="39" customFormat="1" ht="12.75">
      <c r="A86" s="409"/>
      <c r="B86" s="409"/>
      <c r="C86" s="410">
        <v>4300</v>
      </c>
      <c r="D86" s="411" t="s">
        <v>320</v>
      </c>
      <c r="E86" s="412">
        <f t="shared" si="18"/>
        <v>6000</v>
      </c>
      <c r="F86" s="412">
        <f t="shared" si="19"/>
        <v>6000</v>
      </c>
      <c r="G86" s="412"/>
      <c r="H86" s="412"/>
      <c r="I86" s="412"/>
      <c r="J86" s="412"/>
      <c r="K86" s="412"/>
      <c r="L86" s="412"/>
      <c r="M86" s="412">
        <v>6000</v>
      </c>
      <c r="N86" s="412"/>
    </row>
    <row r="87" spans="1:14" s="404" customFormat="1" ht="12.75">
      <c r="A87" s="421">
        <v>750</v>
      </c>
      <c r="B87" s="421"/>
      <c r="C87" s="421"/>
      <c r="D87" s="422" t="s">
        <v>377</v>
      </c>
      <c r="E87" s="403">
        <f t="shared" si="18"/>
        <v>8199730</v>
      </c>
      <c r="F87" s="403">
        <f t="shared" si="19"/>
        <v>8025730</v>
      </c>
      <c r="G87" s="403">
        <f aca="true" t="shared" si="21" ref="G87:N87">SUM(G88+G103+G113+G145+G160)</f>
        <v>3627347</v>
      </c>
      <c r="H87" s="403">
        <f t="shared" si="21"/>
        <v>247000</v>
      </c>
      <c r="I87" s="403">
        <f t="shared" si="21"/>
        <v>653900</v>
      </c>
      <c r="J87" s="403">
        <f t="shared" si="21"/>
        <v>0</v>
      </c>
      <c r="K87" s="403">
        <f t="shared" si="21"/>
        <v>0</v>
      </c>
      <c r="L87" s="403">
        <f t="shared" si="21"/>
        <v>0</v>
      </c>
      <c r="M87" s="403">
        <f t="shared" si="21"/>
        <v>3497483</v>
      </c>
      <c r="N87" s="403">
        <f t="shared" si="21"/>
        <v>174000</v>
      </c>
    </row>
    <row r="88" spans="1:14" s="63" customFormat="1" ht="12.75">
      <c r="A88" s="54"/>
      <c r="B88" s="54">
        <v>75011</v>
      </c>
      <c r="C88" s="54"/>
      <c r="D88" s="423" t="s">
        <v>378</v>
      </c>
      <c r="E88" s="408">
        <f t="shared" si="18"/>
        <v>523380</v>
      </c>
      <c r="F88" s="408">
        <f t="shared" si="19"/>
        <v>523380</v>
      </c>
      <c r="G88" s="408">
        <f>SUM(G89:G102)</f>
        <v>376847</v>
      </c>
      <c r="H88" s="408">
        <f aca="true" t="shared" si="22" ref="H88:N88">SUM(H89:H102)</f>
        <v>25000</v>
      </c>
      <c r="I88" s="408">
        <f t="shared" si="22"/>
        <v>71000</v>
      </c>
      <c r="J88" s="408">
        <f t="shared" si="22"/>
        <v>0</v>
      </c>
      <c r="K88" s="408">
        <f t="shared" si="22"/>
        <v>0</v>
      </c>
      <c r="L88" s="408">
        <f t="shared" si="22"/>
        <v>0</v>
      </c>
      <c r="M88" s="408">
        <f t="shared" si="22"/>
        <v>50533</v>
      </c>
      <c r="N88" s="408">
        <f t="shared" si="22"/>
        <v>0</v>
      </c>
    </row>
    <row r="89" spans="1:14" s="39" customFormat="1" ht="25.5">
      <c r="A89" s="400"/>
      <c r="B89" s="400"/>
      <c r="C89" s="410">
        <v>3020</v>
      </c>
      <c r="D89" s="411" t="s">
        <v>566</v>
      </c>
      <c r="E89" s="412">
        <f t="shared" si="18"/>
        <v>0</v>
      </c>
      <c r="F89" s="412">
        <f t="shared" si="19"/>
        <v>0</v>
      </c>
      <c r="G89" s="412"/>
      <c r="H89" s="412"/>
      <c r="I89" s="412"/>
      <c r="J89" s="412"/>
      <c r="K89" s="412"/>
      <c r="L89" s="412"/>
      <c r="M89" s="412"/>
      <c r="N89" s="412"/>
    </row>
    <row r="90" spans="1:16" s="39" customFormat="1" ht="25.5">
      <c r="A90" s="400"/>
      <c r="B90" s="400"/>
      <c r="C90" s="286">
        <v>4010</v>
      </c>
      <c r="D90" s="411" t="s">
        <v>332</v>
      </c>
      <c r="E90" s="412">
        <f t="shared" si="18"/>
        <v>376847</v>
      </c>
      <c r="F90" s="412">
        <f t="shared" si="19"/>
        <v>376847</v>
      </c>
      <c r="G90" s="412">
        <f>414600-37753</f>
        <v>376847</v>
      </c>
      <c r="H90" s="412"/>
      <c r="I90" s="412"/>
      <c r="J90" s="412"/>
      <c r="K90" s="412"/>
      <c r="L90" s="412"/>
      <c r="M90" s="412"/>
      <c r="N90" s="412"/>
      <c r="P90" s="39">
        <f>414600/523380</f>
        <v>0.79215866101112</v>
      </c>
    </row>
    <row r="91" spans="1:16" s="39" customFormat="1" ht="33" customHeight="1">
      <c r="A91" s="420"/>
      <c r="B91" s="400"/>
      <c r="C91" s="410">
        <v>4170</v>
      </c>
      <c r="D91" s="411" t="s">
        <v>371</v>
      </c>
      <c r="E91" s="412">
        <f>F91+N91</f>
        <v>0</v>
      </c>
      <c r="F91" s="412">
        <f>SUM(G91:M91)</f>
        <v>0</v>
      </c>
      <c r="G91" s="412"/>
      <c r="H91" s="412"/>
      <c r="I91" s="412"/>
      <c r="J91" s="412"/>
      <c r="K91" s="412"/>
      <c r="L91" s="412"/>
      <c r="M91" s="412"/>
      <c r="N91" s="412"/>
      <c r="P91" s="39">
        <f>G90*79.2%</f>
        <v>298462.824</v>
      </c>
    </row>
    <row r="92" spans="1:14" s="39" customFormat="1" ht="25.5">
      <c r="A92" s="400"/>
      <c r="B92" s="400"/>
      <c r="C92" s="410">
        <v>4040</v>
      </c>
      <c r="D92" s="411" t="s">
        <v>333</v>
      </c>
      <c r="E92" s="412">
        <f t="shared" si="18"/>
        <v>25000</v>
      </c>
      <c r="F92" s="412">
        <f t="shared" si="19"/>
        <v>25000</v>
      </c>
      <c r="G92" s="412"/>
      <c r="H92" s="412">
        <v>25000</v>
      </c>
      <c r="I92" s="412"/>
      <c r="J92" s="412"/>
      <c r="K92" s="412"/>
      <c r="L92" s="412"/>
      <c r="M92" s="412"/>
      <c r="N92" s="412"/>
    </row>
    <row r="93" spans="1:14" s="39" customFormat="1" ht="25.5">
      <c r="A93" s="400"/>
      <c r="B93" s="400"/>
      <c r="C93" s="410">
        <v>4110</v>
      </c>
      <c r="D93" s="411" t="s">
        <v>334</v>
      </c>
      <c r="E93" s="412">
        <f t="shared" si="18"/>
        <v>61000</v>
      </c>
      <c r="F93" s="412">
        <f t="shared" si="19"/>
        <v>61000</v>
      </c>
      <c r="G93" s="412"/>
      <c r="H93" s="412"/>
      <c r="I93" s="412">
        <v>61000</v>
      </c>
      <c r="J93" s="412"/>
      <c r="K93" s="412"/>
      <c r="L93" s="412"/>
      <c r="M93" s="412"/>
      <c r="N93" s="412"/>
    </row>
    <row r="94" spans="1:14" s="39" customFormat="1" ht="12.75">
      <c r="A94" s="400"/>
      <c r="B94" s="400"/>
      <c r="C94" s="410">
        <v>4120</v>
      </c>
      <c r="D94" s="411" t="s">
        <v>335</v>
      </c>
      <c r="E94" s="412">
        <f t="shared" si="18"/>
        <v>10000</v>
      </c>
      <c r="F94" s="412">
        <f t="shared" si="19"/>
        <v>10000</v>
      </c>
      <c r="G94" s="412"/>
      <c r="H94" s="412"/>
      <c r="I94" s="412">
        <v>10000</v>
      </c>
      <c r="J94" s="412"/>
      <c r="K94" s="412"/>
      <c r="L94" s="412"/>
      <c r="M94" s="412"/>
      <c r="N94" s="412"/>
    </row>
    <row r="95" spans="1:14" s="39" customFormat="1" ht="12.75">
      <c r="A95" s="420"/>
      <c r="B95" s="400"/>
      <c r="C95" s="410">
        <v>4170</v>
      </c>
      <c r="D95" s="411" t="s">
        <v>371</v>
      </c>
      <c r="E95" s="412">
        <f t="shared" si="18"/>
        <v>7753</v>
      </c>
      <c r="F95" s="412">
        <f t="shared" si="19"/>
        <v>7753</v>
      </c>
      <c r="G95" s="412"/>
      <c r="H95" s="412"/>
      <c r="I95" s="412"/>
      <c r="J95" s="412"/>
      <c r="K95" s="412"/>
      <c r="L95" s="412"/>
      <c r="M95" s="412">
        <v>7753</v>
      </c>
      <c r="N95" s="412"/>
    </row>
    <row r="96" spans="1:14" s="39" customFormat="1" ht="12.75">
      <c r="A96" s="400"/>
      <c r="B96" s="400"/>
      <c r="C96" s="410">
        <v>4280</v>
      </c>
      <c r="D96" s="411" t="s">
        <v>379</v>
      </c>
      <c r="E96" s="412">
        <f t="shared" si="18"/>
        <v>250</v>
      </c>
      <c r="F96" s="412">
        <f t="shared" si="19"/>
        <v>250</v>
      </c>
      <c r="G96" s="412"/>
      <c r="H96" s="412"/>
      <c r="I96" s="412"/>
      <c r="J96" s="412"/>
      <c r="K96" s="412"/>
      <c r="L96" s="412"/>
      <c r="M96" s="412">
        <v>250</v>
      </c>
      <c r="N96" s="412"/>
    </row>
    <row r="97" spans="1:14" s="39" customFormat="1" ht="12.75" hidden="1">
      <c r="A97" s="400"/>
      <c r="B97" s="400"/>
      <c r="C97" s="410">
        <v>4300</v>
      </c>
      <c r="D97" s="411" t="s">
        <v>373</v>
      </c>
      <c r="E97" s="412">
        <f t="shared" si="18"/>
        <v>0</v>
      </c>
      <c r="F97" s="412">
        <f t="shared" si="19"/>
        <v>0</v>
      </c>
      <c r="G97" s="412"/>
      <c r="H97" s="412"/>
      <c r="I97" s="412"/>
      <c r="J97" s="412"/>
      <c r="K97" s="412"/>
      <c r="L97" s="412"/>
      <c r="M97" s="412"/>
      <c r="N97" s="412"/>
    </row>
    <row r="98" spans="1:14" s="39" customFormat="1" ht="12.75">
      <c r="A98" s="400"/>
      <c r="B98" s="400"/>
      <c r="C98" s="410">
        <v>4410</v>
      </c>
      <c r="D98" s="411" t="s">
        <v>346</v>
      </c>
      <c r="E98" s="412">
        <f t="shared" si="18"/>
        <v>3600</v>
      </c>
      <c r="F98" s="412">
        <f t="shared" si="19"/>
        <v>3600</v>
      </c>
      <c r="G98" s="412"/>
      <c r="H98" s="412"/>
      <c r="I98" s="412"/>
      <c r="J98" s="412"/>
      <c r="K98" s="412"/>
      <c r="L98" s="412"/>
      <c r="M98" s="412">
        <v>3600</v>
      </c>
      <c r="N98" s="412"/>
    </row>
    <row r="99" spans="1:14" s="39" customFormat="1" ht="25.5">
      <c r="A99" s="400"/>
      <c r="B99" s="400"/>
      <c r="C99" s="410">
        <v>4440</v>
      </c>
      <c r="D99" s="411" t="s">
        <v>348</v>
      </c>
      <c r="E99" s="412">
        <f t="shared" si="18"/>
        <v>8930</v>
      </c>
      <c r="F99" s="412">
        <f t="shared" si="19"/>
        <v>8930</v>
      </c>
      <c r="G99" s="412"/>
      <c r="H99" s="412"/>
      <c r="I99" s="412"/>
      <c r="J99" s="412"/>
      <c r="K99" s="412"/>
      <c r="L99" s="412"/>
      <c r="M99" s="412">
        <v>8930</v>
      </c>
      <c r="N99" s="412"/>
    </row>
    <row r="100" spans="1:14" s="39" customFormat="1" ht="25.5" hidden="1">
      <c r="A100" s="400"/>
      <c r="B100" s="400"/>
      <c r="C100" s="410">
        <v>4610</v>
      </c>
      <c r="D100" s="411" t="s">
        <v>614</v>
      </c>
      <c r="E100" s="412">
        <f t="shared" si="18"/>
        <v>0</v>
      </c>
      <c r="F100" s="412">
        <f t="shared" si="19"/>
        <v>0</v>
      </c>
      <c r="G100" s="412"/>
      <c r="H100" s="412"/>
      <c r="I100" s="412"/>
      <c r="J100" s="412"/>
      <c r="K100" s="412"/>
      <c r="L100" s="412"/>
      <c r="M100" s="412"/>
      <c r="N100" s="412"/>
    </row>
    <row r="101" spans="1:14" s="39" customFormat="1" ht="38.25" hidden="1">
      <c r="A101" s="400"/>
      <c r="B101" s="400"/>
      <c r="C101" s="410">
        <v>4750</v>
      </c>
      <c r="D101" s="411" t="s">
        <v>375</v>
      </c>
      <c r="E101" s="412">
        <f>F101+N101</f>
        <v>0</v>
      </c>
      <c r="F101" s="412">
        <f>SUM(G101:M101)</f>
        <v>0</v>
      </c>
      <c r="G101" s="412"/>
      <c r="H101" s="412"/>
      <c r="I101" s="412"/>
      <c r="J101" s="412"/>
      <c r="K101" s="412"/>
      <c r="L101" s="412"/>
      <c r="M101" s="412"/>
      <c r="N101" s="412"/>
    </row>
    <row r="102" spans="1:14" s="39" customFormat="1" ht="25.5">
      <c r="A102" s="409"/>
      <c r="B102" s="409"/>
      <c r="C102" s="410">
        <v>4610</v>
      </c>
      <c r="D102" s="419" t="s">
        <v>356</v>
      </c>
      <c r="E102" s="412">
        <f>F102+N102</f>
        <v>30000</v>
      </c>
      <c r="F102" s="412">
        <f>SUM(G102:M102)</f>
        <v>30000</v>
      </c>
      <c r="G102" s="412"/>
      <c r="H102" s="412"/>
      <c r="I102" s="412"/>
      <c r="J102" s="412"/>
      <c r="K102" s="412"/>
      <c r="L102" s="412"/>
      <c r="M102" s="412">
        <v>30000</v>
      </c>
      <c r="N102" s="412"/>
    </row>
    <row r="103" spans="1:14" s="63" customFormat="1" ht="12.75">
      <c r="A103" s="405"/>
      <c r="B103" s="405">
        <v>75019</v>
      </c>
      <c r="C103" s="406"/>
      <c r="D103" s="416" t="s">
        <v>380</v>
      </c>
      <c r="E103" s="408">
        <f t="shared" si="18"/>
        <v>416200</v>
      </c>
      <c r="F103" s="408">
        <f t="shared" si="19"/>
        <v>416200</v>
      </c>
      <c r="G103" s="408">
        <f aca="true" t="shared" si="23" ref="G103:L103">SUM(G104:G112)</f>
        <v>0</v>
      </c>
      <c r="H103" s="408">
        <f t="shared" si="23"/>
        <v>0</v>
      </c>
      <c r="I103" s="408">
        <f t="shared" si="23"/>
        <v>0</v>
      </c>
      <c r="J103" s="408">
        <f t="shared" si="23"/>
        <v>0</v>
      </c>
      <c r="K103" s="408">
        <f t="shared" si="23"/>
        <v>0</v>
      </c>
      <c r="L103" s="408">
        <f t="shared" si="23"/>
        <v>0</v>
      </c>
      <c r="M103" s="408">
        <f>SUM(M104:M112)</f>
        <v>416200</v>
      </c>
      <c r="N103" s="408">
        <f>SUM(N104:N110)</f>
        <v>0</v>
      </c>
    </row>
    <row r="104" spans="1:14" s="39" customFormat="1" ht="25.5">
      <c r="A104" s="409"/>
      <c r="B104" s="409"/>
      <c r="C104" s="410">
        <v>3030</v>
      </c>
      <c r="D104" s="411" t="s">
        <v>381</v>
      </c>
      <c r="E104" s="412">
        <f t="shared" si="18"/>
        <v>374000</v>
      </c>
      <c r="F104" s="412">
        <f t="shared" si="19"/>
        <v>374000</v>
      </c>
      <c r="G104" s="412"/>
      <c r="H104" s="412"/>
      <c r="I104" s="412"/>
      <c r="J104" s="412"/>
      <c r="K104" s="412"/>
      <c r="L104" s="412"/>
      <c r="M104" s="412">
        <v>374000</v>
      </c>
      <c r="N104" s="412"/>
    </row>
    <row r="105" spans="1:14" s="39" customFormat="1" ht="25.5">
      <c r="A105" s="409"/>
      <c r="B105" s="409"/>
      <c r="C105" s="410">
        <v>4210</v>
      </c>
      <c r="D105" s="411" t="s">
        <v>337</v>
      </c>
      <c r="E105" s="412">
        <f t="shared" si="18"/>
        <v>12800</v>
      </c>
      <c r="F105" s="412">
        <f t="shared" si="19"/>
        <v>12800</v>
      </c>
      <c r="G105" s="412"/>
      <c r="H105" s="412"/>
      <c r="I105" s="412"/>
      <c r="J105" s="412"/>
      <c r="K105" s="412"/>
      <c r="L105" s="412"/>
      <c r="M105" s="412">
        <f>7800+5000</f>
        <v>12800</v>
      </c>
      <c r="N105" s="412"/>
    </row>
    <row r="106" spans="1:14" s="39" customFormat="1" ht="12.75">
      <c r="A106" s="409"/>
      <c r="B106" s="409"/>
      <c r="C106" s="410">
        <v>4300</v>
      </c>
      <c r="D106" s="411" t="s">
        <v>382</v>
      </c>
      <c r="E106" s="412">
        <f t="shared" si="18"/>
        <v>7300</v>
      </c>
      <c r="F106" s="412">
        <f t="shared" si="19"/>
        <v>7300</v>
      </c>
      <c r="G106" s="412"/>
      <c r="H106" s="412"/>
      <c r="I106" s="412"/>
      <c r="J106" s="412"/>
      <c r="K106" s="412"/>
      <c r="L106" s="412"/>
      <c r="M106" s="412">
        <f>2300+5000</f>
        <v>7300</v>
      </c>
      <c r="N106" s="412"/>
    </row>
    <row r="107" spans="1:14" s="39" customFormat="1" ht="38.25">
      <c r="A107" s="409"/>
      <c r="B107" s="409"/>
      <c r="C107" s="410">
        <v>4360</v>
      </c>
      <c r="D107" s="411" t="s">
        <v>4</v>
      </c>
      <c r="E107" s="412">
        <f>F107+N107</f>
        <v>8500</v>
      </c>
      <c r="F107" s="412">
        <f>SUM(G107:M107)</f>
        <v>8500</v>
      </c>
      <c r="G107" s="412"/>
      <c r="H107" s="412"/>
      <c r="I107" s="412"/>
      <c r="J107" s="412"/>
      <c r="K107" s="412"/>
      <c r="L107" s="412"/>
      <c r="M107" s="412">
        <v>8500</v>
      </c>
      <c r="N107" s="412"/>
    </row>
    <row r="108" spans="1:14" s="39" customFormat="1" ht="38.25">
      <c r="A108" s="409"/>
      <c r="B108" s="409"/>
      <c r="C108" s="410">
        <v>4370</v>
      </c>
      <c r="D108" s="411" t="s">
        <v>564</v>
      </c>
      <c r="E108" s="412">
        <f t="shared" si="18"/>
        <v>0</v>
      </c>
      <c r="F108" s="412">
        <f t="shared" si="19"/>
        <v>0</v>
      </c>
      <c r="G108" s="412"/>
      <c r="H108" s="412"/>
      <c r="I108" s="412"/>
      <c r="J108" s="412"/>
      <c r="K108" s="412"/>
      <c r="L108" s="412"/>
      <c r="M108" s="412"/>
      <c r="N108" s="412"/>
    </row>
    <row r="109" spans="1:14" s="39" customFormat="1" ht="52.5" customHeight="1">
      <c r="A109" s="409"/>
      <c r="B109" s="409"/>
      <c r="C109" s="410">
        <v>4400</v>
      </c>
      <c r="D109" s="411" t="s">
        <v>11</v>
      </c>
      <c r="E109" s="412">
        <f t="shared" si="18"/>
        <v>2600</v>
      </c>
      <c r="F109" s="412">
        <f t="shared" si="19"/>
        <v>2600</v>
      </c>
      <c r="G109" s="412"/>
      <c r="H109" s="412"/>
      <c r="I109" s="412"/>
      <c r="J109" s="412"/>
      <c r="K109" s="412"/>
      <c r="L109" s="412"/>
      <c r="M109" s="412">
        <v>2600</v>
      </c>
      <c r="N109" s="412"/>
    </row>
    <row r="110" spans="1:14" s="39" customFormat="1" ht="12.75">
      <c r="A110" s="409"/>
      <c r="B110" s="409"/>
      <c r="C110" s="410">
        <v>4410</v>
      </c>
      <c r="D110" s="411" t="s">
        <v>346</v>
      </c>
      <c r="E110" s="412">
        <f t="shared" si="18"/>
        <v>2000</v>
      </c>
      <c r="F110" s="412">
        <f t="shared" si="19"/>
        <v>2000</v>
      </c>
      <c r="G110" s="412"/>
      <c r="H110" s="412"/>
      <c r="I110" s="412"/>
      <c r="J110" s="412"/>
      <c r="K110" s="412"/>
      <c r="L110" s="412"/>
      <c r="M110" s="412">
        <v>2000</v>
      </c>
      <c r="N110" s="412"/>
    </row>
    <row r="111" spans="1:14" s="39" customFormat="1" ht="25.5">
      <c r="A111" s="409"/>
      <c r="B111" s="409"/>
      <c r="C111" s="410">
        <v>4420</v>
      </c>
      <c r="D111" s="411" t="s">
        <v>7</v>
      </c>
      <c r="E111" s="412">
        <f>F111+N111</f>
        <v>4000</v>
      </c>
      <c r="F111" s="412">
        <f>SUM(G111:M111)</f>
        <v>4000</v>
      </c>
      <c r="G111" s="412"/>
      <c r="H111" s="412"/>
      <c r="I111" s="412"/>
      <c r="J111" s="412"/>
      <c r="K111" s="412"/>
      <c r="L111" s="412"/>
      <c r="M111" s="412">
        <v>4000</v>
      </c>
      <c r="N111" s="412"/>
    </row>
    <row r="112" spans="1:14" s="39" customFormat="1" ht="38.25">
      <c r="A112" s="409"/>
      <c r="B112" s="409"/>
      <c r="C112" s="410">
        <v>4700</v>
      </c>
      <c r="D112" s="411" t="s">
        <v>565</v>
      </c>
      <c r="E112" s="412">
        <f t="shared" si="18"/>
        <v>5000</v>
      </c>
      <c r="F112" s="412">
        <f t="shared" si="19"/>
        <v>5000</v>
      </c>
      <c r="G112" s="412"/>
      <c r="H112" s="412"/>
      <c r="I112" s="412"/>
      <c r="J112" s="412"/>
      <c r="K112" s="412"/>
      <c r="L112" s="412"/>
      <c r="M112" s="412">
        <v>5000</v>
      </c>
      <c r="N112" s="412"/>
    </row>
    <row r="113" spans="1:14" s="63" customFormat="1" ht="12.75">
      <c r="A113" s="405"/>
      <c r="B113" s="405">
        <v>75020</v>
      </c>
      <c r="C113" s="406"/>
      <c r="D113" s="416" t="s">
        <v>383</v>
      </c>
      <c r="E113" s="408">
        <f t="shared" si="18"/>
        <v>7101150</v>
      </c>
      <c r="F113" s="408">
        <f t="shared" si="19"/>
        <v>6927150</v>
      </c>
      <c r="G113" s="408">
        <f aca="true" t="shared" si="24" ref="G113:N113">SUM(G114:G144)</f>
        <v>3250500</v>
      </c>
      <c r="H113" s="408">
        <f t="shared" si="24"/>
        <v>222000</v>
      </c>
      <c r="I113" s="408">
        <f t="shared" si="24"/>
        <v>582000</v>
      </c>
      <c r="J113" s="408">
        <f t="shared" si="24"/>
        <v>0</v>
      </c>
      <c r="K113" s="408">
        <f t="shared" si="24"/>
        <v>0</v>
      </c>
      <c r="L113" s="408">
        <f t="shared" si="24"/>
        <v>0</v>
      </c>
      <c r="M113" s="408">
        <f t="shared" si="24"/>
        <v>2872650</v>
      </c>
      <c r="N113" s="408">
        <f t="shared" si="24"/>
        <v>174000</v>
      </c>
    </row>
    <row r="114" spans="1:14" s="39" customFormat="1" ht="76.5">
      <c r="A114" s="409"/>
      <c r="B114" s="409"/>
      <c r="C114" s="410">
        <v>2900</v>
      </c>
      <c r="D114" s="411" t="s">
        <v>394</v>
      </c>
      <c r="E114" s="412">
        <f t="shared" si="18"/>
        <v>7800</v>
      </c>
      <c r="F114" s="412">
        <f t="shared" si="19"/>
        <v>7800</v>
      </c>
      <c r="G114" s="412"/>
      <c r="H114" s="412"/>
      <c r="I114" s="412"/>
      <c r="J114" s="412"/>
      <c r="K114" s="412"/>
      <c r="L114" s="412"/>
      <c r="M114" s="412">
        <v>7800</v>
      </c>
      <c r="N114" s="412"/>
    </row>
    <row r="115" spans="1:14" s="39" customFormat="1" ht="25.5">
      <c r="A115" s="420"/>
      <c r="B115" s="400"/>
      <c r="C115" s="410">
        <v>3020</v>
      </c>
      <c r="D115" s="411" t="s">
        <v>566</v>
      </c>
      <c r="E115" s="412">
        <f t="shared" si="18"/>
        <v>7600</v>
      </c>
      <c r="F115" s="412">
        <f t="shared" si="19"/>
        <v>7600</v>
      </c>
      <c r="G115" s="412"/>
      <c r="H115" s="412"/>
      <c r="I115" s="412"/>
      <c r="J115" s="412"/>
      <c r="K115" s="412"/>
      <c r="L115" s="412"/>
      <c r="M115" s="412">
        <v>7600</v>
      </c>
      <c r="N115" s="412"/>
    </row>
    <row r="116" spans="1:14" s="39" customFormat="1" ht="12.75">
      <c r="A116" s="420"/>
      <c r="B116" s="400"/>
      <c r="C116" s="410">
        <v>3250</v>
      </c>
      <c r="D116" s="411" t="s">
        <v>395</v>
      </c>
      <c r="E116" s="412">
        <f t="shared" si="18"/>
        <v>13000</v>
      </c>
      <c r="F116" s="412">
        <f t="shared" si="19"/>
        <v>13000</v>
      </c>
      <c r="G116" s="412"/>
      <c r="H116" s="412"/>
      <c r="I116" s="412"/>
      <c r="J116" s="412"/>
      <c r="K116" s="412"/>
      <c r="L116" s="412"/>
      <c r="M116" s="412">
        <v>13000</v>
      </c>
      <c r="N116" s="412"/>
    </row>
    <row r="117" spans="1:14" s="39" customFormat="1" ht="25.5">
      <c r="A117" s="420"/>
      <c r="B117" s="400"/>
      <c r="C117" s="286">
        <v>4010</v>
      </c>
      <c r="D117" s="411" t="s">
        <v>332</v>
      </c>
      <c r="E117" s="412">
        <f t="shared" si="18"/>
        <v>3250500</v>
      </c>
      <c r="F117" s="412">
        <f t="shared" si="19"/>
        <v>3250500</v>
      </c>
      <c r="G117" s="412">
        <v>3250500</v>
      </c>
      <c r="H117" s="412"/>
      <c r="I117" s="412"/>
      <c r="J117" s="412"/>
      <c r="K117" s="412"/>
      <c r="L117" s="412"/>
      <c r="M117" s="412"/>
      <c r="N117" s="412"/>
    </row>
    <row r="118" spans="1:14" s="39" customFormat="1" ht="25.5">
      <c r="A118" s="420"/>
      <c r="B118" s="400"/>
      <c r="C118" s="410">
        <v>4040</v>
      </c>
      <c r="D118" s="411" t="s">
        <v>333</v>
      </c>
      <c r="E118" s="412">
        <f t="shared" si="18"/>
        <v>222000</v>
      </c>
      <c r="F118" s="412">
        <f t="shared" si="19"/>
        <v>222000</v>
      </c>
      <c r="G118" s="412"/>
      <c r="H118" s="412">
        <v>222000</v>
      </c>
      <c r="I118" s="412"/>
      <c r="J118" s="412"/>
      <c r="K118" s="412"/>
      <c r="L118" s="412"/>
      <c r="M118" s="412"/>
      <c r="N118" s="412"/>
    </row>
    <row r="119" spans="1:14" s="39" customFormat="1" ht="25.5">
      <c r="A119" s="420"/>
      <c r="B119" s="400"/>
      <c r="C119" s="410">
        <v>4110</v>
      </c>
      <c r="D119" s="411" t="s">
        <v>334</v>
      </c>
      <c r="E119" s="412">
        <f t="shared" si="18"/>
        <v>501000</v>
      </c>
      <c r="F119" s="412">
        <f t="shared" si="19"/>
        <v>501000</v>
      </c>
      <c r="G119" s="412"/>
      <c r="H119" s="412"/>
      <c r="I119" s="412">
        <v>501000</v>
      </c>
      <c r="J119" s="412"/>
      <c r="K119" s="412"/>
      <c r="L119" s="412"/>
      <c r="M119" s="412"/>
      <c r="N119" s="412"/>
    </row>
    <row r="120" spans="1:14" s="39" customFormat="1" ht="12.75">
      <c r="A120" s="420"/>
      <c r="B120" s="400"/>
      <c r="C120" s="410">
        <v>4120</v>
      </c>
      <c r="D120" s="411" t="s">
        <v>335</v>
      </c>
      <c r="E120" s="412">
        <f t="shared" si="18"/>
        <v>81000</v>
      </c>
      <c r="F120" s="412">
        <f t="shared" si="19"/>
        <v>81000</v>
      </c>
      <c r="G120" s="412"/>
      <c r="H120" s="412"/>
      <c r="I120" s="412">
        <v>81000</v>
      </c>
      <c r="J120" s="412"/>
      <c r="K120" s="412"/>
      <c r="L120" s="412"/>
      <c r="M120" s="412"/>
      <c r="N120" s="412"/>
    </row>
    <row r="121" spans="1:14" s="39" customFormat="1" ht="12.75">
      <c r="A121" s="420"/>
      <c r="B121" s="400"/>
      <c r="C121" s="410">
        <v>4140</v>
      </c>
      <c r="D121" s="411" t="s">
        <v>8</v>
      </c>
      <c r="E121" s="412">
        <f t="shared" si="18"/>
        <v>2000</v>
      </c>
      <c r="F121" s="412">
        <f t="shared" si="19"/>
        <v>2000</v>
      </c>
      <c r="G121" s="412"/>
      <c r="H121" s="412"/>
      <c r="I121" s="412"/>
      <c r="J121" s="412"/>
      <c r="K121" s="412"/>
      <c r="L121" s="412"/>
      <c r="M121" s="412">
        <v>2000</v>
      </c>
      <c r="N121" s="412"/>
    </row>
    <row r="122" spans="1:14" s="39" customFormat="1" ht="12.75">
      <c r="A122" s="420"/>
      <c r="B122" s="400"/>
      <c r="C122" s="410">
        <v>4170</v>
      </c>
      <c r="D122" s="411" t="s">
        <v>371</v>
      </c>
      <c r="E122" s="412">
        <f t="shared" si="18"/>
        <v>5300</v>
      </c>
      <c r="F122" s="412">
        <f t="shared" si="19"/>
        <v>5300</v>
      </c>
      <c r="G122" s="412"/>
      <c r="H122" s="412"/>
      <c r="I122" s="412"/>
      <c r="J122" s="412"/>
      <c r="K122" s="412"/>
      <c r="L122" s="412"/>
      <c r="M122" s="412">
        <v>5300</v>
      </c>
      <c r="N122" s="412"/>
    </row>
    <row r="123" spans="1:14" s="39" customFormat="1" ht="25.5">
      <c r="A123" s="420"/>
      <c r="B123" s="400"/>
      <c r="C123" s="410">
        <v>4210</v>
      </c>
      <c r="D123" s="411" t="s">
        <v>337</v>
      </c>
      <c r="E123" s="412">
        <f t="shared" si="18"/>
        <v>898600</v>
      </c>
      <c r="F123" s="412">
        <f t="shared" si="19"/>
        <v>898600</v>
      </c>
      <c r="G123" s="412"/>
      <c r="H123" s="412"/>
      <c r="I123" s="412"/>
      <c r="J123" s="412"/>
      <c r="K123" s="412"/>
      <c r="L123" s="412"/>
      <c r="M123" s="412">
        <v>898600</v>
      </c>
      <c r="N123" s="412"/>
    </row>
    <row r="124" spans="1:14" s="39" customFormat="1" ht="38.25">
      <c r="A124" s="420"/>
      <c r="B124" s="400"/>
      <c r="C124" s="410">
        <v>4230</v>
      </c>
      <c r="D124" s="411" t="s">
        <v>595</v>
      </c>
      <c r="E124" s="412">
        <f t="shared" si="18"/>
        <v>2000</v>
      </c>
      <c r="F124" s="412">
        <f t="shared" si="19"/>
        <v>2000</v>
      </c>
      <c r="G124" s="412"/>
      <c r="H124" s="412"/>
      <c r="I124" s="412"/>
      <c r="J124" s="412"/>
      <c r="K124" s="412"/>
      <c r="L124" s="412"/>
      <c r="M124" s="412">
        <v>2000</v>
      </c>
      <c r="N124" s="412"/>
    </row>
    <row r="125" spans="1:14" s="39" customFormat="1" ht="12.75">
      <c r="A125" s="420"/>
      <c r="B125" s="400"/>
      <c r="C125" s="410">
        <v>4260</v>
      </c>
      <c r="D125" s="411" t="s">
        <v>338</v>
      </c>
      <c r="E125" s="412">
        <f t="shared" si="18"/>
        <v>188000</v>
      </c>
      <c r="F125" s="412">
        <f t="shared" si="19"/>
        <v>188000</v>
      </c>
      <c r="G125" s="412"/>
      <c r="H125" s="412"/>
      <c r="I125" s="412"/>
      <c r="J125" s="412"/>
      <c r="K125" s="412"/>
      <c r="L125" s="412"/>
      <c r="M125" s="412">
        <v>188000</v>
      </c>
      <c r="N125" s="412"/>
    </row>
    <row r="126" spans="1:14" s="39" customFormat="1" ht="12.75">
      <c r="A126" s="400"/>
      <c r="B126" s="400"/>
      <c r="C126" s="410">
        <v>4270</v>
      </c>
      <c r="D126" s="411" t="s">
        <v>339</v>
      </c>
      <c r="E126" s="412">
        <f t="shared" si="18"/>
        <v>69350</v>
      </c>
      <c r="F126" s="412">
        <f t="shared" si="19"/>
        <v>69350</v>
      </c>
      <c r="G126" s="412"/>
      <c r="H126" s="412"/>
      <c r="I126" s="412"/>
      <c r="J126" s="412"/>
      <c r="K126" s="412"/>
      <c r="L126" s="412"/>
      <c r="M126" s="412">
        <v>69350</v>
      </c>
      <c r="N126" s="412"/>
    </row>
    <row r="127" spans="1:14" s="39" customFormat="1" ht="12.75">
      <c r="A127" s="400"/>
      <c r="B127" s="400"/>
      <c r="C127" s="410">
        <v>4280</v>
      </c>
      <c r="D127" s="424" t="s">
        <v>340</v>
      </c>
      <c r="E127" s="412">
        <f t="shared" si="18"/>
        <v>2000</v>
      </c>
      <c r="F127" s="412">
        <f t="shared" si="19"/>
        <v>2000</v>
      </c>
      <c r="G127" s="412"/>
      <c r="H127" s="412"/>
      <c r="I127" s="412"/>
      <c r="J127" s="412"/>
      <c r="K127" s="412"/>
      <c r="L127" s="412"/>
      <c r="M127" s="412">
        <v>2000</v>
      </c>
      <c r="N127" s="412"/>
    </row>
    <row r="128" spans="1:14" s="39" customFormat="1" ht="12.75">
      <c r="A128" s="400"/>
      <c r="B128" s="400"/>
      <c r="C128" s="410">
        <v>4300</v>
      </c>
      <c r="D128" s="411" t="s">
        <v>320</v>
      </c>
      <c r="E128" s="412">
        <f t="shared" si="18"/>
        <v>598700</v>
      </c>
      <c r="F128" s="412">
        <f t="shared" si="19"/>
        <v>598700</v>
      </c>
      <c r="G128" s="412"/>
      <c r="H128" s="412"/>
      <c r="I128" s="412"/>
      <c r="J128" s="412"/>
      <c r="K128" s="412"/>
      <c r="L128" s="412"/>
      <c r="M128" s="412">
        <v>598700</v>
      </c>
      <c r="N128" s="412"/>
    </row>
    <row r="129" spans="1:14" s="39" customFormat="1" ht="25.5">
      <c r="A129" s="400"/>
      <c r="B129" s="400"/>
      <c r="C129" s="410">
        <v>4350</v>
      </c>
      <c r="D129" s="411" t="s">
        <v>341</v>
      </c>
      <c r="E129" s="412">
        <f t="shared" si="18"/>
        <v>7000</v>
      </c>
      <c r="F129" s="412">
        <f t="shared" si="19"/>
        <v>7000</v>
      </c>
      <c r="G129" s="412"/>
      <c r="H129" s="412"/>
      <c r="I129" s="412"/>
      <c r="J129" s="412"/>
      <c r="K129" s="412"/>
      <c r="L129" s="412"/>
      <c r="M129" s="412">
        <v>7000</v>
      </c>
      <c r="N129" s="412"/>
    </row>
    <row r="130" spans="1:14" s="39" customFormat="1" ht="38.25">
      <c r="A130" s="400"/>
      <c r="B130" s="400"/>
      <c r="C130" s="410">
        <v>4360</v>
      </c>
      <c r="D130" s="411" t="s">
        <v>563</v>
      </c>
      <c r="E130" s="412">
        <f t="shared" si="18"/>
        <v>22000</v>
      </c>
      <c r="F130" s="412">
        <f t="shared" si="19"/>
        <v>22000</v>
      </c>
      <c r="G130" s="412"/>
      <c r="H130" s="412"/>
      <c r="I130" s="412"/>
      <c r="J130" s="412"/>
      <c r="K130" s="412"/>
      <c r="L130" s="412"/>
      <c r="M130" s="412">
        <v>22000</v>
      </c>
      <c r="N130" s="412"/>
    </row>
    <row r="131" spans="1:14" s="39" customFormat="1" ht="38.25">
      <c r="A131" s="400"/>
      <c r="B131" s="400"/>
      <c r="C131" s="410">
        <v>4370</v>
      </c>
      <c r="D131" s="411" t="s">
        <v>564</v>
      </c>
      <c r="E131" s="412">
        <f t="shared" si="18"/>
        <v>41000</v>
      </c>
      <c r="F131" s="412">
        <f t="shared" si="19"/>
        <v>41000</v>
      </c>
      <c r="G131" s="412"/>
      <c r="H131" s="412"/>
      <c r="I131" s="412"/>
      <c r="J131" s="412"/>
      <c r="K131" s="412"/>
      <c r="L131" s="412"/>
      <c r="M131" s="412">
        <v>41000</v>
      </c>
      <c r="N131" s="412"/>
    </row>
    <row r="132" spans="1:14" s="39" customFormat="1" ht="38.25">
      <c r="A132" s="400"/>
      <c r="B132" s="400"/>
      <c r="C132" s="410">
        <v>4380</v>
      </c>
      <c r="D132" s="411" t="s">
        <v>562</v>
      </c>
      <c r="E132" s="412">
        <f t="shared" si="18"/>
        <v>1200</v>
      </c>
      <c r="F132" s="412">
        <f t="shared" si="19"/>
        <v>1200</v>
      </c>
      <c r="G132" s="412"/>
      <c r="H132" s="412"/>
      <c r="I132" s="412"/>
      <c r="J132" s="412"/>
      <c r="K132" s="412"/>
      <c r="L132" s="412"/>
      <c r="M132" s="412">
        <v>1200</v>
      </c>
      <c r="N132" s="412"/>
    </row>
    <row r="133" spans="1:14" s="39" customFormat="1" ht="38.25">
      <c r="A133" s="400"/>
      <c r="B133" s="400"/>
      <c r="C133" s="410">
        <v>4400</v>
      </c>
      <c r="D133" s="411" t="s">
        <v>11</v>
      </c>
      <c r="E133" s="412">
        <f t="shared" si="18"/>
        <v>802000</v>
      </c>
      <c r="F133" s="412">
        <f t="shared" si="19"/>
        <v>802000</v>
      </c>
      <c r="G133" s="412"/>
      <c r="H133" s="412"/>
      <c r="I133" s="412"/>
      <c r="J133" s="412"/>
      <c r="K133" s="412"/>
      <c r="L133" s="412"/>
      <c r="M133" s="412">
        <v>802000</v>
      </c>
      <c r="N133" s="412"/>
    </row>
    <row r="134" spans="1:14" s="39" customFormat="1" ht="12.75">
      <c r="A134" s="400"/>
      <c r="B134" s="400"/>
      <c r="C134" s="410">
        <v>4410</v>
      </c>
      <c r="D134" s="411" t="s">
        <v>346</v>
      </c>
      <c r="E134" s="412">
        <f t="shared" si="18"/>
        <v>23000</v>
      </c>
      <c r="F134" s="412">
        <f t="shared" si="19"/>
        <v>23000</v>
      </c>
      <c r="G134" s="412"/>
      <c r="H134" s="412"/>
      <c r="I134" s="412"/>
      <c r="J134" s="412"/>
      <c r="K134" s="412"/>
      <c r="L134" s="412"/>
      <c r="M134" s="412">
        <v>23000</v>
      </c>
      <c r="N134" s="412"/>
    </row>
    <row r="135" spans="1:14" s="39" customFormat="1" ht="25.5">
      <c r="A135" s="400"/>
      <c r="B135" s="400"/>
      <c r="C135" s="410">
        <v>4420</v>
      </c>
      <c r="D135" s="411" t="s">
        <v>7</v>
      </c>
      <c r="E135" s="412">
        <f t="shared" si="18"/>
        <v>4000</v>
      </c>
      <c r="F135" s="412">
        <f>SUM(G135:M135)</f>
        <v>4000</v>
      </c>
      <c r="G135" s="412"/>
      <c r="H135" s="412"/>
      <c r="I135" s="412"/>
      <c r="J135" s="412"/>
      <c r="K135" s="412"/>
      <c r="L135" s="412"/>
      <c r="M135" s="412">
        <v>4000</v>
      </c>
      <c r="N135" s="412"/>
    </row>
    <row r="136" spans="1:14" s="39" customFormat="1" ht="12.75">
      <c r="A136" s="400"/>
      <c r="B136" s="400"/>
      <c r="C136" s="410">
        <v>4430</v>
      </c>
      <c r="D136" s="411" t="s">
        <v>347</v>
      </c>
      <c r="E136" s="412">
        <f t="shared" si="18"/>
        <v>12000</v>
      </c>
      <c r="F136" s="412">
        <f t="shared" si="19"/>
        <v>12000</v>
      </c>
      <c r="G136" s="412"/>
      <c r="H136" s="412"/>
      <c r="I136" s="412"/>
      <c r="J136" s="412"/>
      <c r="K136" s="412"/>
      <c r="L136" s="412"/>
      <c r="M136" s="412">
        <v>12000</v>
      </c>
      <c r="N136" s="412"/>
    </row>
    <row r="137" spans="1:14" s="39" customFormat="1" ht="25.5">
      <c r="A137" s="400"/>
      <c r="B137" s="400"/>
      <c r="C137" s="410">
        <v>4440</v>
      </c>
      <c r="D137" s="411" t="s">
        <v>348</v>
      </c>
      <c r="E137" s="412">
        <f t="shared" si="18"/>
        <v>74400</v>
      </c>
      <c r="F137" s="412">
        <f t="shared" si="19"/>
        <v>74400</v>
      </c>
      <c r="G137" s="412"/>
      <c r="H137" s="412"/>
      <c r="I137" s="412"/>
      <c r="J137" s="412"/>
      <c r="K137" s="412"/>
      <c r="L137" s="412"/>
      <c r="M137" s="412">
        <v>74400</v>
      </c>
      <c r="N137" s="412"/>
    </row>
    <row r="138" spans="1:14" s="39" customFormat="1" ht="25.5">
      <c r="A138" s="400"/>
      <c r="B138" s="400"/>
      <c r="C138" s="410">
        <v>4510</v>
      </c>
      <c r="D138" s="411" t="s">
        <v>602</v>
      </c>
      <c r="E138" s="412">
        <f>F138+N138</f>
        <v>500</v>
      </c>
      <c r="F138" s="412">
        <f>SUM(G138:M138)</f>
        <v>500</v>
      </c>
      <c r="G138" s="412"/>
      <c r="H138" s="412"/>
      <c r="I138" s="412"/>
      <c r="J138" s="412"/>
      <c r="K138" s="412"/>
      <c r="L138" s="412"/>
      <c r="M138" s="412">
        <v>500</v>
      </c>
      <c r="N138" s="412"/>
    </row>
    <row r="139" spans="1:14" s="39" customFormat="1" ht="38.25">
      <c r="A139" s="400"/>
      <c r="B139" s="400"/>
      <c r="C139" s="410">
        <v>4700</v>
      </c>
      <c r="D139" s="411" t="s">
        <v>565</v>
      </c>
      <c r="E139" s="412">
        <f t="shared" si="18"/>
        <v>25000</v>
      </c>
      <c r="F139" s="412">
        <f t="shared" si="19"/>
        <v>25000</v>
      </c>
      <c r="G139" s="412"/>
      <c r="H139" s="412"/>
      <c r="I139" s="412"/>
      <c r="J139" s="412"/>
      <c r="K139" s="412"/>
      <c r="L139" s="412"/>
      <c r="M139" s="412">
        <v>25000</v>
      </c>
      <c r="N139" s="412"/>
    </row>
    <row r="140" spans="1:14" s="39" customFormat="1" ht="51">
      <c r="A140" s="400"/>
      <c r="B140" s="400"/>
      <c r="C140" s="410">
        <v>4740</v>
      </c>
      <c r="D140" s="411" t="s">
        <v>374</v>
      </c>
      <c r="E140" s="412">
        <f t="shared" si="18"/>
        <v>16000</v>
      </c>
      <c r="F140" s="412">
        <f t="shared" si="19"/>
        <v>16000</v>
      </c>
      <c r="G140" s="412"/>
      <c r="H140" s="412"/>
      <c r="I140" s="412"/>
      <c r="J140" s="412"/>
      <c r="K140" s="412"/>
      <c r="L140" s="412"/>
      <c r="M140" s="412">
        <v>16000</v>
      </c>
      <c r="N140" s="412"/>
    </row>
    <row r="141" spans="1:14" s="39" customFormat="1" ht="45" customHeight="1">
      <c r="A141" s="400"/>
      <c r="B141" s="400"/>
      <c r="C141" s="410">
        <v>4750</v>
      </c>
      <c r="D141" s="411" t="s">
        <v>375</v>
      </c>
      <c r="E141" s="412">
        <f t="shared" si="18"/>
        <v>50000</v>
      </c>
      <c r="F141" s="412">
        <f t="shared" si="19"/>
        <v>50000</v>
      </c>
      <c r="G141" s="412"/>
      <c r="H141" s="412"/>
      <c r="I141" s="412"/>
      <c r="J141" s="412"/>
      <c r="K141" s="412"/>
      <c r="L141" s="412"/>
      <c r="M141" s="412">
        <v>50000</v>
      </c>
      <c r="N141" s="412"/>
    </row>
    <row r="142" spans="1:14" s="39" customFormat="1" ht="25.5">
      <c r="A142" s="400"/>
      <c r="B142" s="400"/>
      <c r="C142" s="410">
        <v>4610</v>
      </c>
      <c r="D142" s="411" t="s">
        <v>356</v>
      </c>
      <c r="E142" s="412">
        <f t="shared" si="18"/>
        <v>200</v>
      </c>
      <c r="F142" s="412">
        <f t="shared" si="19"/>
        <v>200</v>
      </c>
      <c r="G142" s="412"/>
      <c r="H142" s="412"/>
      <c r="I142" s="412"/>
      <c r="J142" s="412"/>
      <c r="K142" s="412"/>
      <c r="L142" s="412"/>
      <c r="M142" s="412">
        <v>200</v>
      </c>
      <c r="N142" s="412"/>
    </row>
    <row r="143" spans="1:14" s="39" customFormat="1" ht="25.5">
      <c r="A143" s="400"/>
      <c r="B143" s="400"/>
      <c r="C143" s="410">
        <v>6050</v>
      </c>
      <c r="D143" s="418" t="s">
        <v>397</v>
      </c>
      <c r="E143" s="412">
        <f t="shared" si="18"/>
        <v>132000</v>
      </c>
      <c r="F143" s="412">
        <f t="shared" si="19"/>
        <v>0</v>
      </c>
      <c r="G143" s="412"/>
      <c r="H143" s="412"/>
      <c r="I143" s="412"/>
      <c r="J143" s="412"/>
      <c r="K143" s="412"/>
      <c r="L143" s="412"/>
      <c r="M143" s="412"/>
      <c r="N143" s="412">
        <v>132000</v>
      </c>
    </row>
    <row r="144" spans="1:14" s="39" customFormat="1" ht="38.25">
      <c r="A144" s="400"/>
      <c r="B144" s="400"/>
      <c r="C144" s="410">
        <v>6060</v>
      </c>
      <c r="D144" s="418" t="s">
        <v>567</v>
      </c>
      <c r="E144" s="412">
        <f t="shared" si="18"/>
        <v>42000</v>
      </c>
      <c r="F144" s="412">
        <f t="shared" si="19"/>
        <v>0</v>
      </c>
      <c r="G144" s="412"/>
      <c r="H144" s="412"/>
      <c r="I144" s="412"/>
      <c r="J144" s="412"/>
      <c r="K144" s="412"/>
      <c r="L144" s="412"/>
      <c r="M144" s="412"/>
      <c r="N144" s="412">
        <v>42000</v>
      </c>
    </row>
    <row r="145" spans="1:14" s="63" customFormat="1" ht="12.75">
      <c r="A145" s="405"/>
      <c r="B145" s="405">
        <v>75045</v>
      </c>
      <c r="C145" s="406"/>
      <c r="D145" s="416" t="s">
        <v>398</v>
      </c>
      <c r="E145" s="408">
        <f t="shared" si="18"/>
        <v>67000</v>
      </c>
      <c r="F145" s="408">
        <f t="shared" si="19"/>
        <v>67000</v>
      </c>
      <c r="G145" s="408">
        <f>SUM(G146:G159)</f>
        <v>0</v>
      </c>
      <c r="H145" s="408">
        <f aca="true" t="shared" si="25" ref="H145:N145">SUM(H146:H159)</f>
        <v>0</v>
      </c>
      <c r="I145" s="408">
        <f t="shared" si="25"/>
        <v>900</v>
      </c>
      <c r="J145" s="408">
        <f t="shared" si="25"/>
        <v>0</v>
      </c>
      <c r="K145" s="408">
        <f t="shared" si="25"/>
        <v>0</v>
      </c>
      <c r="L145" s="408">
        <f t="shared" si="25"/>
        <v>0</v>
      </c>
      <c r="M145" s="408">
        <f t="shared" si="25"/>
        <v>66100</v>
      </c>
      <c r="N145" s="408">
        <f t="shared" si="25"/>
        <v>0</v>
      </c>
    </row>
    <row r="146" spans="1:14" s="39" customFormat="1" ht="25.5">
      <c r="A146" s="400"/>
      <c r="B146" s="400"/>
      <c r="C146" s="410">
        <v>3030</v>
      </c>
      <c r="D146" s="411" t="s">
        <v>381</v>
      </c>
      <c r="E146" s="412">
        <f t="shared" si="18"/>
        <v>11000</v>
      </c>
      <c r="F146" s="412">
        <f t="shared" si="19"/>
        <v>11000</v>
      </c>
      <c r="G146" s="412"/>
      <c r="H146" s="412"/>
      <c r="I146" s="412"/>
      <c r="J146" s="412"/>
      <c r="K146" s="412"/>
      <c r="L146" s="412"/>
      <c r="M146" s="412">
        <v>11000</v>
      </c>
      <c r="N146" s="412"/>
    </row>
    <row r="147" spans="1:14" s="39" customFormat="1" ht="25.5">
      <c r="A147" s="400"/>
      <c r="B147" s="400"/>
      <c r="C147" s="410">
        <v>4110</v>
      </c>
      <c r="D147" s="411" t="s">
        <v>334</v>
      </c>
      <c r="E147" s="412">
        <f t="shared" si="18"/>
        <v>800</v>
      </c>
      <c r="F147" s="412">
        <f t="shared" si="19"/>
        <v>800</v>
      </c>
      <c r="G147" s="412"/>
      <c r="H147" s="412"/>
      <c r="I147" s="412">
        <v>800</v>
      </c>
      <c r="J147" s="412"/>
      <c r="K147" s="412"/>
      <c r="L147" s="412"/>
      <c r="M147" s="412"/>
      <c r="N147" s="412"/>
    </row>
    <row r="148" spans="1:14" s="39" customFormat="1" ht="36" customHeight="1">
      <c r="A148" s="400"/>
      <c r="B148" s="400"/>
      <c r="C148" s="410">
        <v>4170</v>
      </c>
      <c r="D148" s="411" t="s">
        <v>371</v>
      </c>
      <c r="E148" s="412">
        <f t="shared" si="18"/>
        <v>4800</v>
      </c>
      <c r="F148" s="412">
        <f t="shared" si="19"/>
        <v>4800</v>
      </c>
      <c r="G148" s="412"/>
      <c r="H148" s="412"/>
      <c r="I148" s="412"/>
      <c r="J148" s="412"/>
      <c r="K148" s="412"/>
      <c r="L148" s="412"/>
      <c r="M148" s="412">
        <v>4800</v>
      </c>
      <c r="N148" s="412"/>
    </row>
    <row r="149" spans="1:14" s="39" customFormat="1" ht="12.75">
      <c r="A149" s="400"/>
      <c r="B149" s="400"/>
      <c r="C149" s="410">
        <v>4120</v>
      </c>
      <c r="D149" s="411" t="s">
        <v>335</v>
      </c>
      <c r="E149" s="412">
        <f t="shared" si="18"/>
        <v>100</v>
      </c>
      <c r="F149" s="412">
        <f t="shared" si="19"/>
        <v>100</v>
      </c>
      <c r="G149" s="412"/>
      <c r="H149" s="412"/>
      <c r="I149" s="412">
        <v>100</v>
      </c>
      <c r="J149" s="412"/>
      <c r="K149" s="412"/>
      <c r="L149" s="412"/>
      <c r="M149" s="412"/>
      <c r="N149" s="412"/>
    </row>
    <row r="150" spans="1:14" s="39" customFormat="1" ht="25.5">
      <c r="A150" s="400"/>
      <c r="B150" s="400"/>
      <c r="C150" s="410">
        <v>4210</v>
      </c>
      <c r="D150" s="411" t="s">
        <v>337</v>
      </c>
      <c r="E150" s="412">
        <f t="shared" si="18"/>
        <v>16100</v>
      </c>
      <c r="F150" s="412">
        <f t="shared" si="19"/>
        <v>16100</v>
      </c>
      <c r="G150" s="412"/>
      <c r="H150" s="412"/>
      <c r="I150" s="412"/>
      <c r="J150" s="412"/>
      <c r="K150" s="412"/>
      <c r="L150" s="412"/>
      <c r="M150" s="412">
        <v>16100</v>
      </c>
      <c r="N150" s="412"/>
    </row>
    <row r="151" spans="1:14" s="39" customFormat="1" ht="38.25">
      <c r="A151" s="400"/>
      <c r="B151" s="400"/>
      <c r="C151" s="410">
        <v>4230</v>
      </c>
      <c r="D151" s="411" t="s">
        <v>9</v>
      </c>
      <c r="E151" s="412">
        <f t="shared" si="18"/>
        <v>300</v>
      </c>
      <c r="F151" s="412">
        <f t="shared" si="19"/>
        <v>300</v>
      </c>
      <c r="G151" s="412"/>
      <c r="H151" s="412"/>
      <c r="I151" s="412"/>
      <c r="J151" s="412"/>
      <c r="K151" s="412"/>
      <c r="L151" s="412"/>
      <c r="M151" s="412">
        <v>300</v>
      </c>
      <c r="N151" s="412"/>
    </row>
    <row r="152" spans="1:14" s="39" customFormat="1" ht="12.75">
      <c r="A152" s="400"/>
      <c r="B152" s="400"/>
      <c r="C152" s="410">
        <v>4270</v>
      </c>
      <c r="D152" s="411" t="s">
        <v>339</v>
      </c>
      <c r="E152" s="412">
        <f t="shared" si="18"/>
        <v>800</v>
      </c>
      <c r="F152" s="412">
        <f t="shared" si="19"/>
        <v>800</v>
      </c>
      <c r="G152" s="412"/>
      <c r="H152" s="412"/>
      <c r="I152" s="412"/>
      <c r="J152" s="412"/>
      <c r="K152" s="412"/>
      <c r="L152" s="412"/>
      <c r="M152" s="412">
        <v>800</v>
      </c>
      <c r="N152" s="412"/>
    </row>
    <row r="153" spans="1:14" s="39" customFormat="1" ht="12.75">
      <c r="A153" s="400"/>
      <c r="B153" s="400"/>
      <c r="C153" s="410">
        <v>4280</v>
      </c>
      <c r="D153" s="411" t="s">
        <v>372</v>
      </c>
      <c r="E153" s="412">
        <f t="shared" si="18"/>
        <v>28000</v>
      </c>
      <c r="F153" s="412">
        <f t="shared" si="19"/>
        <v>28000</v>
      </c>
      <c r="G153" s="412"/>
      <c r="H153" s="412"/>
      <c r="I153" s="412"/>
      <c r="J153" s="412"/>
      <c r="K153" s="412"/>
      <c r="L153" s="412"/>
      <c r="M153" s="412">
        <v>28000</v>
      </c>
      <c r="N153" s="412"/>
    </row>
    <row r="154" spans="1:14" s="39" customFormat="1" ht="61.5" customHeight="1">
      <c r="A154" s="400"/>
      <c r="B154" s="400"/>
      <c r="C154" s="410">
        <v>4400</v>
      </c>
      <c r="D154" s="411" t="s">
        <v>11</v>
      </c>
      <c r="E154" s="412">
        <f t="shared" si="18"/>
        <v>4200</v>
      </c>
      <c r="F154" s="412">
        <f t="shared" si="19"/>
        <v>4200</v>
      </c>
      <c r="G154" s="412"/>
      <c r="H154" s="412"/>
      <c r="I154" s="412"/>
      <c r="J154" s="412"/>
      <c r="K154" s="412"/>
      <c r="L154" s="412"/>
      <c r="M154" s="412">
        <v>4200</v>
      </c>
      <c r="N154" s="412"/>
    </row>
    <row r="155" spans="1:14" s="39" customFormat="1" ht="12.75">
      <c r="A155" s="400"/>
      <c r="B155" s="400"/>
      <c r="C155" s="410">
        <v>4300</v>
      </c>
      <c r="D155" s="411" t="s">
        <v>320</v>
      </c>
      <c r="E155" s="412">
        <f aca="true" t="shared" si="26" ref="E155:E218">F155+N155</f>
        <v>600</v>
      </c>
      <c r="F155" s="412">
        <f aca="true" t="shared" si="27" ref="F155:F218">SUM(G155:M155)</f>
        <v>600</v>
      </c>
      <c r="G155" s="412"/>
      <c r="H155" s="412"/>
      <c r="I155" s="412"/>
      <c r="J155" s="412"/>
      <c r="K155" s="412"/>
      <c r="L155" s="412"/>
      <c r="M155" s="412">
        <v>600</v>
      </c>
      <c r="N155" s="412"/>
    </row>
    <row r="156" spans="1:14" s="39" customFormat="1" ht="38.25">
      <c r="A156" s="400"/>
      <c r="B156" s="400"/>
      <c r="C156" s="410">
        <v>4370</v>
      </c>
      <c r="D156" s="411" t="s">
        <v>568</v>
      </c>
      <c r="E156" s="412">
        <f>F156+N156</f>
        <v>300</v>
      </c>
      <c r="F156" s="412">
        <f>SUM(G156:M156)</f>
        <v>300</v>
      </c>
      <c r="G156" s="412"/>
      <c r="H156" s="412"/>
      <c r="I156" s="412"/>
      <c r="J156" s="412"/>
      <c r="K156" s="412"/>
      <c r="L156" s="412"/>
      <c r="M156" s="412">
        <v>300</v>
      </c>
      <c r="N156" s="412"/>
    </row>
    <row r="157" spans="1:14" s="39" customFormat="1" ht="12.75" hidden="1">
      <c r="A157" s="400"/>
      <c r="B157" s="400"/>
      <c r="C157" s="410">
        <v>4410</v>
      </c>
      <c r="D157" s="411" t="s">
        <v>346</v>
      </c>
      <c r="E157" s="412">
        <f>F157+N157</f>
        <v>0</v>
      </c>
      <c r="F157" s="412">
        <f>SUM(G157:M157)</f>
        <v>0</v>
      </c>
      <c r="G157" s="412"/>
      <c r="H157" s="412"/>
      <c r="I157" s="412"/>
      <c r="J157" s="412"/>
      <c r="K157" s="412"/>
      <c r="L157" s="412"/>
      <c r="M157" s="412"/>
      <c r="N157" s="412"/>
    </row>
    <row r="158" spans="1:14" s="39" customFormat="1" ht="38.25" hidden="1">
      <c r="A158" s="400"/>
      <c r="B158" s="400"/>
      <c r="C158" s="410">
        <v>4750</v>
      </c>
      <c r="D158" s="411" t="s">
        <v>375</v>
      </c>
      <c r="E158" s="412">
        <f t="shared" si="26"/>
        <v>0</v>
      </c>
      <c r="F158" s="412">
        <f t="shared" si="27"/>
        <v>0</v>
      </c>
      <c r="G158" s="412"/>
      <c r="H158" s="412"/>
      <c r="I158" s="412"/>
      <c r="J158" s="412"/>
      <c r="K158" s="412"/>
      <c r="L158" s="412"/>
      <c r="M158" s="412"/>
      <c r="N158" s="412"/>
    </row>
    <row r="159" spans="1:14" s="39" customFormat="1" ht="51" hidden="1">
      <c r="A159" s="400"/>
      <c r="B159" s="400"/>
      <c r="C159" s="410">
        <v>4740</v>
      </c>
      <c r="D159" s="411" t="s">
        <v>374</v>
      </c>
      <c r="E159" s="412">
        <f t="shared" si="26"/>
        <v>0</v>
      </c>
      <c r="F159" s="412">
        <f t="shared" si="27"/>
        <v>0</v>
      </c>
      <c r="G159" s="412"/>
      <c r="H159" s="412"/>
      <c r="I159" s="412"/>
      <c r="J159" s="412"/>
      <c r="K159" s="412"/>
      <c r="L159" s="412"/>
      <c r="M159" s="412"/>
      <c r="N159" s="412"/>
    </row>
    <row r="160" spans="1:14" s="63" customFormat="1" ht="25.5">
      <c r="A160" s="405"/>
      <c r="B160" s="405">
        <v>75075</v>
      </c>
      <c r="C160" s="406"/>
      <c r="D160" s="416" t="s">
        <v>399</v>
      </c>
      <c r="E160" s="408">
        <f t="shared" si="26"/>
        <v>92000</v>
      </c>
      <c r="F160" s="408">
        <f t="shared" si="27"/>
        <v>92000</v>
      </c>
      <c r="G160" s="408">
        <f aca="true" t="shared" si="28" ref="G160:N160">SUM(G161:G162)</f>
        <v>0</v>
      </c>
      <c r="H160" s="408">
        <f t="shared" si="28"/>
        <v>0</v>
      </c>
      <c r="I160" s="408">
        <f t="shared" si="28"/>
        <v>0</v>
      </c>
      <c r="J160" s="408">
        <f t="shared" si="28"/>
        <v>0</v>
      </c>
      <c r="K160" s="408">
        <f t="shared" si="28"/>
        <v>0</v>
      </c>
      <c r="L160" s="408">
        <f t="shared" si="28"/>
        <v>0</v>
      </c>
      <c r="M160" s="408">
        <f t="shared" si="28"/>
        <v>92000</v>
      </c>
      <c r="N160" s="408">
        <f t="shared" si="28"/>
        <v>0</v>
      </c>
    </row>
    <row r="161" spans="1:14" s="39" customFormat="1" ht="25.5">
      <c r="A161" s="400"/>
      <c r="B161" s="400"/>
      <c r="C161" s="410">
        <v>4210</v>
      </c>
      <c r="D161" s="411" t="s">
        <v>337</v>
      </c>
      <c r="E161" s="412">
        <f t="shared" si="26"/>
        <v>12000</v>
      </c>
      <c r="F161" s="412">
        <f t="shared" si="27"/>
        <v>12000</v>
      </c>
      <c r="G161" s="412"/>
      <c r="H161" s="412"/>
      <c r="I161" s="412"/>
      <c r="J161" s="412"/>
      <c r="K161" s="412"/>
      <c r="L161" s="412"/>
      <c r="M161" s="412">
        <v>12000</v>
      </c>
      <c r="N161" s="412"/>
    </row>
    <row r="162" spans="1:14" s="39" customFormat="1" ht="12.75">
      <c r="A162" s="400"/>
      <c r="B162" s="400"/>
      <c r="C162" s="410">
        <v>4300</v>
      </c>
      <c r="D162" s="411" t="s">
        <v>320</v>
      </c>
      <c r="E162" s="412">
        <f t="shared" si="26"/>
        <v>80000</v>
      </c>
      <c r="F162" s="412">
        <f t="shared" si="27"/>
        <v>80000</v>
      </c>
      <c r="G162" s="412"/>
      <c r="H162" s="412"/>
      <c r="I162" s="412"/>
      <c r="J162" s="412"/>
      <c r="K162" s="412"/>
      <c r="L162" s="412"/>
      <c r="M162" s="412">
        <v>80000</v>
      </c>
      <c r="N162" s="412"/>
    </row>
    <row r="163" spans="1:14" s="404" customFormat="1" ht="12.75">
      <c r="A163" s="400">
        <v>752</v>
      </c>
      <c r="B163" s="400"/>
      <c r="C163" s="401"/>
      <c r="D163" s="401" t="s">
        <v>649</v>
      </c>
      <c r="E163" s="403">
        <f>F163+N163</f>
        <v>5000</v>
      </c>
      <c r="F163" s="403">
        <f>SUM(G163:M163)</f>
        <v>5000</v>
      </c>
      <c r="G163" s="403">
        <f>SUM(G164)</f>
        <v>0</v>
      </c>
      <c r="H163" s="403">
        <f aca="true" t="shared" si="29" ref="H163:N163">SUM(H164)</f>
        <v>0</v>
      </c>
      <c r="I163" s="403">
        <f t="shared" si="29"/>
        <v>0</v>
      </c>
      <c r="J163" s="403">
        <f t="shared" si="29"/>
        <v>0</v>
      </c>
      <c r="K163" s="403">
        <f t="shared" si="29"/>
        <v>0</v>
      </c>
      <c r="L163" s="403">
        <f t="shared" si="29"/>
        <v>0</v>
      </c>
      <c r="M163" s="403">
        <f t="shared" si="29"/>
        <v>5000</v>
      </c>
      <c r="N163" s="403">
        <f t="shared" si="29"/>
        <v>0</v>
      </c>
    </row>
    <row r="164" spans="1:14" s="63" customFormat="1" ht="25.5">
      <c r="A164" s="400"/>
      <c r="B164" s="405">
        <v>75212</v>
      </c>
      <c r="C164" s="406"/>
      <c r="D164" s="416" t="s">
        <v>643</v>
      </c>
      <c r="E164" s="408">
        <f>F164+N164</f>
        <v>5000</v>
      </c>
      <c r="F164" s="408">
        <f>SUM(G164:M164)</f>
        <v>5000</v>
      </c>
      <c r="G164" s="408">
        <f aca="true" t="shared" si="30" ref="G164:N164">SUM(G165:G165)</f>
        <v>0</v>
      </c>
      <c r="H164" s="408">
        <f t="shared" si="30"/>
        <v>0</v>
      </c>
      <c r="I164" s="408">
        <f t="shared" si="30"/>
        <v>0</v>
      </c>
      <c r="J164" s="408">
        <f t="shared" si="30"/>
        <v>0</v>
      </c>
      <c r="K164" s="408">
        <f t="shared" si="30"/>
        <v>0</v>
      </c>
      <c r="L164" s="408">
        <f t="shared" si="30"/>
        <v>0</v>
      </c>
      <c r="M164" s="408">
        <f t="shared" si="30"/>
        <v>5000</v>
      </c>
      <c r="N164" s="408">
        <f t="shared" si="30"/>
        <v>0</v>
      </c>
    </row>
    <row r="165" spans="1:14" s="39" customFormat="1" ht="49.5" customHeight="1">
      <c r="A165" s="400"/>
      <c r="B165" s="400"/>
      <c r="C165" s="410">
        <v>4700</v>
      </c>
      <c r="D165" s="411" t="s">
        <v>565</v>
      </c>
      <c r="E165" s="412">
        <f>F165+N165</f>
        <v>5000</v>
      </c>
      <c r="F165" s="412">
        <f>SUM(G165:M165)</f>
        <v>5000</v>
      </c>
      <c r="G165" s="412"/>
      <c r="H165" s="412"/>
      <c r="I165" s="412"/>
      <c r="J165" s="412"/>
      <c r="K165" s="412"/>
      <c r="L165" s="412"/>
      <c r="M165" s="412">
        <v>5000</v>
      </c>
      <c r="N165" s="412"/>
    </row>
    <row r="166" spans="1:14" s="404" customFormat="1" ht="38.25">
      <c r="A166" s="400">
        <v>754</v>
      </c>
      <c r="B166" s="400"/>
      <c r="C166" s="401"/>
      <c r="D166" s="417" t="s">
        <v>400</v>
      </c>
      <c r="E166" s="403">
        <f t="shared" si="26"/>
        <v>77500</v>
      </c>
      <c r="F166" s="403">
        <f t="shared" si="27"/>
        <v>77500</v>
      </c>
      <c r="G166" s="403">
        <f aca="true" t="shared" si="31" ref="G166:L166">SUM(G167+G171)</f>
        <v>0</v>
      </c>
      <c r="H166" s="403">
        <f t="shared" si="31"/>
        <v>0</v>
      </c>
      <c r="I166" s="403">
        <f t="shared" si="31"/>
        <v>0</v>
      </c>
      <c r="J166" s="403">
        <f t="shared" si="31"/>
        <v>60000</v>
      </c>
      <c r="K166" s="403">
        <f t="shared" si="31"/>
        <v>0</v>
      </c>
      <c r="L166" s="403">
        <f t="shared" si="31"/>
        <v>0</v>
      </c>
      <c r="M166" s="403">
        <f>SUM(M167+M169+M171)</f>
        <v>17500</v>
      </c>
      <c r="N166" s="403">
        <f>SUM(N167+N171)</f>
        <v>0</v>
      </c>
    </row>
    <row r="167" spans="1:14" s="63" customFormat="1" ht="25.5">
      <c r="A167" s="400"/>
      <c r="B167" s="405">
        <v>75404</v>
      </c>
      <c r="C167" s="406"/>
      <c r="D167" s="416" t="s">
        <v>401</v>
      </c>
      <c r="E167" s="408">
        <f t="shared" si="26"/>
        <v>12000</v>
      </c>
      <c r="F167" s="408">
        <f t="shared" si="27"/>
        <v>12000</v>
      </c>
      <c r="G167" s="408">
        <f aca="true" t="shared" si="32" ref="G167:N167">SUM(G168:G168)</f>
        <v>0</v>
      </c>
      <c r="H167" s="408">
        <f t="shared" si="32"/>
        <v>0</v>
      </c>
      <c r="I167" s="408">
        <f t="shared" si="32"/>
        <v>0</v>
      </c>
      <c r="J167" s="408">
        <f t="shared" si="32"/>
        <v>0</v>
      </c>
      <c r="K167" s="408">
        <f t="shared" si="32"/>
        <v>0</v>
      </c>
      <c r="L167" s="408">
        <f t="shared" si="32"/>
        <v>0</v>
      </c>
      <c r="M167" s="408">
        <f t="shared" si="32"/>
        <v>12000</v>
      </c>
      <c r="N167" s="408">
        <f t="shared" si="32"/>
        <v>0</v>
      </c>
    </row>
    <row r="168" spans="1:14" s="39" customFormat="1" ht="38.25">
      <c r="A168" s="400"/>
      <c r="B168" s="400"/>
      <c r="C168" s="410">
        <v>4750</v>
      </c>
      <c r="D168" s="411" t="s">
        <v>375</v>
      </c>
      <c r="E168" s="412">
        <f>F168+N168</f>
        <v>12000</v>
      </c>
      <c r="F168" s="412">
        <f>SUM(G168:M168)</f>
        <v>12000</v>
      </c>
      <c r="G168" s="412"/>
      <c r="H168" s="412"/>
      <c r="I168" s="412"/>
      <c r="J168" s="412"/>
      <c r="K168" s="412"/>
      <c r="L168" s="412"/>
      <c r="M168" s="412">
        <v>12000</v>
      </c>
      <c r="N168" s="412"/>
    </row>
    <row r="169" spans="1:14" s="39" customFormat="1" ht="25.5">
      <c r="A169" s="400"/>
      <c r="B169" s="405">
        <v>75411</v>
      </c>
      <c r="C169" s="410"/>
      <c r="D169" s="416" t="s">
        <v>428</v>
      </c>
      <c r="E169" s="408">
        <f>F170+N170</f>
        <v>3000</v>
      </c>
      <c r="F169" s="408">
        <f>SUM(G169:M169)</f>
        <v>3000</v>
      </c>
      <c r="G169" s="408">
        <f aca="true" t="shared" si="33" ref="G169:N169">G170</f>
        <v>0</v>
      </c>
      <c r="H169" s="408">
        <f t="shared" si="33"/>
        <v>0</v>
      </c>
      <c r="I169" s="408">
        <f t="shared" si="33"/>
        <v>0</v>
      </c>
      <c r="J169" s="408">
        <f t="shared" si="33"/>
        <v>0</v>
      </c>
      <c r="K169" s="408">
        <f t="shared" si="33"/>
        <v>0</v>
      </c>
      <c r="L169" s="408">
        <f t="shared" si="33"/>
        <v>0</v>
      </c>
      <c r="M169" s="408">
        <f t="shared" si="33"/>
        <v>3000</v>
      </c>
      <c r="N169" s="408">
        <f t="shared" si="33"/>
        <v>0</v>
      </c>
    </row>
    <row r="170" spans="1:14" s="39" customFormat="1" ht="25.5">
      <c r="A170" s="400"/>
      <c r="B170" s="400"/>
      <c r="C170" s="410">
        <v>4210</v>
      </c>
      <c r="D170" s="411" t="s">
        <v>337</v>
      </c>
      <c r="E170" s="412">
        <f>F170+N170</f>
        <v>3000</v>
      </c>
      <c r="F170" s="412">
        <f>SUM(G170:M170)</f>
        <v>3000</v>
      </c>
      <c r="G170" s="412"/>
      <c r="H170" s="412"/>
      <c r="I170" s="412"/>
      <c r="J170" s="412"/>
      <c r="K170" s="412"/>
      <c r="L170" s="412"/>
      <c r="M170" s="412">
        <v>3000</v>
      </c>
      <c r="N170" s="412"/>
    </row>
    <row r="171" spans="1:14" s="63" customFormat="1" ht="12.75">
      <c r="A171" s="400"/>
      <c r="B171" s="405">
        <v>75495</v>
      </c>
      <c r="C171" s="406"/>
      <c r="D171" s="416" t="s">
        <v>402</v>
      </c>
      <c r="E171" s="408">
        <f t="shared" si="26"/>
        <v>62500</v>
      </c>
      <c r="F171" s="408">
        <f t="shared" si="27"/>
        <v>62500</v>
      </c>
      <c r="G171" s="408">
        <f>SUM(G172:G173)</f>
        <v>0</v>
      </c>
      <c r="H171" s="408">
        <f aca="true" t="shared" si="34" ref="H171:N171">SUM(H172:H173)</f>
        <v>0</v>
      </c>
      <c r="I171" s="408">
        <f t="shared" si="34"/>
        <v>0</v>
      </c>
      <c r="J171" s="408">
        <f t="shared" si="34"/>
        <v>60000</v>
      </c>
      <c r="K171" s="408">
        <f t="shared" si="34"/>
        <v>0</v>
      </c>
      <c r="L171" s="408">
        <f t="shared" si="34"/>
        <v>0</v>
      </c>
      <c r="M171" s="408">
        <f t="shared" si="34"/>
        <v>2500</v>
      </c>
      <c r="N171" s="408">
        <f t="shared" si="34"/>
        <v>0</v>
      </c>
    </row>
    <row r="172" spans="1:14" s="39" customFormat="1" ht="25.5">
      <c r="A172" s="400"/>
      <c r="B172" s="400"/>
      <c r="C172" s="410">
        <v>4210</v>
      </c>
      <c r="D172" s="411" t="s">
        <v>403</v>
      </c>
      <c r="E172" s="412">
        <f t="shared" si="26"/>
        <v>2500</v>
      </c>
      <c r="F172" s="412">
        <f t="shared" si="27"/>
        <v>2500</v>
      </c>
      <c r="G172" s="412"/>
      <c r="H172" s="412"/>
      <c r="I172" s="412"/>
      <c r="J172" s="412"/>
      <c r="K172" s="412"/>
      <c r="L172" s="412"/>
      <c r="M172" s="412">
        <v>2500</v>
      </c>
      <c r="N172" s="412"/>
    </row>
    <row r="173" spans="1:14" s="39" customFormat="1" ht="76.5">
      <c r="A173" s="400"/>
      <c r="B173" s="400"/>
      <c r="C173" s="410">
        <v>2320</v>
      </c>
      <c r="D173" s="411" t="s">
        <v>441</v>
      </c>
      <c r="E173" s="412">
        <f t="shared" si="26"/>
        <v>60000</v>
      </c>
      <c r="F173" s="412">
        <f t="shared" si="27"/>
        <v>60000</v>
      </c>
      <c r="G173" s="412"/>
      <c r="H173" s="412"/>
      <c r="I173" s="412"/>
      <c r="J173" s="412">
        <v>60000</v>
      </c>
      <c r="K173" s="412"/>
      <c r="L173" s="412"/>
      <c r="M173" s="412"/>
      <c r="N173" s="412"/>
    </row>
    <row r="174" spans="1:14" s="404" customFormat="1" ht="25.5">
      <c r="A174" s="400">
        <v>757</v>
      </c>
      <c r="B174" s="400"/>
      <c r="C174" s="401"/>
      <c r="D174" s="417" t="s">
        <v>404</v>
      </c>
      <c r="E174" s="403">
        <f t="shared" si="26"/>
        <v>505000</v>
      </c>
      <c r="F174" s="403">
        <f t="shared" si="27"/>
        <v>505000</v>
      </c>
      <c r="G174" s="403">
        <f>SUM(G175+G177)</f>
        <v>0</v>
      </c>
      <c r="H174" s="403">
        <f aca="true" t="shared" si="35" ref="H174:N174">SUM(H175+H177)</f>
        <v>0</v>
      </c>
      <c r="I174" s="403">
        <f t="shared" si="35"/>
        <v>0</v>
      </c>
      <c r="J174" s="403">
        <f t="shared" si="35"/>
        <v>0</v>
      </c>
      <c r="K174" s="403">
        <f t="shared" si="35"/>
        <v>505000</v>
      </c>
      <c r="L174" s="403">
        <f t="shared" si="35"/>
        <v>0</v>
      </c>
      <c r="M174" s="403">
        <f t="shared" si="35"/>
        <v>0</v>
      </c>
      <c r="N174" s="403">
        <f t="shared" si="35"/>
        <v>0</v>
      </c>
    </row>
    <row r="175" spans="1:14" s="63" customFormat="1" ht="51">
      <c r="A175" s="405"/>
      <c r="B175" s="405">
        <v>75702</v>
      </c>
      <c r="C175" s="406"/>
      <c r="D175" s="416" t="s">
        <v>405</v>
      </c>
      <c r="E175" s="408">
        <f t="shared" si="26"/>
        <v>385000</v>
      </c>
      <c r="F175" s="408">
        <f t="shared" si="27"/>
        <v>385000</v>
      </c>
      <c r="G175" s="408">
        <f>SUM(G176)</f>
        <v>0</v>
      </c>
      <c r="H175" s="408">
        <f aca="true" t="shared" si="36" ref="H175:N175">SUM(H176)</f>
        <v>0</v>
      </c>
      <c r="I175" s="408">
        <f t="shared" si="36"/>
        <v>0</v>
      </c>
      <c r="J175" s="408">
        <f t="shared" si="36"/>
        <v>0</v>
      </c>
      <c r="K175" s="408">
        <f t="shared" si="36"/>
        <v>385000</v>
      </c>
      <c r="L175" s="408">
        <f t="shared" si="36"/>
        <v>0</v>
      </c>
      <c r="M175" s="408">
        <f t="shared" si="36"/>
        <v>0</v>
      </c>
      <c r="N175" s="408">
        <f t="shared" si="36"/>
        <v>0</v>
      </c>
    </row>
    <row r="176" spans="1:14" s="39" customFormat="1" ht="51">
      <c r="A176" s="400"/>
      <c r="B176" s="400"/>
      <c r="C176" s="410">
        <v>8070</v>
      </c>
      <c r="D176" s="411" t="s">
        <v>406</v>
      </c>
      <c r="E176" s="412">
        <f t="shared" si="26"/>
        <v>385000</v>
      </c>
      <c r="F176" s="412">
        <f t="shared" si="27"/>
        <v>385000</v>
      </c>
      <c r="G176" s="412"/>
      <c r="H176" s="412"/>
      <c r="I176" s="412"/>
      <c r="J176" s="412"/>
      <c r="K176" s="412">
        <v>385000</v>
      </c>
      <c r="L176" s="412"/>
      <c r="M176" s="412"/>
      <c r="N176" s="412"/>
    </row>
    <row r="177" spans="1:14" s="39" customFormat="1" ht="60.75" customHeight="1">
      <c r="A177" s="400"/>
      <c r="B177" s="502">
        <v>75704</v>
      </c>
      <c r="C177" s="503"/>
      <c r="D177" s="504" t="s">
        <v>732</v>
      </c>
      <c r="E177" s="412">
        <f t="shared" si="26"/>
        <v>120000</v>
      </c>
      <c r="F177" s="412">
        <f t="shared" si="27"/>
        <v>120000</v>
      </c>
      <c r="G177" s="412">
        <f>SUM(G178)</f>
        <v>0</v>
      </c>
      <c r="H177" s="412">
        <f>SUM(H178)</f>
        <v>0</v>
      </c>
      <c r="I177" s="412">
        <f aca="true" t="shared" si="37" ref="I177:N177">SUM(I178)</f>
        <v>0</v>
      </c>
      <c r="J177" s="412">
        <f t="shared" si="37"/>
        <v>0</v>
      </c>
      <c r="K177" s="412">
        <f t="shared" si="37"/>
        <v>120000</v>
      </c>
      <c r="L177" s="412">
        <f t="shared" si="37"/>
        <v>0</v>
      </c>
      <c r="M177" s="412">
        <f t="shared" si="37"/>
        <v>0</v>
      </c>
      <c r="N177" s="412">
        <f t="shared" si="37"/>
        <v>0</v>
      </c>
    </row>
    <row r="178" spans="1:14" s="39" customFormat="1" ht="25.5">
      <c r="A178" s="400"/>
      <c r="B178" s="502"/>
      <c r="C178" s="503">
        <v>8020</v>
      </c>
      <c r="D178" s="505" t="s">
        <v>731</v>
      </c>
      <c r="E178" s="412"/>
      <c r="F178" s="412"/>
      <c r="G178" s="412"/>
      <c r="H178" s="412"/>
      <c r="I178" s="412"/>
      <c r="J178" s="412"/>
      <c r="K178" s="412">
        <v>120000</v>
      </c>
      <c r="L178" s="412"/>
      <c r="M178" s="412"/>
      <c r="N178" s="412"/>
    </row>
    <row r="179" spans="1:14" s="404" customFormat="1" ht="12.75">
      <c r="A179" s="400">
        <v>758</v>
      </c>
      <c r="B179" s="400"/>
      <c r="C179" s="401"/>
      <c r="D179" s="417" t="s">
        <v>407</v>
      </c>
      <c r="E179" s="403">
        <f t="shared" si="26"/>
        <v>1750000</v>
      </c>
      <c r="F179" s="403">
        <f t="shared" si="27"/>
        <v>1550000</v>
      </c>
      <c r="G179" s="403">
        <f>G180</f>
        <v>0</v>
      </c>
      <c r="H179" s="403">
        <f aca="true" t="shared" si="38" ref="H179:N179">H180</f>
        <v>0</v>
      </c>
      <c r="I179" s="403">
        <f t="shared" si="38"/>
        <v>0</v>
      </c>
      <c r="J179" s="403">
        <f t="shared" si="38"/>
        <v>0</v>
      </c>
      <c r="K179" s="403">
        <f t="shared" si="38"/>
        <v>0</v>
      </c>
      <c r="L179" s="403">
        <f t="shared" si="38"/>
        <v>0</v>
      </c>
      <c r="M179" s="403">
        <f t="shared" si="38"/>
        <v>1550000</v>
      </c>
      <c r="N179" s="403">
        <f t="shared" si="38"/>
        <v>200000</v>
      </c>
    </row>
    <row r="180" spans="1:14" s="63" customFormat="1" ht="12.75">
      <c r="A180" s="405"/>
      <c r="B180" s="405">
        <v>75818</v>
      </c>
      <c r="C180" s="406"/>
      <c r="D180" s="416" t="s">
        <v>408</v>
      </c>
      <c r="E180" s="408">
        <f t="shared" si="26"/>
        <v>1750000</v>
      </c>
      <c r="F180" s="408">
        <f t="shared" si="27"/>
        <v>1550000</v>
      </c>
      <c r="G180" s="408">
        <f aca="true" t="shared" si="39" ref="G180:N180">SUM(G181:G182)</f>
        <v>0</v>
      </c>
      <c r="H180" s="408">
        <f t="shared" si="39"/>
        <v>0</v>
      </c>
      <c r="I180" s="408">
        <f t="shared" si="39"/>
        <v>0</v>
      </c>
      <c r="J180" s="408">
        <f t="shared" si="39"/>
        <v>0</v>
      </c>
      <c r="K180" s="408">
        <f t="shared" si="39"/>
        <v>0</v>
      </c>
      <c r="L180" s="408">
        <f t="shared" si="39"/>
        <v>0</v>
      </c>
      <c r="M180" s="408">
        <f t="shared" si="39"/>
        <v>1550000</v>
      </c>
      <c r="N180" s="408">
        <f t="shared" si="39"/>
        <v>200000</v>
      </c>
    </row>
    <row r="181" spans="1:14" s="39" customFormat="1" ht="12.75">
      <c r="A181" s="400"/>
      <c r="B181" s="400"/>
      <c r="C181" s="410">
        <v>4810</v>
      </c>
      <c r="D181" s="411" t="s">
        <v>409</v>
      </c>
      <c r="E181" s="412">
        <f t="shared" si="26"/>
        <v>1550000</v>
      </c>
      <c r="F181" s="412">
        <f t="shared" si="27"/>
        <v>1550000</v>
      </c>
      <c r="G181" s="412"/>
      <c r="H181" s="412"/>
      <c r="I181" s="412"/>
      <c r="J181" s="412"/>
      <c r="K181" s="412"/>
      <c r="L181" s="412"/>
      <c r="M181" s="412">
        <f>1200000+300000+50000</f>
        <v>1550000</v>
      </c>
      <c r="N181" s="412"/>
    </row>
    <row r="182" spans="1:14" s="39" customFormat="1" ht="39.75" customHeight="1">
      <c r="A182" s="400"/>
      <c r="B182" s="400"/>
      <c r="C182" s="410">
        <v>6800</v>
      </c>
      <c r="D182" s="411" t="s">
        <v>478</v>
      </c>
      <c r="E182" s="412">
        <f t="shared" si="26"/>
        <v>200000</v>
      </c>
      <c r="F182" s="412">
        <f>SUM(G182:M182)</f>
        <v>0</v>
      </c>
      <c r="G182" s="412"/>
      <c r="H182" s="412"/>
      <c r="I182" s="412"/>
      <c r="J182" s="412"/>
      <c r="K182" s="412"/>
      <c r="L182" s="412"/>
      <c r="M182" s="117"/>
      <c r="N182" s="412">
        <v>200000</v>
      </c>
    </row>
    <row r="183" spans="1:14" s="404" customFormat="1" ht="12.75">
      <c r="A183" s="400">
        <v>801</v>
      </c>
      <c r="B183" s="400"/>
      <c r="C183" s="401"/>
      <c r="D183" s="417" t="s">
        <v>410</v>
      </c>
      <c r="E183" s="403">
        <f t="shared" si="26"/>
        <v>14908576</v>
      </c>
      <c r="F183" s="403">
        <f t="shared" si="27"/>
        <v>14378576</v>
      </c>
      <c r="G183" s="403">
        <f aca="true" t="shared" si="40" ref="G183:N183">SUM(G184+G191+G213+G225+G256+G280+G287+G292+G305)</f>
        <v>8364170</v>
      </c>
      <c r="H183" s="403">
        <f t="shared" si="40"/>
        <v>634020</v>
      </c>
      <c r="I183" s="403">
        <f t="shared" si="40"/>
        <v>1652886</v>
      </c>
      <c r="J183" s="403">
        <f t="shared" si="40"/>
        <v>104100</v>
      </c>
      <c r="K183" s="403">
        <f t="shared" si="40"/>
        <v>0</v>
      </c>
      <c r="L183" s="403">
        <f t="shared" si="40"/>
        <v>1137870</v>
      </c>
      <c r="M183" s="403">
        <f t="shared" si="40"/>
        <v>2485530</v>
      </c>
      <c r="N183" s="403">
        <f t="shared" si="40"/>
        <v>530000</v>
      </c>
    </row>
    <row r="184" spans="1:15" s="63" customFormat="1" ht="25.5">
      <c r="A184" s="400"/>
      <c r="B184" s="405">
        <v>80102</v>
      </c>
      <c r="C184" s="406"/>
      <c r="D184" s="416" t="s">
        <v>411</v>
      </c>
      <c r="E184" s="408">
        <f t="shared" si="26"/>
        <v>1049560</v>
      </c>
      <c r="F184" s="408">
        <f t="shared" si="27"/>
        <v>1049560</v>
      </c>
      <c r="G184" s="408">
        <f aca="true" t="shared" si="41" ref="G184:N184">SUM(G185:G190)</f>
        <v>803950</v>
      </c>
      <c r="H184" s="408">
        <f t="shared" si="41"/>
        <v>55900</v>
      </c>
      <c r="I184" s="408">
        <f t="shared" si="41"/>
        <v>149270</v>
      </c>
      <c r="J184" s="408">
        <f t="shared" si="41"/>
        <v>0</v>
      </c>
      <c r="K184" s="408">
        <f t="shared" si="41"/>
        <v>0</v>
      </c>
      <c r="L184" s="408">
        <f t="shared" si="41"/>
        <v>0</v>
      </c>
      <c r="M184" s="408">
        <f t="shared" si="41"/>
        <v>40440</v>
      </c>
      <c r="N184" s="408">
        <f t="shared" si="41"/>
        <v>0</v>
      </c>
      <c r="O184" s="425">
        <f>1049560-1009120</f>
        <v>40440</v>
      </c>
    </row>
    <row r="185" spans="1:14" s="39" customFormat="1" ht="25.5">
      <c r="A185" s="400"/>
      <c r="B185" s="400"/>
      <c r="C185" s="410">
        <v>3020</v>
      </c>
      <c r="D185" s="411" t="s">
        <v>566</v>
      </c>
      <c r="E185" s="412">
        <f t="shared" si="26"/>
        <v>2090</v>
      </c>
      <c r="F185" s="412">
        <f t="shared" si="27"/>
        <v>2090</v>
      </c>
      <c r="G185" s="412"/>
      <c r="H185" s="412"/>
      <c r="I185" s="412"/>
      <c r="J185" s="412"/>
      <c r="K185" s="412"/>
      <c r="L185" s="412"/>
      <c r="M185" s="412">
        <v>2090</v>
      </c>
      <c r="N185" s="412"/>
    </row>
    <row r="186" spans="1:14" s="39" customFormat="1" ht="25.5">
      <c r="A186" s="400"/>
      <c r="B186" s="400"/>
      <c r="C186" s="410">
        <v>4010</v>
      </c>
      <c r="D186" s="411" t="s">
        <v>332</v>
      </c>
      <c r="E186" s="412">
        <f t="shared" si="26"/>
        <v>803950</v>
      </c>
      <c r="F186" s="412">
        <f t="shared" si="27"/>
        <v>803950</v>
      </c>
      <c r="G186" s="412">
        <v>803950</v>
      </c>
      <c r="H186" s="412"/>
      <c r="I186" s="412"/>
      <c r="J186" s="412"/>
      <c r="K186" s="412"/>
      <c r="L186" s="412"/>
      <c r="M186" s="412"/>
      <c r="N186" s="412"/>
    </row>
    <row r="187" spans="1:14" s="39" customFormat="1" ht="34.5" customHeight="1">
      <c r="A187" s="400"/>
      <c r="B187" s="400"/>
      <c r="C187" s="410">
        <v>4040</v>
      </c>
      <c r="D187" s="411" t="s">
        <v>333</v>
      </c>
      <c r="E187" s="412">
        <f t="shared" si="26"/>
        <v>55900</v>
      </c>
      <c r="F187" s="412">
        <f t="shared" si="27"/>
        <v>55900</v>
      </c>
      <c r="G187" s="412"/>
      <c r="H187" s="412">
        <v>55900</v>
      </c>
      <c r="I187" s="412"/>
      <c r="J187" s="412"/>
      <c r="K187" s="412"/>
      <c r="L187" s="412"/>
      <c r="M187" s="412"/>
      <c r="N187" s="412"/>
    </row>
    <row r="188" spans="1:14" s="39" customFormat="1" ht="25.5">
      <c r="A188" s="400"/>
      <c r="B188" s="400"/>
      <c r="C188" s="410">
        <v>4110</v>
      </c>
      <c r="D188" s="411" t="s">
        <v>412</v>
      </c>
      <c r="E188" s="412">
        <f t="shared" si="26"/>
        <v>128630</v>
      </c>
      <c r="F188" s="412">
        <f t="shared" si="27"/>
        <v>128630</v>
      </c>
      <c r="G188" s="412"/>
      <c r="H188" s="412"/>
      <c r="I188" s="412">
        <v>128630</v>
      </c>
      <c r="J188" s="412"/>
      <c r="K188" s="412"/>
      <c r="L188" s="412"/>
      <c r="M188" s="412"/>
      <c r="N188" s="412"/>
    </row>
    <row r="189" spans="1:14" s="39" customFormat="1" ht="12.75">
      <c r="A189" s="400"/>
      <c r="B189" s="400"/>
      <c r="C189" s="410">
        <v>4120</v>
      </c>
      <c r="D189" s="411" t="s">
        <v>335</v>
      </c>
      <c r="E189" s="412">
        <f t="shared" si="26"/>
        <v>20640</v>
      </c>
      <c r="F189" s="412">
        <f t="shared" si="27"/>
        <v>20640</v>
      </c>
      <c r="G189" s="412"/>
      <c r="H189" s="412"/>
      <c r="I189" s="412">
        <v>20640</v>
      </c>
      <c r="J189" s="412"/>
      <c r="K189" s="412"/>
      <c r="L189" s="412"/>
      <c r="M189" s="412"/>
      <c r="N189" s="412"/>
    </row>
    <row r="190" spans="1:14" s="39" customFormat="1" ht="47.25" customHeight="1">
      <c r="A190" s="400"/>
      <c r="B190" s="400"/>
      <c r="C190" s="410">
        <v>4440</v>
      </c>
      <c r="D190" s="411" t="s">
        <v>348</v>
      </c>
      <c r="E190" s="412">
        <f t="shared" si="26"/>
        <v>38350</v>
      </c>
      <c r="F190" s="412">
        <f t="shared" si="27"/>
        <v>38350</v>
      </c>
      <c r="G190" s="412"/>
      <c r="H190" s="412"/>
      <c r="I190" s="412"/>
      <c r="J190" s="412"/>
      <c r="K190" s="412"/>
      <c r="L190" s="412"/>
      <c r="M190" s="412">
        <v>38350</v>
      </c>
      <c r="N190" s="412"/>
    </row>
    <row r="191" spans="1:14" s="63" customFormat="1" ht="12.75">
      <c r="A191" s="400"/>
      <c r="B191" s="405">
        <v>80111</v>
      </c>
      <c r="C191" s="406"/>
      <c r="D191" s="416" t="s">
        <v>413</v>
      </c>
      <c r="E191" s="408">
        <f t="shared" si="26"/>
        <v>798720</v>
      </c>
      <c r="F191" s="408">
        <f t="shared" si="27"/>
        <v>798720</v>
      </c>
      <c r="G191" s="408">
        <f aca="true" t="shared" si="42" ref="G191:N191">SUM(G192:G212)</f>
        <v>467980</v>
      </c>
      <c r="H191" s="408">
        <f t="shared" si="42"/>
        <v>40610</v>
      </c>
      <c r="I191" s="408">
        <f t="shared" si="42"/>
        <v>88300</v>
      </c>
      <c r="J191" s="408">
        <f t="shared" si="42"/>
        <v>0</v>
      </c>
      <c r="K191" s="408">
        <f t="shared" si="42"/>
        <v>0</v>
      </c>
      <c r="L191" s="408">
        <f t="shared" si="42"/>
        <v>0</v>
      </c>
      <c r="M191" s="408">
        <f t="shared" si="42"/>
        <v>201830</v>
      </c>
      <c r="N191" s="408">
        <f t="shared" si="42"/>
        <v>0</v>
      </c>
    </row>
    <row r="192" spans="1:14" s="39" customFormat="1" ht="25.5">
      <c r="A192" s="400"/>
      <c r="B192" s="400"/>
      <c r="C192" s="410">
        <v>3020</v>
      </c>
      <c r="D192" s="411" t="s">
        <v>566</v>
      </c>
      <c r="E192" s="412">
        <f t="shared" si="26"/>
        <v>6470</v>
      </c>
      <c r="F192" s="412">
        <f t="shared" si="27"/>
        <v>6470</v>
      </c>
      <c r="G192" s="412"/>
      <c r="H192" s="412"/>
      <c r="I192" s="412"/>
      <c r="J192" s="412"/>
      <c r="K192" s="412"/>
      <c r="L192" s="412"/>
      <c r="M192" s="412">
        <v>6470</v>
      </c>
      <c r="N192" s="412"/>
    </row>
    <row r="193" spans="1:14" s="39" customFormat="1" ht="25.5">
      <c r="A193" s="400"/>
      <c r="B193" s="400"/>
      <c r="C193" s="410">
        <v>4010</v>
      </c>
      <c r="D193" s="411" t="s">
        <v>332</v>
      </c>
      <c r="E193" s="412">
        <f t="shared" si="26"/>
        <v>467980</v>
      </c>
      <c r="F193" s="412">
        <f t="shared" si="27"/>
        <v>467980</v>
      </c>
      <c r="G193" s="412">
        <v>467980</v>
      </c>
      <c r="H193" s="412"/>
      <c r="I193" s="412"/>
      <c r="J193" s="412"/>
      <c r="K193" s="412"/>
      <c r="L193" s="412"/>
      <c r="M193" s="412"/>
      <c r="N193" s="412"/>
    </row>
    <row r="194" spans="1:14" s="39" customFormat="1" ht="25.5">
      <c r="A194" s="400"/>
      <c r="B194" s="400"/>
      <c r="C194" s="410">
        <v>4040</v>
      </c>
      <c r="D194" s="411" t="s">
        <v>333</v>
      </c>
      <c r="E194" s="412">
        <f t="shared" si="26"/>
        <v>40610</v>
      </c>
      <c r="F194" s="412">
        <f t="shared" si="27"/>
        <v>40610</v>
      </c>
      <c r="G194" s="412"/>
      <c r="H194" s="412">
        <v>40610</v>
      </c>
      <c r="I194" s="412"/>
      <c r="J194" s="412"/>
      <c r="K194" s="412"/>
      <c r="L194" s="412"/>
      <c r="M194" s="412"/>
      <c r="N194" s="412"/>
    </row>
    <row r="195" spans="1:14" s="39" customFormat="1" ht="25.5">
      <c r="A195" s="400"/>
      <c r="B195" s="400"/>
      <c r="C195" s="410">
        <v>4110</v>
      </c>
      <c r="D195" s="411" t="s">
        <v>412</v>
      </c>
      <c r="E195" s="412">
        <f t="shared" si="26"/>
        <v>76090</v>
      </c>
      <c r="F195" s="412">
        <f t="shared" si="27"/>
        <v>76090</v>
      </c>
      <c r="G195" s="412"/>
      <c r="H195" s="412"/>
      <c r="I195" s="412">
        <v>76090</v>
      </c>
      <c r="J195" s="412"/>
      <c r="K195" s="412"/>
      <c r="L195" s="412"/>
      <c r="M195" s="412"/>
      <c r="N195" s="412"/>
    </row>
    <row r="196" spans="1:14" s="39" customFormat="1" ht="12.75">
      <c r="A196" s="400"/>
      <c r="B196" s="400"/>
      <c r="C196" s="410">
        <v>4120</v>
      </c>
      <c r="D196" s="411" t="s">
        <v>414</v>
      </c>
      <c r="E196" s="412">
        <f t="shared" si="26"/>
        <v>12210</v>
      </c>
      <c r="F196" s="412">
        <f t="shared" si="27"/>
        <v>12210</v>
      </c>
      <c r="G196" s="412"/>
      <c r="H196" s="412"/>
      <c r="I196" s="412">
        <v>12210</v>
      </c>
      <c r="J196" s="412"/>
      <c r="K196" s="412"/>
      <c r="L196" s="412"/>
      <c r="M196" s="412"/>
      <c r="N196" s="412"/>
    </row>
    <row r="197" spans="1:14" s="39" customFormat="1" ht="33" customHeight="1">
      <c r="A197" s="400"/>
      <c r="B197" s="400"/>
      <c r="C197" s="410">
        <v>4170</v>
      </c>
      <c r="D197" s="411" t="s">
        <v>371</v>
      </c>
      <c r="E197" s="412">
        <f t="shared" si="26"/>
        <v>2630</v>
      </c>
      <c r="F197" s="412">
        <f t="shared" si="27"/>
        <v>2630</v>
      </c>
      <c r="G197" s="412"/>
      <c r="H197" s="412"/>
      <c r="I197" s="412"/>
      <c r="J197" s="412"/>
      <c r="K197" s="412"/>
      <c r="L197" s="412"/>
      <c r="M197" s="412">
        <v>2630</v>
      </c>
      <c r="N197" s="412"/>
    </row>
    <row r="198" spans="1:14" s="39" customFormat="1" ht="25.5">
      <c r="A198" s="400"/>
      <c r="B198" s="400"/>
      <c r="C198" s="410">
        <v>4210</v>
      </c>
      <c r="D198" s="411" t="s">
        <v>337</v>
      </c>
      <c r="E198" s="412">
        <f t="shared" si="26"/>
        <v>18200</v>
      </c>
      <c r="F198" s="412">
        <f t="shared" si="27"/>
        <v>18200</v>
      </c>
      <c r="G198" s="412"/>
      <c r="H198" s="412"/>
      <c r="I198" s="412"/>
      <c r="J198" s="412"/>
      <c r="K198" s="412"/>
      <c r="L198" s="412"/>
      <c r="M198" s="412">
        <v>18200</v>
      </c>
      <c r="N198" s="412"/>
    </row>
    <row r="199" spans="1:14" s="39" customFormat="1" ht="25.5" hidden="1">
      <c r="A199" s="400"/>
      <c r="B199" s="400"/>
      <c r="C199" s="410">
        <v>4240</v>
      </c>
      <c r="D199" s="411" t="s">
        <v>415</v>
      </c>
      <c r="E199" s="412">
        <f t="shared" si="26"/>
        <v>0</v>
      </c>
      <c r="F199" s="412">
        <f t="shared" si="27"/>
        <v>0</v>
      </c>
      <c r="G199" s="412"/>
      <c r="H199" s="412"/>
      <c r="I199" s="412"/>
      <c r="J199" s="412"/>
      <c r="K199" s="412"/>
      <c r="L199" s="412"/>
      <c r="M199" s="412"/>
      <c r="N199" s="412"/>
    </row>
    <row r="200" spans="1:14" s="39" customFormat="1" ht="12.75">
      <c r="A200" s="400"/>
      <c r="B200" s="400"/>
      <c r="C200" s="410">
        <v>4260</v>
      </c>
      <c r="D200" s="411" t="s">
        <v>338</v>
      </c>
      <c r="E200" s="412">
        <f t="shared" si="26"/>
        <v>82120</v>
      </c>
      <c r="F200" s="412">
        <f t="shared" si="27"/>
        <v>82120</v>
      </c>
      <c r="G200" s="412"/>
      <c r="H200" s="412"/>
      <c r="I200" s="412"/>
      <c r="J200" s="412"/>
      <c r="K200" s="412"/>
      <c r="L200" s="412"/>
      <c r="M200" s="412">
        <v>82120</v>
      </c>
      <c r="N200" s="412"/>
    </row>
    <row r="201" spans="1:14" s="39" customFormat="1" ht="12.75">
      <c r="A201" s="400"/>
      <c r="B201" s="400"/>
      <c r="C201" s="410">
        <v>4270</v>
      </c>
      <c r="D201" s="411" t="s">
        <v>355</v>
      </c>
      <c r="E201" s="412">
        <f t="shared" si="26"/>
        <v>2700</v>
      </c>
      <c r="F201" s="412">
        <f t="shared" si="27"/>
        <v>2700</v>
      </c>
      <c r="G201" s="412"/>
      <c r="H201" s="412"/>
      <c r="I201" s="412"/>
      <c r="J201" s="412"/>
      <c r="K201" s="412"/>
      <c r="L201" s="412"/>
      <c r="M201" s="412">
        <v>2700</v>
      </c>
      <c r="N201" s="412"/>
    </row>
    <row r="202" spans="1:14" s="39" customFormat="1" ht="12.75">
      <c r="A202" s="400"/>
      <c r="B202" s="400"/>
      <c r="C202" s="410">
        <v>4280</v>
      </c>
      <c r="D202" s="411" t="s">
        <v>340</v>
      </c>
      <c r="E202" s="412">
        <f t="shared" si="26"/>
        <v>1500</v>
      </c>
      <c r="F202" s="412">
        <f t="shared" si="27"/>
        <v>1500</v>
      </c>
      <c r="G202" s="412"/>
      <c r="H202" s="412"/>
      <c r="I202" s="412"/>
      <c r="J202" s="412"/>
      <c r="K202" s="412"/>
      <c r="L202" s="412"/>
      <c r="M202" s="412">
        <v>1500</v>
      </c>
      <c r="N202" s="412"/>
    </row>
    <row r="203" spans="1:14" s="39" customFormat="1" ht="12.75">
      <c r="A203" s="400"/>
      <c r="B203" s="400"/>
      <c r="C203" s="410">
        <v>4300</v>
      </c>
      <c r="D203" s="411" t="s">
        <v>320</v>
      </c>
      <c r="E203" s="412">
        <f t="shared" si="26"/>
        <v>43400</v>
      </c>
      <c r="F203" s="412">
        <f t="shared" si="27"/>
        <v>43400</v>
      </c>
      <c r="G203" s="412"/>
      <c r="H203" s="412"/>
      <c r="I203" s="412"/>
      <c r="J203" s="412"/>
      <c r="K203" s="412"/>
      <c r="L203" s="412"/>
      <c r="M203" s="412">
        <v>43400</v>
      </c>
      <c r="N203" s="412"/>
    </row>
    <row r="204" spans="1:14" s="39" customFormat="1" ht="25.5">
      <c r="A204" s="400"/>
      <c r="B204" s="400"/>
      <c r="C204" s="410">
        <v>4350</v>
      </c>
      <c r="D204" s="411" t="s">
        <v>341</v>
      </c>
      <c r="E204" s="412">
        <f t="shared" si="26"/>
        <v>5220</v>
      </c>
      <c r="F204" s="412">
        <f t="shared" si="27"/>
        <v>5220</v>
      </c>
      <c r="G204" s="412"/>
      <c r="H204" s="412"/>
      <c r="I204" s="412"/>
      <c r="J204" s="412"/>
      <c r="K204" s="412"/>
      <c r="L204" s="412"/>
      <c r="M204" s="412">
        <v>5220</v>
      </c>
      <c r="N204" s="412"/>
    </row>
    <row r="205" spans="1:14" s="39" customFormat="1" ht="38.25">
      <c r="A205" s="400"/>
      <c r="B205" s="400"/>
      <c r="C205" s="410">
        <v>4370</v>
      </c>
      <c r="D205" s="411" t="s">
        <v>416</v>
      </c>
      <c r="E205" s="412">
        <f t="shared" si="26"/>
        <v>5910</v>
      </c>
      <c r="F205" s="412">
        <f t="shared" si="27"/>
        <v>5910</v>
      </c>
      <c r="G205" s="412"/>
      <c r="H205" s="412"/>
      <c r="I205" s="412"/>
      <c r="J205" s="412"/>
      <c r="K205" s="412"/>
      <c r="L205" s="412"/>
      <c r="M205" s="412">
        <v>5910</v>
      </c>
      <c r="N205" s="412"/>
    </row>
    <row r="206" spans="1:14" s="39" customFormat="1" ht="12.75">
      <c r="A206" s="400"/>
      <c r="B206" s="400"/>
      <c r="C206" s="410">
        <v>4410</v>
      </c>
      <c r="D206" s="411" t="s">
        <v>346</v>
      </c>
      <c r="E206" s="412">
        <f t="shared" si="26"/>
        <v>1060</v>
      </c>
      <c r="F206" s="412">
        <f t="shared" si="27"/>
        <v>1060</v>
      </c>
      <c r="G206" s="412"/>
      <c r="H206" s="412"/>
      <c r="I206" s="412"/>
      <c r="J206" s="412"/>
      <c r="K206" s="412"/>
      <c r="L206" s="412"/>
      <c r="M206" s="412">
        <v>1060</v>
      </c>
      <c r="N206" s="412"/>
    </row>
    <row r="207" spans="1:14" s="39" customFormat="1" ht="12.75">
      <c r="A207" s="400"/>
      <c r="B207" s="400"/>
      <c r="C207" s="410">
        <v>4430</v>
      </c>
      <c r="D207" s="411" t="s">
        <v>347</v>
      </c>
      <c r="E207" s="412">
        <f t="shared" si="26"/>
        <v>3870</v>
      </c>
      <c r="F207" s="412">
        <f t="shared" si="27"/>
        <v>3870</v>
      </c>
      <c r="G207" s="412"/>
      <c r="H207" s="412"/>
      <c r="I207" s="412"/>
      <c r="J207" s="412"/>
      <c r="K207" s="412"/>
      <c r="L207" s="412"/>
      <c r="M207" s="412">
        <v>3870</v>
      </c>
      <c r="N207" s="412"/>
    </row>
    <row r="208" spans="1:14" s="39" customFormat="1" ht="40.5" customHeight="1">
      <c r="A208" s="400"/>
      <c r="B208" s="400"/>
      <c r="C208" s="410">
        <v>4440</v>
      </c>
      <c r="D208" s="411" t="s">
        <v>348</v>
      </c>
      <c r="E208" s="412">
        <f t="shared" si="26"/>
        <v>23940</v>
      </c>
      <c r="F208" s="412">
        <f t="shared" si="27"/>
        <v>23940</v>
      </c>
      <c r="G208" s="412"/>
      <c r="H208" s="412"/>
      <c r="I208" s="412"/>
      <c r="J208" s="412"/>
      <c r="K208" s="412"/>
      <c r="L208" s="412"/>
      <c r="M208" s="412">
        <v>23940</v>
      </c>
      <c r="N208" s="412"/>
    </row>
    <row r="209" spans="1:14" s="39" customFormat="1" ht="25.5">
      <c r="A209" s="400"/>
      <c r="B209" s="400"/>
      <c r="C209" s="410">
        <v>4510</v>
      </c>
      <c r="D209" s="411" t="s">
        <v>602</v>
      </c>
      <c r="E209" s="412">
        <f t="shared" si="26"/>
        <v>310</v>
      </c>
      <c r="F209" s="412">
        <f t="shared" si="27"/>
        <v>310</v>
      </c>
      <c r="G209" s="412"/>
      <c r="H209" s="412"/>
      <c r="I209" s="412"/>
      <c r="J209" s="412"/>
      <c r="K209" s="412"/>
      <c r="L209" s="412"/>
      <c r="M209" s="412">
        <v>310</v>
      </c>
      <c r="N209" s="412"/>
    </row>
    <row r="210" spans="1:14" s="39" customFormat="1" ht="49.5" customHeight="1">
      <c r="A210" s="400"/>
      <c r="B210" s="400"/>
      <c r="C210" s="410">
        <v>4700</v>
      </c>
      <c r="D210" s="411" t="s">
        <v>565</v>
      </c>
      <c r="E210" s="412">
        <f t="shared" si="26"/>
        <v>1000</v>
      </c>
      <c r="F210" s="412">
        <f t="shared" si="27"/>
        <v>1000</v>
      </c>
      <c r="G210" s="412"/>
      <c r="H210" s="412"/>
      <c r="I210" s="412"/>
      <c r="J210" s="412"/>
      <c r="K210" s="412"/>
      <c r="L210" s="412"/>
      <c r="M210" s="412">
        <v>1000</v>
      </c>
      <c r="N210" s="412"/>
    </row>
    <row r="211" spans="1:14" s="39" customFormat="1" ht="51">
      <c r="A211" s="400"/>
      <c r="B211" s="400"/>
      <c r="C211" s="410">
        <v>4740</v>
      </c>
      <c r="D211" s="411" t="s">
        <v>374</v>
      </c>
      <c r="E211" s="412">
        <f t="shared" si="26"/>
        <v>1500</v>
      </c>
      <c r="F211" s="412">
        <f t="shared" si="27"/>
        <v>1500</v>
      </c>
      <c r="G211" s="412"/>
      <c r="H211" s="412"/>
      <c r="I211" s="412"/>
      <c r="J211" s="412"/>
      <c r="K211" s="412"/>
      <c r="L211" s="412"/>
      <c r="M211" s="412">
        <v>1500</v>
      </c>
      <c r="N211" s="412"/>
    </row>
    <row r="212" spans="1:14" s="39" customFormat="1" ht="38.25">
      <c r="A212" s="400"/>
      <c r="B212" s="400"/>
      <c r="C212" s="410">
        <v>4750</v>
      </c>
      <c r="D212" s="411" t="s">
        <v>417</v>
      </c>
      <c r="E212" s="412">
        <f t="shared" si="26"/>
        <v>2000</v>
      </c>
      <c r="F212" s="412">
        <f t="shared" si="27"/>
        <v>2000</v>
      </c>
      <c r="G212" s="412"/>
      <c r="H212" s="412"/>
      <c r="I212" s="412"/>
      <c r="J212" s="412"/>
      <c r="K212" s="412"/>
      <c r="L212" s="412"/>
      <c r="M212" s="412">
        <v>2000</v>
      </c>
      <c r="N212" s="412"/>
    </row>
    <row r="213" spans="1:14" s="63" customFormat="1" ht="12.75">
      <c r="A213" s="400"/>
      <c r="B213" s="405">
        <v>80120</v>
      </c>
      <c r="C213" s="406"/>
      <c r="D213" s="416" t="s">
        <v>418</v>
      </c>
      <c r="E213" s="408">
        <f t="shared" si="26"/>
        <v>2142860</v>
      </c>
      <c r="F213" s="408">
        <f t="shared" si="27"/>
        <v>2142860</v>
      </c>
      <c r="G213" s="408">
        <f>SUM(G214:G224)</f>
        <v>1488100</v>
      </c>
      <c r="H213" s="408">
        <f aca="true" t="shared" si="43" ref="H213:N213">SUM(H214:H224)</f>
        <v>114660</v>
      </c>
      <c r="I213" s="408">
        <f t="shared" si="43"/>
        <v>279220</v>
      </c>
      <c r="J213" s="408">
        <f t="shared" si="43"/>
        <v>64100</v>
      </c>
      <c r="K213" s="408">
        <f t="shared" si="43"/>
        <v>0</v>
      </c>
      <c r="L213" s="408">
        <f t="shared" si="43"/>
        <v>0</v>
      </c>
      <c r="M213" s="408">
        <f t="shared" si="43"/>
        <v>196780</v>
      </c>
      <c r="N213" s="408">
        <f t="shared" si="43"/>
        <v>0</v>
      </c>
    </row>
    <row r="214" spans="1:14" s="39" customFormat="1" ht="68.25" customHeight="1">
      <c r="A214" s="400"/>
      <c r="B214" s="400"/>
      <c r="C214" s="410">
        <v>2540</v>
      </c>
      <c r="D214" s="411" t="s">
        <v>419</v>
      </c>
      <c r="E214" s="412" t="s">
        <v>760</v>
      </c>
      <c r="F214" s="412">
        <f t="shared" si="27"/>
        <v>64100</v>
      </c>
      <c r="G214" s="412"/>
      <c r="H214" s="412"/>
      <c r="I214" s="412"/>
      <c r="J214" s="412">
        <v>64100</v>
      </c>
      <c r="K214" s="412"/>
      <c r="L214" s="412"/>
      <c r="M214" s="412"/>
      <c r="N214" s="412"/>
    </row>
    <row r="215" spans="1:14" s="39" customFormat="1" ht="25.5">
      <c r="A215" s="400"/>
      <c r="B215" s="400"/>
      <c r="C215" s="410">
        <v>3020</v>
      </c>
      <c r="D215" s="411" t="s">
        <v>566</v>
      </c>
      <c r="E215" s="412">
        <f t="shared" si="26"/>
        <v>56680</v>
      </c>
      <c r="F215" s="412">
        <f t="shared" si="27"/>
        <v>56680</v>
      </c>
      <c r="G215" s="412"/>
      <c r="H215" s="412"/>
      <c r="I215" s="412"/>
      <c r="J215" s="412"/>
      <c r="K215" s="412"/>
      <c r="L215" s="412"/>
      <c r="M215" s="412">
        <v>56680</v>
      </c>
      <c r="N215" s="412"/>
    </row>
    <row r="216" spans="1:14" s="39" customFormat="1" ht="25.5">
      <c r="A216" s="400"/>
      <c r="B216" s="400"/>
      <c r="C216" s="410">
        <v>4010</v>
      </c>
      <c r="D216" s="411" t="s">
        <v>332</v>
      </c>
      <c r="E216" s="412">
        <f t="shared" si="26"/>
        <v>1488100</v>
      </c>
      <c r="F216" s="412">
        <f t="shared" si="27"/>
        <v>1488100</v>
      </c>
      <c r="G216" s="412">
        <v>1488100</v>
      </c>
      <c r="H216" s="412"/>
      <c r="I216" s="412"/>
      <c r="J216" s="412"/>
      <c r="K216" s="412"/>
      <c r="L216" s="412"/>
      <c r="M216" s="412"/>
      <c r="N216" s="412"/>
    </row>
    <row r="217" spans="1:14" s="39" customFormat="1" ht="25.5">
      <c r="A217" s="400"/>
      <c r="B217" s="400"/>
      <c r="C217" s="410">
        <v>4040</v>
      </c>
      <c r="D217" s="411" t="s">
        <v>333</v>
      </c>
      <c r="E217" s="412">
        <f t="shared" si="26"/>
        <v>114660</v>
      </c>
      <c r="F217" s="412">
        <f t="shared" si="27"/>
        <v>114660</v>
      </c>
      <c r="G217" s="412"/>
      <c r="H217" s="412">
        <v>114660</v>
      </c>
      <c r="I217" s="412"/>
      <c r="J217" s="412"/>
      <c r="K217" s="412"/>
      <c r="L217" s="412"/>
      <c r="M217" s="412"/>
      <c r="N217" s="412"/>
    </row>
    <row r="218" spans="1:14" s="39" customFormat="1" ht="25.5">
      <c r="A218" s="400"/>
      <c r="B218" s="400"/>
      <c r="C218" s="410">
        <v>4110</v>
      </c>
      <c r="D218" s="411" t="s">
        <v>412</v>
      </c>
      <c r="E218" s="412">
        <f t="shared" si="26"/>
        <v>240760</v>
      </c>
      <c r="F218" s="412">
        <f t="shared" si="27"/>
        <v>240760</v>
      </c>
      <c r="G218" s="412"/>
      <c r="H218" s="412"/>
      <c r="I218" s="412">
        <v>240760</v>
      </c>
      <c r="J218" s="412"/>
      <c r="K218" s="412"/>
      <c r="L218" s="412"/>
      <c r="M218" s="412"/>
      <c r="N218" s="412"/>
    </row>
    <row r="219" spans="1:14" s="39" customFormat="1" ht="12.75">
      <c r="A219" s="400"/>
      <c r="B219" s="400"/>
      <c r="C219" s="410">
        <v>4120</v>
      </c>
      <c r="D219" s="411" t="s">
        <v>335</v>
      </c>
      <c r="E219" s="412">
        <f aca="true" t="shared" si="44" ref="E219:E285">F219+N219</f>
        <v>38460</v>
      </c>
      <c r="F219" s="412">
        <f aca="true" t="shared" si="45" ref="F219:F285">SUM(G219:M219)</f>
        <v>38460</v>
      </c>
      <c r="G219" s="412"/>
      <c r="H219" s="412"/>
      <c r="I219" s="412">
        <v>38460</v>
      </c>
      <c r="J219" s="412"/>
      <c r="K219" s="412"/>
      <c r="L219" s="412"/>
      <c r="M219" s="412"/>
      <c r="N219" s="412"/>
    </row>
    <row r="220" spans="1:14" s="39" customFormat="1" ht="25.5">
      <c r="A220" s="400"/>
      <c r="B220" s="400"/>
      <c r="C220" s="410">
        <v>4210</v>
      </c>
      <c r="D220" s="411" t="s">
        <v>337</v>
      </c>
      <c r="E220" s="412">
        <f t="shared" si="44"/>
        <v>9810</v>
      </c>
      <c r="F220" s="412">
        <f t="shared" si="45"/>
        <v>9810</v>
      </c>
      <c r="G220" s="412"/>
      <c r="H220" s="412"/>
      <c r="I220" s="412"/>
      <c r="J220" s="412"/>
      <c r="K220" s="412"/>
      <c r="L220" s="412"/>
      <c r="M220" s="412">
        <v>9810</v>
      </c>
      <c r="N220" s="412"/>
    </row>
    <row r="221" spans="1:14" s="39" customFormat="1" ht="25.5" hidden="1">
      <c r="A221" s="400"/>
      <c r="B221" s="400"/>
      <c r="C221" s="410">
        <v>4240</v>
      </c>
      <c r="D221" s="411" t="s">
        <v>415</v>
      </c>
      <c r="E221" s="412">
        <f t="shared" si="44"/>
        <v>0</v>
      </c>
      <c r="F221" s="412">
        <f t="shared" si="45"/>
        <v>0</v>
      </c>
      <c r="G221" s="412"/>
      <c r="H221" s="412"/>
      <c r="I221" s="412"/>
      <c r="J221" s="412"/>
      <c r="K221" s="412"/>
      <c r="L221" s="412"/>
      <c r="M221" s="412">
        <v>0</v>
      </c>
      <c r="N221" s="412"/>
    </row>
    <row r="222" spans="1:14" s="39" customFormat="1" ht="12.75">
      <c r="A222" s="400"/>
      <c r="B222" s="400"/>
      <c r="C222" s="410">
        <v>4260</v>
      </c>
      <c r="D222" s="411" t="s">
        <v>338</v>
      </c>
      <c r="E222" s="412">
        <f t="shared" si="44"/>
        <v>5450</v>
      </c>
      <c r="F222" s="412">
        <f t="shared" si="45"/>
        <v>5450</v>
      </c>
      <c r="G222" s="412"/>
      <c r="H222" s="412"/>
      <c r="I222" s="412"/>
      <c r="J222" s="412"/>
      <c r="K222" s="412"/>
      <c r="L222" s="412"/>
      <c r="M222" s="412">
        <v>5450</v>
      </c>
      <c r="N222" s="412"/>
    </row>
    <row r="223" spans="1:15" s="39" customFormat="1" ht="12.75">
      <c r="A223" s="400"/>
      <c r="B223" s="400"/>
      <c r="C223" s="410">
        <v>4300</v>
      </c>
      <c r="D223" s="411" t="s">
        <v>320</v>
      </c>
      <c r="E223" s="412">
        <f t="shared" si="44"/>
        <v>21600</v>
      </c>
      <c r="F223" s="412">
        <f t="shared" si="45"/>
        <v>21600</v>
      </c>
      <c r="G223" s="412"/>
      <c r="H223" s="412"/>
      <c r="I223" s="412"/>
      <c r="J223" s="412"/>
      <c r="K223" s="412"/>
      <c r="L223" s="412"/>
      <c r="M223" s="412">
        <v>21600</v>
      </c>
      <c r="N223" s="412"/>
      <c r="O223" s="39">
        <v>11680</v>
      </c>
    </row>
    <row r="224" spans="1:14" s="39" customFormat="1" ht="44.25" customHeight="1">
      <c r="A224" s="400"/>
      <c r="B224" s="400"/>
      <c r="C224" s="410">
        <v>4440</v>
      </c>
      <c r="D224" s="411" t="s">
        <v>348</v>
      </c>
      <c r="E224" s="412">
        <f t="shared" si="44"/>
        <v>103240</v>
      </c>
      <c r="F224" s="412">
        <f t="shared" si="45"/>
        <v>103240</v>
      </c>
      <c r="G224" s="412"/>
      <c r="H224" s="412"/>
      <c r="I224" s="412"/>
      <c r="J224" s="412"/>
      <c r="K224" s="412"/>
      <c r="L224" s="412"/>
      <c r="M224" s="412">
        <v>103240</v>
      </c>
      <c r="N224" s="412"/>
    </row>
    <row r="225" spans="1:14" s="63" customFormat="1" ht="12.75">
      <c r="A225" s="426"/>
      <c r="B225" s="405">
        <v>80130</v>
      </c>
      <c r="C225" s="406"/>
      <c r="D225" s="416" t="s">
        <v>420</v>
      </c>
      <c r="E225" s="408">
        <f t="shared" si="44"/>
        <v>7124370</v>
      </c>
      <c r="F225" s="408">
        <f t="shared" si="45"/>
        <v>6594370</v>
      </c>
      <c r="G225" s="408">
        <f aca="true" t="shared" si="46" ref="G225:N225">SUM(G226:G255)</f>
        <v>3984910</v>
      </c>
      <c r="H225" s="408">
        <f t="shared" si="46"/>
        <v>306220</v>
      </c>
      <c r="I225" s="408">
        <f t="shared" si="46"/>
        <v>743200</v>
      </c>
      <c r="J225" s="408">
        <f t="shared" si="46"/>
        <v>30000</v>
      </c>
      <c r="K225" s="408">
        <f t="shared" si="46"/>
        <v>0</v>
      </c>
      <c r="L225" s="408">
        <f t="shared" si="46"/>
        <v>0</v>
      </c>
      <c r="M225" s="408">
        <f t="shared" si="46"/>
        <v>1530040</v>
      </c>
      <c r="N225" s="408">
        <f t="shared" si="46"/>
        <v>530000</v>
      </c>
    </row>
    <row r="226" spans="1:14" s="39" customFormat="1" ht="100.5" customHeight="1">
      <c r="A226" s="427"/>
      <c r="B226" s="400"/>
      <c r="C226" s="410">
        <v>2330</v>
      </c>
      <c r="D226" s="411" t="s">
        <v>344</v>
      </c>
      <c r="E226" s="412">
        <f>F226+N226</f>
        <v>30000</v>
      </c>
      <c r="F226" s="412">
        <f>SUM(G226:M226)</f>
        <v>30000</v>
      </c>
      <c r="G226" s="412"/>
      <c r="H226" s="412"/>
      <c r="I226" s="412"/>
      <c r="J226" s="412">
        <v>30000</v>
      </c>
      <c r="K226" s="412"/>
      <c r="L226" s="412"/>
      <c r="M226" s="412"/>
      <c r="N226" s="412"/>
    </row>
    <row r="227" spans="1:14" s="39" customFormat="1" ht="25.5">
      <c r="A227" s="427"/>
      <c r="B227" s="400"/>
      <c r="C227" s="410">
        <v>3020</v>
      </c>
      <c r="D227" s="411" t="s">
        <v>566</v>
      </c>
      <c r="E227" s="412">
        <f t="shared" si="44"/>
        <v>233870</v>
      </c>
      <c r="F227" s="412">
        <f t="shared" si="45"/>
        <v>233870</v>
      </c>
      <c r="G227" s="412"/>
      <c r="H227" s="412"/>
      <c r="I227" s="412"/>
      <c r="J227" s="412"/>
      <c r="K227" s="412"/>
      <c r="L227" s="412"/>
      <c r="M227" s="412">
        <v>233870</v>
      </c>
      <c r="N227" s="412"/>
    </row>
    <row r="228" spans="1:14" s="39" customFormat="1" ht="25.5">
      <c r="A228" s="427"/>
      <c r="B228" s="400"/>
      <c r="C228" s="410">
        <v>4010</v>
      </c>
      <c r="D228" s="411" t="s">
        <v>332</v>
      </c>
      <c r="E228" s="412">
        <f t="shared" si="44"/>
        <v>3984910</v>
      </c>
      <c r="F228" s="412">
        <f t="shared" si="45"/>
        <v>3984910</v>
      </c>
      <c r="G228" s="412">
        <v>3984910</v>
      </c>
      <c r="H228" s="412"/>
      <c r="I228" s="412"/>
      <c r="J228" s="412"/>
      <c r="K228" s="412"/>
      <c r="L228" s="412"/>
      <c r="M228" s="412"/>
      <c r="N228" s="412"/>
    </row>
    <row r="229" spans="1:14" s="39" customFormat="1" ht="25.5">
      <c r="A229" s="427"/>
      <c r="B229" s="400"/>
      <c r="C229" s="410">
        <v>4040</v>
      </c>
      <c r="D229" s="411" t="s">
        <v>333</v>
      </c>
      <c r="E229" s="412">
        <f t="shared" si="44"/>
        <v>306220</v>
      </c>
      <c r="F229" s="412">
        <f t="shared" si="45"/>
        <v>306220</v>
      </c>
      <c r="G229" s="412"/>
      <c r="H229" s="412">
        <v>306220</v>
      </c>
      <c r="I229" s="412"/>
      <c r="J229" s="412"/>
      <c r="K229" s="412"/>
      <c r="L229" s="412"/>
      <c r="M229" s="412"/>
      <c r="N229" s="412"/>
    </row>
    <row r="230" spans="1:14" s="39" customFormat="1" ht="25.5">
      <c r="A230" s="427"/>
      <c r="B230" s="400"/>
      <c r="C230" s="410">
        <v>4110</v>
      </c>
      <c r="D230" s="411" t="s">
        <v>412</v>
      </c>
      <c r="E230" s="412">
        <f t="shared" si="44"/>
        <v>640210</v>
      </c>
      <c r="F230" s="412">
        <f t="shared" si="45"/>
        <v>640210</v>
      </c>
      <c r="G230" s="412"/>
      <c r="H230" s="412"/>
      <c r="I230" s="412">
        <v>640210</v>
      </c>
      <c r="J230" s="412"/>
      <c r="K230" s="412"/>
      <c r="L230" s="412"/>
      <c r="M230" s="412"/>
      <c r="N230" s="412"/>
    </row>
    <row r="231" spans="1:14" s="39" customFormat="1" ht="12.75">
      <c r="A231" s="427"/>
      <c r="B231" s="400"/>
      <c r="C231" s="410">
        <v>4120</v>
      </c>
      <c r="D231" s="411" t="s">
        <v>335</v>
      </c>
      <c r="E231" s="412">
        <f t="shared" si="44"/>
        <v>102990</v>
      </c>
      <c r="F231" s="412">
        <f t="shared" si="45"/>
        <v>102990</v>
      </c>
      <c r="G231" s="412"/>
      <c r="H231" s="412"/>
      <c r="I231" s="412">
        <v>102990</v>
      </c>
      <c r="J231" s="412"/>
      <c r="K231" s="412"/>
      <c r="L231" s="412"/>
      <c r="M231" s="412"/>
      <c r="N231" s="412"/>
    </row>
    <row r="232" spans="1:14" s="39" customFormat="1" ht="12.75">
      <c r="A232" s="427"/>
      <c r="B232" s="400"/>
      <c r="C232" s="410">
        <v>4140</v>
      </c>
      <c r="D232" s="411" t="s">
        <v>421</v>
      </c>
      <c r="E232" s="412">
        <f t="shared" si="44"/>
        <v>16400</v>
      </c>
      <c r="F232" s="412">
        <f t="shared" si="45"/>
        <v>16400</v>
      </c>
      <c r="G232" s="412"/>
      <c r="H232" s="412"/>
      <c r="I232" s="412"/>
      <c r="J232" s="412"/>
      <c r="K232" s="412"/>
      <c r="L232" s="412"/>
      <c r="M232" s="412">
        <v>16400</v>
      </c>
      <c r="N232" s="412"/>
    </row>
    <row r="233" spans="1:14" s="39" customFormat="1" ht="39.75" customHeight="1">
      <c r="A233" s="427"/>
      <c r="B233" s="400"/>
      <c r="C233" s="410">
        <v>4170</v>
      </c>
      <c r="D233" s="411" t="s">
        <v>371</v>
      </c>
      <c r="E233" s="412">
        <f t="shared" si="44"/>
        <v>142540</v>
      </c>
      <c r="F233" s="412">
        <f t="shared" si="45"/>
        <v>142540</v>
      </c>
      <c r="G233" s="412"/>
      <c r="H233" s="412"/>
      <c r="I233" s="412"/>
      <c r="J233" s="412"/>
      <c r="K233" s="412"/>
      <c r="L233" s="412"/>
      <c r="M233" s="412">
        <v>142540</v>
      </c>
      <c r="N233" s="412"/>
    </row>
    <row r="234" spans="1:14" s="39" customFormat="1" ht="25.5">
      <c r="A234" s="427"/>
      <c r="B234" s="400"/>
      <c r="C234" s="410">
        <v>4210</v>
      </c>
      <c r="D234" s="411" t="s">
        <v>337</v>
      </c>
      <c r="E234" s="412">
        <f t="shared" si="44"/>
        <v>383900</v>
      </c>
      <c r="F234" s="412">
        <f t="shared" si="45"/>
        <v>383900</v>
      </c>
      <c r="G234" s="412"/>
      <c r="H234" s="412"/>
      <c r="I234" s="412"/>
      <c r="J234" s="412"/>
      <c r="K234" s="412"/>
      <c r="L234" s="412"/>
      <c r="M234" s="412">
        <v>383900</v>
      </c>
      <c r="N234" s="412"/>
    </row>
    <row r="235" spans="1:14" s="39" customFormat="1" ht="25.5" hidden="1">
      <c r="A235" s="427"/>
      <c r="B235" s="400"/>
      <c r="C235" s="410">
        <v>4240</v>
      </c>
      <c r="D235" s="411" t="s">
        <v>422</v>
      </c>
      <c r="E235" s="412">
        <f t="shared" si="44"/>
        <v>0</v>
      </c>
      <c r="F235" s="412">
        <f t="shared" si="45"/>
        <v>0</v>
      </c>
      <c r="G235" s="412"/>
      <c r="H235" s="412"/>
      <c r="I235" s="412"/>
      <c r="J235" s="412"/>
      <c r="K235" s="412"/>
      <c r="L235" s="412"/>
      <c r="M235" s="412"/>
      <c r="N235" s="412"/>
    </row>
    <row r="236" spans="1:14" s="39" customFormat="1" ht="12.75">
      <c r="A236" s="427"/>
      <c r="B236" s="400"/>
      <c r="C236" s="410">
        <v>4260</v>
      </c>
      <c r="D236" s="411" t="s">
        <v>338</v>
      </c>
      <c r="E236" s="412">
        <f t="shared" si="44"/>
        <v>200520</v>
      </c>
      <c r="F236" s="412">
        <f t="shared" si="45"/>
        <v>200520</v>
      </c>
      <c r="G236" s="412"/>
      <c r="H236" s="412"/>
      <c r="I236" s="412"/>
      <c r="J236" s="412"/>
      <c r="K236" s="412"/>
      <c r="L236" s="412"/>
      <c r="M236" s="412">
        <v>200520</v>
      </c>
      <c r="N236" s="412"/>
    </row>
    <row r="237" spans="1:14" s="39" customFormat="1" ht="12.75">
      <c r="A237" s="427"/>
      <c r="B237" s="400"/>
      <c r="C237" s="410">
        <v>4270</v>
      </c>
      <c r="D237" s="411" t="s">
        <v>339</v>
      </c>
      <c r="E237" s="412">
        <f t="shared" si="44"/>
        <v>74000</v>
      </c>
      <c r="F237" s="412">
        <f t="shared" si="45"/>
        <v>74000</v>
      </c>
      <c r="G237" s="412"/>
      <c r="H237" s="412"/>
      <c r="I237" s="412"/>
      <c r="J237" s="412"/>
      <c r="K237" s="412"/>
      <c r="L237" s="412"/>
      <c r="M237" s="412">
        <v>74000</v>
      </c>
      <c r="N237" s="412"/>
    </row>
    <row r="238" spans="1:14" s="39" customFormat="1" ht="12.75">
      <c r="A238" s="427"/>
      <c r="B238" s="400"/>
      <c r="C238" s="410">
        <v>4280</v>
      </c>
      <c r="D238" s="411" t="s">
        <v>340</v>
      </c>
      <c r="E238" s="412">
        <f t="shared" si="44"/>
        <v>9050</v>
      </c>
      <c r="F238" s="412">
        <f t="shared" si="45"/>
        <v>9050</v>
      </c>
      <c r="G238" s="412"/>
      <c r="H238" s="412"/>
      <c r="I238" s="412"/>
      <c r="J238" s="412"/>
      <c r="K238" s="412"/>
      <c r="L238" s="412"/>
      <c r="M238" s="412">
        <v>9050</v>
      </c>
      <c r="N238" s="412"/>
    </row>
    <row r="239" spans="1:14" s="39" customFormat="1" ht="12.75">
      <c r="A239" s="427"/>
      <c r="B239" s="400"/>
      <c r="C239" s="410">
        <v>4300</v>
      </c>
      <c r="D239" s="411" t="s">
        <v>382</v>
      </c>
      <c r="E239" s="412">
        <f t="shared" si="44"/>
        <v>110060</v>
      </c>
      <c r="F239" s="412">
        <f t="shared" si="45"/>
        <v>110060</v>
      </c>
      <c r="G239" s="412"/>
      <c r="H239" s="412"/>
      <c r="I239" s="412"/>
      <c r="J239" s="412"/>
      <c r="K239" s="412"/>
      <c r="L239" s="412"/>
      <c r="M239" s="412">
        <v>110060</v>
      </c>
      <c r="N239" s="412"/>
    </row>
    <row r="240" spans="1:14" s="39" customFormat="1" ht="25.5">
      <c r="A240" s="427"/>
      <c r="B240" s="400"/>
      <c r="C240" s="410">
        <v>4350</v>
      </c>
      <c r="D240" s="411" t="s">
        <v>341</v>
      </c>
      <c r="E240" s="412">
        <f t="shared" si="44"/>
        <v>7710</v>
      </c>
      <c r="F240" s="412">
        <f t="shared" si="45"/>
        <v>7710</v>
      </c>
      <c r="G240" s="412"/>
      <c r="H240" s="412"/>
      <c r="I240" s="412"/>
      <c r="J240" s="412"/>
      <c r="K240" s="412"/>
      <c r="L240" s="412"/>
      <c r="M240" s="412">
        <v>7710</v>
      </c>
      <c r="N240" s="412"/>
    </row>
    <row r="241" spans="1:14" s="39" customFormat="1" ht="38.25">
      <c r="A241" s="427"/>
      <c r="B241" s="400"/>
      <c r="C241" s="410">
        <v>4360</v>
      </c>
      <c r="D241" s="411" t="s">
        <v>423</v>
      </c>
      <c r="E241" s="412">
        <f t="shared" si="44"/>
        <v>5270</v>
      </c>
      <c r="F241" s="412">
        <f t="shared" si="45"/>
        <v>5270</v>
      </c>
      <c r="G241" s="412"/>
      <c r="H241" s="412"/>
      <c r="I241" s="412"/>
      <c r="J241" s="412"/>
      <c r="K241" s="412"/>
      <c r="L241" s="412"/>
      <c r="M241" s="412">
        <v>5270</v>
      </c>
      <c r="N241" s="412"/>
    </row>
    <row r="242" spans="1:14" s="39" customFormat="1" ht="52.5" customHeight="1">
      <c r="A242" s="427"/>
      <c r="B242" s="400"/>
      <c r="C242" s="410">
        <v>4370</v>
      </c>
      <c r="D242" s="411" t="s">
        <v>416</v>
      </c>
      <c r="E242" s="412">
        <f t="shared" si="44"/>
        <v>26850</v>
      </c>
      <c r="F242" s="412">
        <f t="shared" si="45"/>
        <v>26850</v>
      </c>
      <c r="G242" s="412"/>
      <c r="H242" s="412"/>
      <c r="I242" s="412"/>
      <c r="J242" s="412"/>
      <c r="K242" s="412"/>
      <c r="L242" s="412"/>
      <c r="M242" s="412">
        <v>26850</v>
      </c>
      <c r="N242" s="412"/>
    </row>
    <row r="243" spans="1:14" s="39" customFormat="1" ht="12.75">
      <c r="A243" s="427"/>
      <c r="B243" s="400"/>
      <c r="C243" s="410">
        <v>4410</v>
      </c>
      <c r="D243" s="411" t="s">
        <v>346</v>
      </c>
      <c r="E243" s="412">
        <f t="shared" si="44"/>
        <v>12710</v>
      </c>
      <c r="F243" s="412">
        <f t="shared" si="45"/>
        <v>12710</v>
      </c>
      <c r="G243" s="412"/>
      <c r="H243" s="412"/>
      <c r="I243" s="412"/>
      <c r="J243" s="412"/>
      <c r="K243" s="412"/>
      <c r="L243" s="412"/>
      <c r="M243" s="412">
        <v>12710</v>
      </c>
      <c r="N243" s="412"/>
    </row>
    <row r="244" spans="1:14" s="39" customFormat="1" ht="28.5">
      <c r="A244" s="427"/>
      <c r="B244" s="400"/>
      <c r="C244" s="507">
        <v>4420</v>
      </c>
      <c r="D244" s="508" t="s">
        <v>7</v>
      </c>
      <c r="E244" s="412">
        <f t="shared" si="44"/>
        <v>4700</v>
      </c>
      <c r="F244" s="412">
        <f t="shared" si="45"/>
        <v>4700</v>
      </c>
      <c r="G244" s="412"/>
      <c r="H244" s="412"/>
      <c r="I244" s="412"/>
      <c r="J244" s="412"/>
      <c r="K244" s="412"/>
      <c r="L244" s="412"/>
      <c r="M244" s="412">
        <v>4700</v>
      </c>
      <c r="N244" s="412"/>
    </row>
    <row r="245" spans="1:14" s="39" customFormat="1" ht="12.75">
      <c r="A245" s="427"/>
      <c r="B245" s="400"/>
      <c r="C245" s="410">
        <v>4430</v>
      </c>
      <c r="D245" s="411" t="s">
        <v>347</v>
      </c>
      <c r="E245" s="412">
        <f t="shared" si="44"/>
        <v>24390</v>
      </c>
      <c r="F245" s="412">
        <f t="shared" si="45"/>
        <v>24390</v>
      </c>
      <c r="G245" s="412"/>
      <c r="H245" s="412"/>
      <c r="I245" s="412"/>
      <c r="J245" s="412"/>
      <c r="K245" s="412"/>
      <c r="L245" s="412"/>
      <c r="M245" s="412">
        <v>24390</v>
      </c>
      <c r="N245" s="412"/>
    </row>
    <row r="246" spans="1:14" s="39" customFormat="1" ht="25.5">
      <c r="A246" s="427"/>
      <c r="B246" s="400"/>
      <c r="C246" s="410">
        <v>4440</v>
      </c>
      <c r="D246" s="411" t="s">
        <v>348</v>
      </c>
      <c r="E246" s="412">
        <f t="shared" si="44"/>
        <v>228290</v>
      </c>
      <c r="F246" s="412">
        <f t="shared" si="45"/>
        <v>228290</v>
      </c>
      <c r="G246" s="412"/>
      <c r="H246" s="412"/>
      <c r="I246" s="412"/>
      <c r="J246" s="412"/>
      <c r="K246" s="412"/>
      <c r="L246" s="412"/>
      <c r="M246" s="412">
        <v>228290</v>
      </c>
      <c r="N246" s="412"/>
    </row>
    <row r="247" spans="1:14" s="39" customFormat="1" ht="25.5">
      <c r="A247" s="427"/>
      <c r="B247" s="400"/>
      <c r="C247" s="410">
        <v>4510</v>
      </c>
      <c r="D247" s="411" t="s">
        <v>602</v>
      </c>
      <c r="E247" s="412">
        <f t="shared" si="44"/>
        <v>520</v>
      </c>
      <c r="F247" s="412">
        <f t="shared" si="45"/>
        <v>520</v>
      </c>
      <c r="G247" s="412"/>
      <c r="H247" s="412"/>
      <c r="I247" s="412"/>
      <c r="J247" s="412"/>
      <c r="K247" s="412"/>
      <c r="L247" s="412"/>
      <c r="M247" s="412">
        <v>520</v>
      </c>
      <c r="N247" s="412"/>
    </row>
    <row r="248" spans="1:14" s="39" customFormat="1" ht="12.75">
      <c r="A248" s="427"/>
      <c r="B248" s="400"/>
      <c r="C248" s="410">
        <v>4480</v>
      </c>
      <c r="D248" s="411" t="s">
        <v>424</v>
      </c>
      <c r="E248" s="412">
        <f t="shared" si="44"/>
        <v>2990</v>
      </c>
      <c r="F248" s="412">
        <f t="shared" si="45"/>
        <v>2990</v>
      </c>
      <c r="G248" s="412"/>
      <c r="H248" s="412"/>
      <c r="I248" s="412"/>
      <c r="J248" s="412"/>
      <c r="K248" s="412"/>
      <c r="L248" s="412"/>
      <c r="M248" s="412">
        <v>2990</v>
      </c>
      <c r="N248" s="412"/>
    </row>
    <row r="249" spans="1:14" s="39" customFormat="1" ht="51" customHeight="1">
      <c r="A249" s="427"/>
      <c r="B249" s="400"/>
      <c r="C249" s="410">
        <v>4500</v>
      </c>
      <c r="D249" s="411" t="s">
        <v>387</v>
      </c>
      <c r="E249" s="412">
        <f t="shared" si="44"/>
        <v>780</v>
      </c>
      <c r="F249" s="412">
        <f t="shared" si="45"/>
        <v>780</v>
      </c>
      <c r="G249" s="412"/>
      <c r="H249" s="412"/>
      <c r="I249" s="412"/>
      <c r="J249" s="412"/>
      <c r="K249" s="412"/>
      <c r="L249" s="412"/>
      <c r="M249" s="412">
        <v>780</v>
      </c>
      <c r="N249" s="412"/>
    </row>
    <row r="250" spans="1:14" s="39" customFormat="1" ht="50.25" customHeight="1">
      <c r="A250" s="427"/>
      <c r="B250" s="400"/>
      <c r="C250" s="410">
        <v>4700</v>
      </c>
      <c r="D250" s="411" t="s">
        <v>565</v>
      </c>
      <c r="E250" s="412">
        <f t="shared" si="44"/>
        <v>8200</v>
      </c>
      <c r="F250" s="412">
        <f t="shared" si="45"/>
        <v>8200</v>
      </c>
      <c r="G250" s="412"/>
      <c r="H250" s="412"/>
      <c r="I250" s="412"/>
      <c r="J250" s="412"/>
      <c r="K250" s="412"/>
      <c r="L250" s="412"/>
      <c r="M250" s="412">
        <v>8200</v>
      </c>
      <c r="N250" s="412"/>
    </row>
    <row r="251" spans="1:14" s="39" customFormat="1" ht="51">
      <c r="A251" s="427"/>
      <c r="B251" s="400"/>
      <c r="C251" s="410">
        <v>4740</v>
      </c>
      <c r="D251" s="411" t="s">
        <v>374</v>
      </c>
      <c r="E251" s="412">
        <f t="shared" si="44"/>
        <v>10030</v>
      </c>
      <c r="F251" s="412">
        <f t="shared" si="45"/>
        <v>10030</v>
      </c>
      <c r="G251" s="412"/>
      <c r="H251" s="412"/>
      <c r="I251" s="412"/>
      <c r="J251" s="412"/>
      <c r="K251" s="412"/>
      <c r="L251" s="412"/>
      <c r="M251" s="412">
        <v>10030</v>
      </c>
      <c r="N251" s="412"/>
    </row>
    <row r="252" spans="1:14" s="39" customFormat="1" ht="38.25">
      <c r="A252" s="427"/>
      <c r="B252" s="400"/>
      <c r="C252" s="410">
        <v>4750</v>
      </c>
      <c r="D252" s="411" t="s">
        <v>417</v>
      </c>
      <c r="E252" s="412">
        <f t="shared" si="44"/>
        <v>27260</v>
      </c>
      <c r="F252" s="412">
        <f t="shared" si="45"/>
        <v>27260</v>
      </c>
      <c r="G252" s="412"/>
      <c r="H252" s="412"/>
      <c r="I252" s="412"/>
      <c r="J252" s="412"/>
      <c r="K252" s="412"/>
      <c r="L252" s="412"/>
      <c r="M252" s="412">
        <v>27260</v>
      </c>
      <c r="N252" s="412"/>
    </row>
    <row r="253" spans="1:14" s="39" customFormat="1" ht="25.5" hidden="1">
      <c r="A253" s="427"/>
      <c r="B253" s="400"/>
      <c r="C253" s="410">
        <v>4610</v>
      </c>
      <c r="D253" s="411" t="s">
        <v>388</v>
      </c>
      <c r="E253" s="412">
        <f t="shared" si="44"/>
        <v>0</v>
      </c>
      <c r="F253" s="412">
        <f t="shared" si="45"/>
        <v>0</v>
      </c>
      <c r="G253" s="412"/>
      <c r="H253" s="412"/>
      <c r="I253" s="412"/>
      <c r="J253" s="412"/>
      <c r="K253" s="412"/>
      <c r="L253" s="412"/>
      <c r="M253" s="412"/>
      <c r="N253" s="412"/>
    </row>
    <row r="254" spans="1:14" s="39" customFormat="1" ht="37.5" customHeight="1">
      <c r="A254" s="427"/>
      <c r="B254" s="400"/>
      <c r="C254" s="410">
        <v>6050</v>
      </c>
      <c r="D254" s="418" t="s">
        <v>352</v>
      </c>
      <c r="E254" s="412">
        <f t="shared" si="44"/>
        <v>530000</v>
      </c>
      <c r="F254" s="412">
        <f t="shared" si="45"/>
        <v>0</v>
      </c>
      <c r="G254" s="412"/>
      <c r="H254" s="412"/>
      <c r="I254" s="412"/>
      <c r="J254" s="412"/>
      <c r="K254" s="412"/>
      <c r="L254" s="412"/>
      <c r="M254" s="412"/>
      <c r="N254" s="412">
        <f>300000+230000</f>
        <v>530000</v>
      </c>
    </row>
    <row r="255" spans="1:14" s="39" customFormat="1" ht="38.25" hidden="1">
      <c r="A255" s="427"/>
      <c r="B255" s="400"/>
      <c r="C255" s="410">
        <v>6060</v>
      </c>
      <c r="D255" s="418" t="s">
        <v>567</v>
      </c>
      <c r="E255" s="412">
        <f t="shared" si="44"/>
        <v>0</v>
      </c>
      <c r="F255" s="412">
        <f t="shared" si="45"/>
        <v>0</v>
      </c>
      <c r="G255" s="412"/>
      <c r="H255" s="412"/>
      <c r="I255" s="412"/>
      <c r="J255" s="412"/>
      <c r="K255" s="412"/>
      <c r="L255" s="412"/>
      <c r="M255" s="412"/>
      <c r="N255" s="412">
        <v>0</v>
      </c>
    </row>
    <row r="256" spans="1:14" s="63" customFormat="1" ht="12.75">
      <c r="A256" s="426"/>
      <c r="B256" s="405">
        <v>80132</v>
      </c>
      <c r="C256" s="406"/>
      <c r="D256" s="416" t="s">
        <v>425</v>
      </c>
      <c r="E256" s="408">
        <f t="shared" si="44"/>
        <v>1242390</v>
      </c>
      <c r="F256" s="408">
        <f t="shared" si="45"/>
        <v>1242390</v>
      </c>
      <c r="G256" s="408">
        <f aca="true" t="shared" si="47" ref="G256:N256">SUM(G257:G278)</f>
        <v>826680</v>
      </c>
      <c r="H256" s="408">
        <f t="shared" si="47"/>
        <v>60000</v>
      </c>
      <c r="I256" s="408">
        <f t="shared" si="47"/>
        <v>151800</v>
      </c>
      <c r="J256" s="408">
        <f t="shared" si="47"/>
        <v>0</v>
      </c>
      <c r="K256" s="408">
        <f t="shared" si="47"/>
        <v>0</v>
      </c>
      <c r="L256" s="408">
        <f t="shared" si="47"/>
        <v>0</v>
      </c>
      <c r="M256" s="408">
        <f t="shared" si="47"/>
        <v>203910</v>
      </c>
      <c r="N256" s="408">
        <f t="shared" si="47"/>
        <v>0</v>
      </c>
    </row>
    <row r="257" spans="1:14" s="39" customFormat="1" ht="25.5">
      <c r="A257" s="427"/>
      <c r="B257" s="400"/>
      <c r="C257" s="410">
        <v>3020</v>
      </c>
      <c r="D257" s="411" t="s">
        <v>566</v>
      </c>
      <c r="E257" s="412">
        <f t="shared" si="44"/>
        <v>24330</v>
      </c>
      <c r="F257" s="412">
        <f t="shared" si="45"/>
        <v>24330</v>
      </c>
      <c r="G257" s="412"/>
      <c r="H257" s="412"/>
      <c r="I257" s="412"/>
      <c r="J257" s="412"/>
      <c r="K257" s="412"/>
      <c r="L257" s="412"/>
      <c r="M257" s="412">
        <v>24330</v>
      </c>
      <c r="N257" s="412"/>
    </row>
    <row r="258" spans="1:14" s="39" customFormat="1" ht="25.5">
      <c r="A258" s="427"/>
      <c r="B258" s="400"/>
      <c r="C258" s="410">
        <v>4010</v>
      </c>
      <c r="D258" s="411" t="s">
        <v>332</v>
      </c>
      <c r="E258" s="412">
        <f t="shared" si="44"/>
        <v>826680</v>
      </c>
      <c r="F258" s="412">
        <f t="shared" si="45"/>
        <v>826680</v>
      </c>
      <c r="G258" s="412">
        <v>826680</v>
      </c>
      <c r="H258" s="412"/>
      <c r="I258" s="412"/>
      <c r="J258" s="412"/>
      <c r="K258" s="412"/>
      <c r="L258" s="412"/>
      <c r="M258" s="412"/>
      <c r="N258" s="412"/>
    </row>
    <row r="259" spans="1:14" s="39" customFormat="1" ht="25.5">
      <c r="A259" s="427"/>
      <c r="B259" s="400"/>
      <c r="C259" s="410">
        <v>4040</v>
      </c>
      <c r="D259" s="411" t="s">
        <v>333</v>
      </c>
      <c r="E259" s="412">
        <f t="shared" si="44"/>
        <v>60000</v>
      </c>
      <c r="F259" s="412">
        <f t="shared" si="45"/>
        <v>60000</v>
      </c>
      <c r="G259" s="412"/>
      <c r="H259" s="412">
        <v>60000</v>
      </c>
      <c r="I259" s="412"/>
      <c r="J259" s="412"/>
      <c r="K259" s="412"/>
      <c r="L259" s="412"/>
      <c r="M259" s="412"/>
      <c r="N259" s="412"/>
    </row>
    <row r="260" spans="1:14" s="39" customFormat="1" ht="25.5">
      <c r="A260" s="427"/>
      <c r="B260" s="400"/>
      <c r="C260" s="410">
        <v>4110</v>
      </c>
      <c r="D260" s="411" t="s">
        <v>412</v>
      </c>
      <c r="E260" s="412">
        <f t="shared" si="44"/>
        <v>130520</v>
      </c>
      <c r="F260" s="412">
        <f t="shared" si="45"/>
        <v>130520</v>
      </c>
      <c r="G260" s="412"/>
      <c r="H260" s="412"/>
      <c r="I260" s="412">
        <v>130520</v>
      </c>
      <c r="J260" s="412"/>
      <c r="K260" s="412"/>
      <c r="L260" s="412"/>
      <c r="M260" s="412"/>
      <c r="N260" s="412"/>
    </row>
    <row r="261" spans="1:14" s="39" customFormat="1" ht="12.75">
      <c r="A261" s="427"/>
      <c r="B261" s="400"/>
      <c r="C261" s="410">
        <v>4120</v>
      </c>
      <c r="D261" s="411" t="s">
        <v>335</v>
      </c>
      <c r="E261" s="412">
        <f t="shared" si="44"/>
        <v>21280</v>
      </c>
      <c r="F261" s="412">
        <f t="shared" si="45"/>
        <v>21280</v>
      </c>
      <c r="G261" s="412"/>
      <c r="H261" s="412"/>
      <c r="I261" s="412">
        <v>21280</v>
      </c>
      <c r="J261" s="412"/>
      <c r="K261" s="412"/>
      <c r="L261" s="412"/>
      <c r="M261" s="412"/>
      <c r="N261" s="412"/>
    </row>
    <row r="262" spans="1:14" s="39" customFormat="1" ht="34.5" customHeight="1">
      <c r="A262" s="427"/>
      <c r="B262" s="400"/>
      <c r="C262" s="410">
        <v>4170</v>
      </c>
      <c r="D262" s="411" t="s">
        <v>371</v>
      </c>
      <c r="E262" s="412">
        <f t="shared" si="44"/>
        <v>3730</v>
      </c>
      <c r="F262" s="412">
        <f t="shared" si="45"/>
        <v>3730</v>
      </c>
      <c r="G262" s="412"/>
      <c r="H262" s="412"/>
      <c r="I262" s="412"/>
      <c r="J262" s="412"/>
      <c r="K262" s="412"/>
      <c r="L262" s="412"/>
      <c r="M262" s="412">
        <v>3730</v>
      </c>
      <c r="N262" s="412"/>
    </row>
    <row r="263" spans="1:14" s="39" customFormat="1" ht="25.5">
      <c r="A263" s="427"/>
      <c r="B263" s="400"/>
      <c r="C263" s="410">
        <v>4210</v>
      </c>
      <c r="D263" s="411" t="s">
        <v>337</v>
      </c>
      <c r="E263" s="412">
        <f t="shared" si="44"/>
        <v>12930</v>
      </c>
      <c r="F263" s="412">
        <f t="shared" si="45"/>
        <v>12930</v>
      </c>
      <c r="G263" s="412"/>
      <c r="H263" s="412"/>
      <c r="I263" s="412"/>
      <c r="J263" s="412"/>
      <c r="K263" s="412"/>
      <c r="L263" s="412"/>
      <c r="M263" s="412">
        <v>12930</v>
      </c>
      <c r="N263" s="412"/>
    </row>
    <row r="264" spans="1:14" s="39" customFormat="1" ht="25.5">
      <c r="A264" s="427"/>
      <c r="B264" s="409"/>
      <c r="C264" s="410">
        <v>4240</v>
      </c>
      <c r="D264" s="411" t="s">
        <v>422</v>
      </c>
      <c r="E264" s="412">
        <f t="shared" si="44"/>
        <v>0</v>
      </c>
      <c r="F264" s="412">
        <f t="shared" si="45"/>
        <v>0</v>
      </c>
      <c r="G264" s="412"/>
      <c r="H264" s="412"/>
      <c r="I264" s="412"/>
      <c r="J264" s="412"/>
      <c r="K264" s="412"/>
      <c r="L264" s="412"/>
      <c r="M264" s="412"/>
      <c r="N264" s="412"/>
    </row>
    <row r="265" spans="1:14" s="39" customFormat="1" ht="12.75">
      <c r="A265" s="427"/>
      <c r="B265" s="400"/>
      <c r="C265" s="410">
        <v>4260</v>
      </c>
      <c r="D265" s="411" t="s">
        <v>338</v>
      </c>
      <c r="E265" s="412">
        <f t="shared" si="44"/>
        <v>12560</v>
      </c>
      <c r="F265" s="412">
        <f t="shared" si="45"/>
        <v>12560</v>
      </c>
      <c r="G265" s="412"/>
      <c r="H265" s="412"/>
      <c r="I265" s="412"/>
      <c r="J265" s="412"/>
      <c r="K265" s="412"/>
      <c r="L265" s="412"/>
      <c r="M265" s="412">
        <v>12560</v>
      </c>
      <c r="N265" s="412"/>
    </row>
    <row r="266" spans="1:14" s="39" customFormat="1" ht="12.75">
      <c r="A266" s="427"/>
      <c r="B266" s="400"/>
      <c r="C266" s="410">
        <v>4270</v>
      </c>
      <c r="D266" s="411" t="s">
        <v>339</v>
      </c>
      <c r="E266" s="412">
        <f t="shared" si="44"/>
        <v>24790</v>
      </c>
      <c r="F266" s="412">
        <f t="shared" si="45"/>
        <v>24790</v>
      </c>
      <c r="G266" s="412"/>
      <c r="H266" s="412"/>
      <c r="I266" s="412"/>
      <c r="J266" s="412"/>
      <c r="K266" s="412"/>
      <c r="L266" s="412"/>
      <c r="M266" s="412">
        <v>24790</v>
      </c>
      <c r="N266" s="412"/>
    </row>
    <row r="267" spans="1:14" s="39" customFormat="1" ht="12.75">
      <c r="A267" s="427"/>
      <c r="B267" s="400"/>
      <c r="C267" s="410">
        <v>4280</v>
      </c>
      <c r="D267" s="411" t="s">
        <v>340</v>
      </c>
      <c r="E267" s="412">
        <f t="shared" si="44"/>
        <v>650</v>
      </c>
      <c r="F267" s="412">
        <f t="shared" si="45"/>
        <v>650</v>
      </c>
      <c r="G267" s="412"/>
      <c r="H267" s="412"/>
      <c r="I267" s="412"/>
      <c r="J267" s="412"/>
      <c r="K267" s="412"/>
      <c r="L267" s="412"/>
      <c r="M267" s="412">
        <v>650</v>
      </c>
      <c r="N267" s="412"/>
    </row>
    <row r="268" spans="1:14" s="39" customFormat="1" ht="12.75">
      <c r="A268" s="427"/>
      <c r="B268" s="400"/>
      <c r="C268" s="410">
        <v>4300</v>
      </c>
      <c r="D268" s="411" t="s">
        <v>382</v>
      </c>
      <c r="E268" s="412">
        <f t="shared" si="44"/>
        <v>4950</v>
      </c>
      <c r="F268" s="412">
        <f t="shared" si="45"/>
        <v>4950</v>
      </c>
      <c r="G268" s="412"/>
      <c r="H268" s="412"/>
      <c r="I268" s="412"/>
      <c r="J268" s="412"/>
      <c r="K268" s="412"/>
      <c r="L268" s="412"/>
      <c r="M268" s="412">
        <v>4950</v>
      </c>
      <c r="N268" s="412"/>
    </row>
    <row r="269" spans="1:14" s="39" customFormat="1" ht="25.5">
      <c r="A269" s="427"/>
      <c r="B269" s="400"/>
      <c r="C269" s="410">
        <v>4350</v>
      </c>
      <c r="D269" s="411" t="s">
        <v>341</v>
      </c>
      <c r="E269" s="412">
        <f t="shared" si="44"/>
        <v>1800</v>
      </c>
      <c r="F269" s="412">
        <f t="shared" si="45"/>
        <v>1800</v>
      </c>
      <c r="G269" s="412"/>
      <c r="H269" s="412"/>
      <c r="I269" s="412"/>
      <c r="J269" s="412"/>
      <c r="K269" s="412"/>
      <c r="L269" s="412"/>
      <c r="M269" s="412">
        <v>1800</v>
      </c>
      <c r="N269" s="412"/>
    </row>
    <row r="270" spans="1:14" s="39" customFormat="1" ht="38.25">
      <c r="A270" s="427"/>
      <c r="B270" s="400"/>
      <c r="C270" s="410">
        <v>4370</v>
      </c>
      <c r="D270" s="411" t="s">
        <v>416</v>
      </c>
      <c r="E270" s="412">
        <f t="shared" si="44"/>
        <v>4850</v>
      </c>
      <c r="F270" s="412">
        <f t="shared" si="45"/>
        <v>4850</v>
      </c>
      <c r="G270" s="412"/>
      <c r="H270" s="412"/>
      <c r="I270" s="412"/>
      <c r="J270" s="412"/>
      <c r="K270" s="412"/>
      <c r="L270" s="412"/>
      <c r="M270" s="412">
        <v>4850</v>
      </c>
      <c r="N270" s="412"/>
    </row>
    <row r="271" spans="1:14" s="39" customFormat="1" ht="53.25" customHeight="1">
      <c r="A271" s="427"/>
      <c r="B271" s="400"/>
      <c r="C271" s="410">
        <v>4400</v>
      </c>
      <c r="D271" s="411" t="s">
        <v>11</v>
      </c>
      <c r="E271" s="412">
        <f t="shared" si="44"/>
        <v>38540</v>
      </c>
      <c r="F271" s="412">
        <f t="shared" si="45"/>
        <v>38540</v>
      </c>
      <c r="G271" s="412"/>
      <c r="H271" s="412"/>
      <c r="I271" s="412"/>
      <c r="J271" s="412"/>
      <c r="K271" s="412"/>
      <c r="L271" s="412"/>
      <c r="M271" s="412">
        <v>38540</v>
      </c>
      <c r="N271" s="412"/>
    </row>
    <row r="272" spans="1:14" s="39" customFormat="1" ht="12.75">
      <c r="A272" s="427"/>
      <c r="B272" s="400"/>
      <c r="C272" s="410">
        <v>4410</v>
      </c>
      <c r="D272" s="411" t="s">
        <v>346</v>
      </c>
      <c r="E272" s="412">
        <f t="shared" si="44"/>
        <v>3870</v>
      </c>
      <c r="F272" s="412">
        <f t="shared" si="45"/>
        <v>3870</v>
      </c>
      <c r="G272" s="412"/>
      <c r="H272" s="412"/>
      <c r="I272" s="412"/>
      <c r="J272" s="412"/>
      <c r="K272" s="412"/>
      <c r="L272" s="412"/>
      <c r="M272" s="412">
        <v>3870</v>
      </c>
      <c r="N272" s="412"/>
    </row>
    <row r="273" spans="1:14" s="39" customFormat="1" ht="12.75">
      <c r="A273" s="427"/>
      <c r="B273" s="400"/>
      <c r="C273" s="410">
        <v>4430</v>
      </c>
      <c r="D273" s="411" t="s">
        <v>347</v>
      </c>
      <c r="E273" s="412">
        <f t="shared" si="44"/>
        <v>430</v>
      </c>
      <c r="F273" s="412">
        <f t="shared" si="45"/>
        <v>430</v>
      </c>
      <c r="G273" s="412"/>
      <c r="H273" s="412"/>
      <c r="I273" s="412"/>
      <c r="J273" s="412"/>
      <c r="K273" s="412"/>
      <c r="L273" s="412"/>
      <c r="M273" s="412">
        <v>430</v>
      </c>
      <c r="N273" s="412"/>
    </row>
    <row r="274" spans="1:14" s="39" customFormat="1" ht="25.5">
      <c r="A274" s="427"/>
      <c r="B274" s="400"/>
      <c r="C274" s="410">
        <v>4440</v>
      </c>
      <c r="D274" s="411" t="s">
        <v>348</v>
      </c>
      <c r="E274" s="412">
        <f t="shared" si="44"/>
        <v>60660</v>
      </c>
      <c r="F274" s="412">
        <f t="shared" si="45"/>
        <v>60660</v>
      </c>
      <c r="G274" s="412"/>
      <c r="H274" s="412"/>
      <c r="I274" s="412"/>
      <c r="J274" s="412"/>
      <c r="K274" s="412"/>
      <c r="L274" s="412"/>
      <c r="M274" s="412">
        <v>60660</v>
      </c>
      <c r="N274" s="412"/>
    </row>
    <row r="275" spans="1:14" s="39" customFormat="1" ht="25.5">
      <c r="A275" s="427"/>
      <c r="B275" s="400"/>
      <c r="C275" s="410">
        <v>4510</v>
      </c>
      <c r="D275" s="411" t="s">
        <v>602</v>
      </c>
      <c r="E275" s="412">
        <f t="shared" si="44"/>
        <v>210</v>
      </c>
      <c r="F275" s="412">
        <f t="shared" si="45"/>
        <v>210</v>
      </c>
      <c r="G275" s="412"/>
      <c r="H275" s="412"/>
      <c r="I275" s="412"/>
      <c r="J275" s="412"/>
      <c r="K275" s="412"/>
      <c r="L275" s="412"/>
      <c r="M275" s="412">
        <v>210</v>
      </c>
      <c r="N275" s="412"/>
    </row>
    <row r="276" spans="1:14" s="39" customFormat="1" ht="38.25">
      <c r="A276" s="427"/>
      <c r="B276" s="400"/>
      <c r="C276" s="410">
        <v>4700</v>
      </c>
      <c r="D276" s="411" t="s">
        <v>565</v>
      </c>
      <c r="E276" s="412">
        <f t="shared" si="44"/>
        <v>1500</v>
      </c>
      <c r="F276" s="412">
        <f t="shared" si="45"/>
        <v>1500</v>
      </c>
      <c r="G276" s="412"/>
      <c r="H276" s="412"/>
      <c r="I276" s="412"/>
      <c r="J276" s="412"/>
      <c r="K276" s="412"/>
      <c r="L276" s="412"/>
      <c r="M276" s="412">
        <v>1500</v>
      </c>
      <c r="N276" s="412"/>
    </row>
    <row r="277" spans="1:14" s="39" customFormat="1" ht="51">
      <c r="A277" s="427"/>
      <c r="B277" s="400"/>
      <c r="C277" s="410">
        <v>4740</v>
      </c>
      <c r="D277" s="411" t="s">
        <v>374</v>
      </c>
      <c r="E277" s="412">
        <f t="shared" si="44"/>
        <v>1070</v>
      </c>
      <c r="F277" s="412">
        <f t="shared" si="45"/>
        <v>1070</v>
      </c>
      <c r="G277" s="412"/>
      <c r="H277" s="412"/>
      <c r="I277" s="412"/>
      <c r="J277" s="412"/>
      <c r="K277" s="412"/>
      <c r="L277" s="412"/>
      <c r="M277" s="412">
        <v>1070</v>
      </c>
      <c r="N277" s="412"/>
    </row>
    <row r="278" spans="1:14" s="39" customFormat="1" ht="38.25">
      <c r="A278" s="427"/>
      <c r="B278" s="400"/>
      <c r="C278" s="410">
        <v>4750</v>
      </c>
      <c r="D278" s="411" t="s">
        <v>417</v>
      </c>
      <c r="E278" s="412">
        <f t="shared" si="44"/>
        <v>7040</v>
      </c>
      <c r="F278" s="412">
        <f t="shared" si="45"/>
        <v>7040</v>
      </c>
      <c r="G278" s="412"/>
      <c r="H278" s="412"/>
      <c r="I278" s="412"/>
      <c r="J278" s="412"/>
      <c r="K278" s="412"/>
      <c r="L278" s="412"/>
      <c r="M278" s="412">
        <v>7040</v>
      </c>
      <c r="N278" s="412"/>
    </row>
    <row r="279" spans="1:14" s="39" customFormat="1" ht="38.25" hidden="1">
      <c r="A279" s="427"/>
      <c r="B279" s="400"/>
      <c r="C279" s="410">
        <v>6060</v>
      </c>
      <c r="D279" s="411" t="s">
        <v>567</v>
      </c>
      <c r="E279" s="412"/>
      <c r="F279" s="412"/>
      <c r="G279" s="412"/>
      <c r="H279" s="412"/>
      <c r="I279" s="412"/>
      <c r="J279" s="412"/>
      <c r="K279" s="412"/>
      <c r="L279" s="412"/>
      <c r="M279" s="412"/>
      <c r="N279" s="412"/>
    </row>
    <row r="280" spans="1:14" s="63" customFormat="1" ht="25.5">
      <c r="A280" s="426"/>
      <c r="B280" s="405">
        <v>80134</v>
      </c>
      <c r="C280" s="406"/>
      <c r="D280" s="416" t="s">
        <v>426</v>
      </c>
      <c r="E280" s="408">
        <f t="shared" si="44"/>
        <v>463640</v>
      </c>
      <c r="F280" s="408">
        <f t="shared" si="45"/>
        <v>463640</v>
      </c>
      <c r="G280" s="408">
        <f>SUM(G281:G286)</f>
        <v>355540</v>
      </c>
      <c r="H280" s="408">
        <f aca="true" t="shared" si="48" ref="H280:N280">SUM(H281:H286)</f>
        <v>24530</v>
      </c>
      <c r="I280" s="408">
        <f t="shared" si="48"/>
        <v>65980</v>
      </c>
      <c r="J280" s="408">
        <f t="shared" si="48"/>
        <v>0</v>
      </c>
      <c r="K280" s="408">
        <f t="shared" si="48"/>
        <v>0</v>
      </c>
      <c r="L280" s="408">
        <f t="shared" si="48"/>
        <v>0</v>
      </c>
      <c r="M280" s="408">
        <f t="shared" si="48"/>
        <v>17590</v>
      </c>
      <c r="N280" s="408">
        <f t="shared" si="48"/>
        <v>0</v>
      </c>
    </row>
    <row r="281" spans="1:14" s="39" customFormat="1" ht="25.5">
      <c r="A281" s="427"/>
      <c r="B281" s="400"/>
      <c r="C281" s="410">
        <v>3020</v>
      </c>
      <c r="D281" s="411" t="s">
        <v>566</v>
      </c>
      <c r="E281" s="412">
        <f t="shared" si="44"/>
        <v>1070</v>
      </c>
      <c r="F281" s="412">
        <f t="shared" si="45"/>
        <v>1070</v>
      </c>
      <c r="G281" s="412"/>
      <c r="H281" s="412"/>
      <c r="I281" s="412"/>
      <c r="J281" s="412"/>
      <c r="K281" s="412"/>
      <c r="L281" s="412"/>
      <c r="M281" s="412">
        <v>1070</v>
      </c>
      <c r="N281" s="412"/>
    </row>
    <row r="282" spans="1:14" s="39" customFormat="1" ht="25.5">
      <c r="A282" s="427"/>
      <c r="B282" s="400"/>
      <c r="C282" s="410">
        <v>4010</v>
      </c>
      <c r="D282" s="411" t="s">
        <v>332</v>
      </c>
      <c r="E282" s="412">
        <f t="shared" si="44"/>
        <v>355540</v>
      </c>
      <c r="F282" s="412">
        <f t="shared" si="45"/>
        <v>355540</v>
      </c>
      <c r="G282" s="412">
        <v>355540</v>
      </c>
      <c r="H282" s="412"/>
      <c r="I282" s="412"/>
      <c r="J282" s="412"/>
      <c r="K282" s="412"/>
      <c r="L282" s="412"/>
      <c r="M282" s="412"/>
      <c r="N282" s="412"/>
    </row>
    <row r="283" spans="1:14" s="39" customFormat="1" ht="39.75" customHeight="1">
      <c r="A283" s="427"/>
      <c r="B283" s="400"/>
      <c r="C283" s="410">
        <v>4040</v>
      </c>
      <c r="D283" s="411" t="s">
        <v>333</v>
      </c>
      <c r="E283" s="412">
        <f t="shared" si="44"/>
        <v>24530</v>
      </c>
      <c r="F283" s="412">
        <f t="shared" si="45"/>
        <v>24530</v>
      </c>
      <c r="G283" s="412"/>
      <c r="H283" s="412">
        <v>24530</v>
      </c>
      <c r="I283" s="412"/>
      <c r="J283" s="412"/>
      <c r="K283" s="412"/>
      <c r="L283" s="412"/>
      <c r="M283" s="412"/>
      <c r="N283" s="412"/>
    </row>
    <row r="284" spans="1:14" s="39" customFormat="1" ht="32.25" customHeight="1">
      <c r="A284" s="427"/>
      <c r="B284" s="400"/>
      <c r="C284" s="410">
        <v>4110</v>
      </c>
      <c r="D284" s="411" t="s">
        <v>412</v>
      </c>
      <c r="E284" s="412">
        <f t="shared" si="44"/>
        <v>56860</v>
      </c>
      <c r="F284" s="412">
        <f t="shared" si="45"/>
        <v>56860</v>
      </c>
      <c r="G284" s="412"/>
      <c r="H284" s="412"/>
      <c r="I284" s="412">
        <v>56860</v>
      </c>
      <c r="J284" s="412"/>
      <c r="K284" s="412"/>
      <c r="L284" s="412"/>
      <c r="M284" s="412"/>
      <c r="N284" s="412"/>
    </row>
    <row r="285" spans="1:14" s="39" customFormat="1" ht="22.5" customHeight="1">
      <c r="A285" s="427"/>
      <c r="B285" s="400"/>
      <c r="C285" s="410">
        <v>4120</v>
      </c>
      <c r="D285" s="411" t="s">
        <v>335</v>
      </c>
      <c r="E285" s="412">
        <f t="shared" si="44"/>
        <v>9120</v>
      </c>
      <c r="F285" s="412">
        <f t="shared" si="45"/>
        <v>9120</v>
      </c>
      <c r="G285" s="412"/>
      <c r="H285" s="412"/>
      <c r="I285" s="412">
        <v>9120</v>
      </c>
      <c r="J285" s="412"/>
      <c r="K285" s="412"/>
      <c r="L285" s="412"/>
      <c r="M285" s="412"/>
      <c r="N285" s="412"/>
    </row>
    <row r="286" spans="1:14" s="39" customFormat="1" ht="25.5">
      <c r="A286" s="427"/>
      <c r="B286" s="400"/>
      <c r="C286" s="410">
        <v>4440</v>
      </c>
      <c r="D286" s="411" t="s">
        <v>348</v>
      </c>
      <c r="E286" s="412">
        <f>F286+N286</f>
        <v>16520</v>
      </c>
      <c r="F286" s="412">
        <f>SUM(G286:M286)</f>
        <v>16520</v>
      </c>
      <c r="G286" s="412"/>
      <c r="H286" s="412"/>
      <c r="I286" s="412"/>
      <c r="J286" s="412"/>
      <c r="K286" s="412"/>
      <c r="L286" s="412"/>
      <c r="M286" s="412">
        <v>16520</v>
      </c>
      <c r="N286" s="412"/>
    </row>
    <row r="287" spans="1:14" s="63" customFormat="1" ht="25.5">
      <c r="A287" s="426"/>
      <c r="B287" s="405">
        <v>80146</v>
      </c>
      <c r="C287" s="406"/>
      <c r="D287" s="416" t="s">
        <v>427</v>
      </c>
      <c r="E287" s="408">
        <f aca="true" t="shared" si="49" ref="E287:E374">F287+N287</f>
        <v>69060</v>
      </c>
      <c r="F287" s="408">
        <f aca="true" t="shared" si="50" ref="F287:F374">SUM(G287:M287)</f>
        <v>69060</v>
      </c>
      <c r="G287" s="408">
        <f aca="true" t="shared" si="51" ref="G287:N287">SUM(G288:G291)</f>
        <v>0</v>
      </c>
      <c r="H287" s="408">
        <f t="shared" si="51"/>
        <v>0</v>
      </c>
      <c r="I287" s="408">
        <f t="shared" si="51"/>
        <v>0</v>
      </c>
      <c r="J287" s="408">
        <f t="shared" si="51"/>
        <v>10000</v>
      </c>
      <c r="K287" s="408">
        <f t="shared" si="51"/>
        <v>0</v>
      </c>
      <c r="L287" s="408">
        <f t="shared" si="51"/>
        <v>0</v>
      </c>
      <c r="M287" s="408">
        <f t="shared" si="51"/>
        <v>59060</v>
      </c>
      <c r="N287" s="408">
        <f t="shared" si="51"/>
        <v>0</v>
      </c>
    </row>
    <row r="288" spans="1:14" s="39" customFormat="1" ht="110.25" customHeight="1">
      <c r="A288" s="427"/>
      <c r="B288" s="400"/>
      <c r="C288" s="410">
        <v>2310</v>
      </c>
      <c r="D288" s="411" t="s">
        <v>431</v>
      </c>
      <c r="E288" s="412">
        <f t="shared" si="49"/>
        <v>10000</v>
      </c>
      <c r="F288" s="412">
        <f t="shared" si="50"/>
        <v>10000</v>
      </c>
      <c r="G288" s="412"/>
      <c r="H288" s="412"/>
      <c r="I288" s="412"/>
      <c r="J288" s="412">
        <v>10000</v>
      </c>
      <c r="K288" s="412"/>
      <c r="L288" s="412"/>
      <c r="M288" s="412" t="s">
        <v>155</v>
      </c>
      <c r="N288" s="412"/>
    </row>
    <row r="289" spans="1:14" s="39" customFormat="1" ht="12.75" hidden="1">
      <c r="A289" s="427"/>
      <c r="B289" s="400"/>
      <c r="C289" s="410">
        <v>4170</v>
      </c>
      <c r="D289" s="411" t="s">
        <v>396</v>
      </c>
      <c r="E289" s="412">
        <f t="shared" si="49"/>
        <v>0</v>
      </c>
      <c r="F289" s="412">
        <f t="shared" si="50"/>
        <v>0</v>
      </c>
      <c r="G289" s="412"/>
      <c r="H289" s="412"/>
      <c r="I289" s="412"/>
      <c r="J289" s="412"/>
      <c r="K289" s="412"/>
      <c r="L289" s="412"/>
      <c r="M289" s="412"/>
      <c r="N289" s="412"/>
    </row>
    <row r="290" spans="1:14" s="39" customFormat="1" ht="12.75">
      <c r="A290" s="427"/>
      <c r="B290" s="400"/>
      <c r="C290" s="410">
        <v>4300</v>
      </c>
      <c r="D290" s="411" t="s">
        <v>382</v>
      </c>
      <c r="E290" s="412">
        <f t="shared" si="49"/>
        <v>49000</v>
      </c>
      <c r="F290" s="412">
        <f t="shared" si="50"/>
        <v>49000</v>
      </c>
      <c r="G290" s="412"/>
      <c r="H290" s="412"/>
      <c r="I290" s="412"/>
      <c r="J290" s="412"/>
      <c r="K290" s="412"/>
      <c r="L290" s="412"/>
      <c r="M290" s="412">
        <v>49000</v>
      </c>
      <c r="N290" s="412"/>
    </row>
    <row r="291" spans="1:14" s="39" customFormat="1" ht="12.75">
      <c r="A291" s="427"/>
      <c r="B291" s="400"/>
      <c r="C291" s="410">
        <v>4410</v>
      </c>
      <c r="D291" s="411" t="s">
        <v>346</v>
      </c>
      <c r="E291" s="412">
        <f t="shared" si="49"/>
        <v>10060</v>
      </c>
      <c r="F291" s="412">
        <f t="shared" si="50"/>
        <v>10060</v>
      </c>
      <c r="G291" s="412"/>
      <c r="H291" s="412"/>
      <c r="I291" s="412"/>
      <c r="J291" s="412"/>
      <c r="K291" s="412"/>
      <c r="L291" s="412"/>
      <c r="M291" s="412">
        <v>10060</v>
      </c>
      <c r="N291" s="412"/>
    </row>
    <row r="292" spans="1:14" s="39" customFormat="1" ht="12.75">
      <c r="A292" s="427"/>
      <c r="B292" s="405">
        <v>80148</v>
      </c>
      <c r="C292" s="410"/>
      <c r="D292" s="416" t="s">
        <v>429</v>
      </c>
      <c r="E292" s="408">
        <f aca="true" t="shared" si="52" ref="E292:E300">F292+N292</f>
        <v>369030</v>
      </c>
      <c r="F292" s="408">
        <f aca="true" t="shared" si="53" ref="F292:F304">SUM(G292:M292)</f>
        <v>369030</v>
      </c>
      <c r="G292" s="408">
        <f aca="true" t="shared" si="54" ref="G292:N292">SUM(G293:G304)</f>
        <v>205170</v>
      </c>
      <c r="H292" s="408">
        <f t="shared" si="54"/>
        <v>16600</v>
      </c>
      <c r="I292" s="408">
        <f t="shared" si="54"/>
        <v>38310</v>
      </c>
      <c r="J292" s="408">
        <f t="shared" si="54"/>
        <v>0</v>
      </c>
      <c r="K292" s="408">
        <f t="shared" si="54"/>
        <v>0</v>
      </c>
      <c r="L292" s="408">
        <f t="shared" si="54"/>
        <v>0</v>
      </c>
      <c r="M292" s="408">
        <f t="shared" si="54"/>
        <v>108950</v>
      </c>
      <c r="N292" s="408">
        <f t="shared" si="54"/>
        <v>0</v>
      </c>
    </row>
    <row r="293" spans="1:14" s="39" customFormat="1" ht="25.5">
      <c r="A293" s="427"/>
      <c r="B293" s="400"/>
      <c r="C293" s="410">
        <v>3020</v>
      </c>
      <c r="D293" s="411" t="s">
        <v>566</v>
      </c>
      <c r="E293" s="412">
        <f t="shared" si="52"/>
        <v>4650</v>
      </c>
      <c r="F293" s="412">
        <f t="shared" si="53"/>
        <v>4650</v>
      </c>
      <c r="G293" s="412"/>
      <c r="H293" s="412"/>
      <c r="I293" s="412"/>
      <c r="J293" s="412"/>
      <c r="K293" s="412"/>
      <c r="L293" s="412"/>
      <c r="M293" s="412">
        <v>4650</v>
      </c>
      <c r="N293" s="412"/>
    </row>
    <row r="294" spans="1:14" s="39" customFormat="1" ht="34.5" customHeight="1">
      <c r="A294" s="427"/>
      <c r="B294" s="400"/>
      <c r="C294" s="410">
        <v>4010</v>
      </c>
      <c r="D294" s="411" t="s">
        <v>332</v>
      </c>
      <c r="E294" s="412">
        <f t="shared" si="52"/>
        <v>205170</v>
      </c>
      <c r="F294" s="412">
        <f t="shared" si="53"/>
        <v>205170</v>
      </c>
      <c r="G294" s="412">
        <v>205170</v>
      </c>
      <c r="H294" s="412"/>
      <c r="I294" s="412"/>
      <c r="J294" s="412"/>
      <c r="K294" s="412"/>
      <c r="L294" s="412"/>
      <c r="M294" s="412"/>
      <c r="N294" s="412"/>
    </row>
    <row r="295" spans="1:14" s="39" customFormat="1" ht="31.5" customHeight="1">
      <c r="A295" s="427"/>
      <c r="B295" s="400"/>
      <c r="C295" s="410">
        <v>4040</v>
      </c>
      <c r="D295" s="411" t="s">
        <v>333</v>
      </c>
      <c r="E295" s="412">
        <f t="shared" si="52"/>
        <v>16600</v>
      </c>
      <c r="F295" s="412">
        <f t="shared" si="53"/>
        <v>16600</v>
      </c>
      <c r="G295" s="412"/>
      <c r="H295" s="412">
        <v>16600</v>
      </c>
      <c r="I295" s="412"/>
      <c r="J295" s="412"/>
      <c r="K295" s="412"/>
      <c r="L295" s="412"/>
      <c r="M295" s="412"/>
      <c r="N295" s="412"/>
    </row>
    <row r="296" spans="1:14" s="39" customFormat="1" ht="35.25" customHeight="1">
      <c r="A296" s="427"/>
      <c r="B296" s="400"/>
      <c r="C296" s="410">
        <v>4110</v>
      </c>
      <c r="D296" s="411" t="s">
        <v>412</v>
      </c>
      <c r="E296" s="412">
        <f t="shared" si="52"/>
        <v>32990</v>
      </c>
      <c r="F296" s="412">
        <f t="shared" si="53"/>
        <v>32990</v>
      </c>
      <c r="G296" s="412"/>
      <c r="H296" s="412"/>
      <c r="I296" s="412">
        <v>32990</v>
      </c>
      <c r="J296" s="412"/>
      <c r="K296" s="412"/>
      <c r="L296" s="412"/>
      <c r="M296" s="412"/>
      <c r="N296" s="412"/>
    </row>
    <row r="297" spans="1:14" s="39" customFormat="1" ht="12.75">
      <c r="A297" s="427"/>
      <c r="B297" s="400"/>
      <c r="C297" s="410">
        <v>4120</v>
      </c>
      <c r="D297" s="411" t="s">
        <v>335</v>
      </c>
      <c r="E297" s="412">
        <f t="shared" si="52"/>
        <v>5320</v>
      </c>
      <c r="F297" s="412">
        <f t="shared" si="53"/>
        <v>5320</v>
      </c>
      <c r="G297" s="412"/>
      <c r="H297" s="412"/>
      <c r="I297" s="412">
        <v>5320</v>
      </c>
      <c r="J297" s="412"/>
      <c r="K297" s="412"/>
      <c r="L297" s="412"/>
      <c r="M297" s="412"/>
      <c r="N297" s="412"/>
    </row>
    <row r="298" spans="1:14" s="39" customFormat="1" ht="38.25" customHeight="1">
      <c r="A298" s="427"/>
      <c r="B298" s="400"/>
      <c r="C298" s="410">
        <v>4210</v>
      </c>
      <c r="D298" s="411" t="s">
        <v>337</v>
      </c>
      <c r="E298" s="412">
        <f t="shared" si="52"/>
        <v>73690</v>
      </c>
      <c r="F298" s="412">
        <f t="shared" si="53"/>
        <v>73690</v>
      </c>
      <c r="G298" s="412"/>
      <c r="H298" s="412"/>
      <c r="I298" s="412"/>
      <c r="J298" s="412"/>
      <c r="K298" s="412"/>
      <c r="L298" s="412"/>
      <c r="M298" s="412">
        <v>73690</v>
      </c>
      <c r="N298" s="412"/>
    </row>
    <row r="299" spans="1:14" s="39" customFormat="1" ht="12.75">
      <c r="A299" s="427"/>
      <c r="B299" s="400"/>
      <c r="C299" s="410">
        <v>4260</v>
      </c>
      <c r="D299" s="411" t="s">
        <v>338</v>
      </c>
      <c r="E299" s="412">
        <f t="shared" si="52"/>
        <v>17490</v>
      </c>
      <c r="F299" s="412">
        <f t="shared" si="53"/>
        <v>17490</v>
      </c>
      <c r="G299" s="412"/>
      <c r="H299" s="412"/>
      <c r="I299" s="412"/>
      <c r="J299" s="412"/>
      <c r="K299" s="412"/>
      <c r="L299" s="412"/>
      <c r="M299" s="412">
        <v>17490</v>
      </c>
      <c r="N299" s="412"/>
    </row>
    <row r="300" spans="1:14" s="39" customFormat="1" ht="12.75">
      <c r="A300" s="427"/>
      <c r="B300" s="400"/>
      <c r="C300" s="410">
        <v>4270</v>
      </c>
      <c r="D300" s="411" t="s">
        <v>339</v>
      </c>
      <c r="E300" s="412">
        <f t="shared" si="52"/>
        <v>590</v>
      </c>
      <c r="F300" s="412">
        <f t="shared" si="53"/>
        <v>590</v>
      </c>
      <c r="G300" s="412"/>
      <c r="H300" s="412"/>
      <c r="I300" s="412"/>
      <c r="J300" s="412"/>
      <c r="K300" s="412"/>
      <c r="L300" s="412"/>
      <c r="M300" s="412">
        <v>590</v>
      </c>
      <c r="N300" s="412"/>
    </row>
    <row r="301" spans="1:14" s="39" customFormat="1" ht="12.75">
      <c r="A301" s="427"/>
      <c r="B301" s="400"/>
      <c r="C301" s="410">
        <v>4280</v>
      </c>
      <c r="D301" s="411" t="s">
        <v>340</v>
      </c>
      <c r="E301" s="412">
        <f>N301+F301</f>
        <v>270</v>
      </c>
      <c r="F301" s="412">
        <f t="shared" si="53"/>
        <v>270</v>
      </c>
      <c r="G301" s="412"/>
      <c r="H301" s="412"/>
      <c r="I301" s="412"/>
      <c r="J301" s="412"/>
      <c r="K301" s="412"/>
      <c r="L301" s="412"/>
      <c r="M301" s="412">
        <v>270</v>
      </c>
      <c r="N301" s="412"/>
    </row>
    <row r="302" spans="1:14" s="39" customFormat="1" ht="12.75">
      <c r="A302" s="427"/>
      <c r="B302" s="400"/>
      <c r="C302" s="410">
        <v>4300</v>
      </c>
      <c r="D302" s="411" t="s">
        <v>382</v>
      </c>
      <c r="E302" s="412">
        <f>F302+N302</f>
        <v>3090</v>
      </c>
      <c r="F302" s="412">
        <f>SUM(G302:M302)</f>
        <v>3090</v>
      </c>
      <c r="G302" s="412"/>
      <c r="H302" s="412"/>
      <c r="I302" s="412"/>
      <c r="J302" s="412"/>
      <c r="K302" s="412"/>
      <c r="L302" s="412"/>
      <c r="M302" s="412">
        <v>3090</v>
      </c>
      <c r="N302" s="412"/>
    </row>
    <row r="303" spans="1:14" s="39" customFormat="1" ht="25.5">
      <c r="A303" s="427"/>
      <c r="B303" s="400"/>
      <c r="C303" s="410">
        <v>4440</v>
      </c>
      <c r="D303" s="411" t="s">
        <v>348</v>
      </c>
      <c r="E303" s="412">
        <f>N303+F303</f>
        <v>9170</v>
      </c>
      <c r="F303" s="412">
        <f>SUM(G303:M303)</f>
        <v>9170</v>
      </c>
      <c r="G303" s="412"/>
      <c r="H303" s="412"/>
      <c r="I303" s="412"/>
      <c r="J303" s="412"/>
      <c r="K303" s="412"/>
      <c r="L303" s="412"/>
      <c r="M303" s="412">
        <v>9170</v>
      </c>
      <c r="N303" s="412"/>
    </row>
    <row r="304" spans="1:14" s="39" customFormat="1" ht="38.25" hidden="1">
      <c r="A304" s="427"/>
      <c r="B304" s="400"/>
      <c r="C304" s="410">
        <v>6060</v>
      </c>
      <c r="D304" s="411" t="s">
        <v>567</v>
      </c>
      <c r="E304" s="412">
        <f>N304+F304</f>
        <v>0</v>
      </c>
      <c r="F304" s="412">
        <f t="shared" si="53"/>
        <v>0</v>
      </c>
      <c r="G304" s="412"/>
      <c r="H304" s="412"/>
      <c r="I304" s="412"/>
      <c r="J304" s="412"/>
      <c r="K304" s="412"/>
      <c r="L304" s="412"/>
      <c r="M304" s="412"/>
      <c r="N304" s="412"/>
    </row>
    <row r="305" spans="1:14" s="63" customFormat="1" ht="12.75">
      <c r="A305" s="426"/>
      <c r="B305" s="405">
        <v>80195</v>
      </c>
      <c r="C305" s="406"/>
      <c r="D305" s="416" t="s">
        <v>402</v>
      </c>
      <c r="E305" s="408">
        <f t="shared" si="49"/>
        <v>1648946</v>
      </c>
      <c r="F305" s="408">
        <f t="shared" si="50"/>
        <v>1648946</v>
      </c>
      <c r="G305" s="408">
        <f>SUM(G306:G351)</f>
        <v>231840</v>
      </c>
      <c r="H305" s="408">
        <f aca="true" t="shared" si="55" ref="H305:N305">SUM(H306:H351)</f>
        <v>15500</v>
      </c>
      <c r="I305" s="408">
        <f t="shared" si="55"/>
        <v>136806</v>
      </c>
      <c r="J305" s="408">
        <f t="shared" si="55"/>
        <v>0</v>
      </c>
      <c r="K305" s="408">
        <f t="shared" si="55"/>
        <v>0</v>
      </c>
      <c r="L305" s="408">
        <f>SUM(L306:L351)</f>
        <v>1137870</v>
      </c>
      <c r="M305" s="408">
        <f t="shared" si="55"/>
        <v>126930</v>
      </c>
      <c r="N305" s="408">
        <f t="shared" si="55"/>
        <v>0</v>
      </c>
    </row>
    <row r="306" spans="1:14" s="39" customFormat="1" ht="25.5">
      <c r="A306" s="427"/>
      <c r="B306" s="400"/>
      <c r="C306" s="410">
        <v>3020</v>
      </c>
      <c r="D306" s="411" t="s">
        <v>566</v>
      </c>
      <c r="E306" s="412">
        <f t="shared" si="49"/>
        <v>1690</v>
      </c>
      <c r="F306" s="412">
        <f t="shared" si="50"/>
        <v>1690</v>
      </c>
      <c r="G306" s="412"/>
      <c r="H306" s="412"/>
      <c r="I306" s="412"/>
      <c r="J306" s="412"/>
      <c r="K306" s="412"/>
      <c r="L306" s="412"/>
      <c r="M306" s="412">
        <v>1690</v>
      </c>
      <c r="N306" s="412"/>
    </row>
    <row r="307" spans="1:14" s="39" customFormat="1" ht="25.5">
      <c r="A307" s="427"/>
      <c r="B307" s="400"/>
      <c r="C307" s="410">
        <v>4010</v>
      </c>
      <c r="D307" s="411" t="s">
        <v>332</v>
      </c>
      <c r="E307" s="412">
        <f t="shared" si="49"/>
        <v>231840</v>
      </c>
      <c r="F307" s="412">
        <f t="shared" si="50"/>
        <v>231840</v>
      </c>
      <c r="G307" s="412">
        <v>231840</v>
      </c>
      <c r="H307" s="412"/>
      <c r="I307" s="412"/>
      <c r="J307" s="412"/>
      <c r="K307" s="412"/>
      <c r="L307" s="412"/>
      <c r="M307" s="412"/>
      <c r="N307" s="412"/>
    </row>
    <row r="308" spans="1:14" s="39" customFormat="1" ht="34.5" customHeight="1">
      <c r="A308" s="427"/>
      <c r="B308" s="400"/>
      <c r="C308" s="410">
        <v>4040</v>
      </c>
      <c r="D308" s="411" t="s">
        <v>333</v>
      </c>
      <c r="E308" s="412">
        <f t="shared" si="49"/>
        <v>15500</v>
      </c>
      <c r="F308" s="412">
        <f t="shared" si="50"/>
        <v>15500</v>
      </c>
      <c r="G308" s="412"/>
      <c r="H308" s="412">
        <v>15500</v>
      </c>
      <c r="I308" s="412"/>
      <c r="J308" s="412"/>
      <c r="K308" s="412"/>
      <c r="L308" s="412"/>
      <c r="M308" s="412"/>
      <c r="N308" s="412"/>
    </row>
    <row r="309" spans="1:14" s="39" customFormat="1" ht="30.75" customHeight="1">
      <c r="A309" s="427"/>
      <c r="B309" s="400"/>
      <c r="C309" s="410">
        <v>4110</v>
      </c>
      <c r="D309" s="411" t="s">
        <v>412</v>
      </c>
      <c r="E309" s="412">
        <f t="shared" si="49"/>
        <v>34590</v>
      </c>
      <c r="F309" s="412">
        <f t="shared" si="50"/>
        <v>34590</v>
      </c>
      <c r="G309" s="412"/>
      <c r="H309" s="412"/>
      <c r="I309" s="412">
        <v>34590</v>
      </c>
      <c r="J309" s="412"/>
      <c r="K309" s="412"/>
      <c r="L309" s="412"/>
      <c r="M309" s="412"/>
      <c r="N309" s="412"/>
    </row>
    <row r="310" spans="1:14" s="39" customFormat="1" ht="12.75">
      <c r="A310" s="427"/>
      <c r="B310" s="400"/>
      <c r="C310" s="410">
        <v>4120</v>
      </c>
      <c r="D310" s="411" t="s">
        <v>335</v>
      </c>
      <c r="E310" s="412">
        <f t="shared" si="49"/>
        <v>5510</v>
      </c>
      <c r="F310" s="412">
        <f t="shared" si="50"/>
        <v>5510</v>
      </c>
      <c r="G310" s="412"/>
      <c r="H310" s="412"/>
      <c r="I310" s="412">
        <v>5510</v>
      </c>
      <c r="J310" s="412"/>
      <c r="K310" s="412"/>
      <c r="L310" s="412"/>
      <c r="M310" s="412"/>
      <c r="N310" s="412"/>
    </row>
    <row r="311" spans="1:14" s="39" customFormat="1" ht="30" customHeight="1">
      <c r="A311" s="427"/>
      <c r="B311" s="400"/>
      <c r="C311" s="410">
        <v>4170</v>
      </c>
      <c r="D311" s="411" t="s">
        <v>371</v>
      </c>
      <c r="E311" s="412">
        <f t="shared" si="49"/>
        <v>6200</v>
      </c>
      <c r="F311" s="412">
        <f t="shared" si="50"/>
        <v>6200</v>
      </c>
      <c r="G311" s="412"/>
      <c r="H311" s="412"/>
      <c r="I311" s="412"/>
      <c r="J311" s="412"/>
      <c r="K311" s="412"/>
      <c r="L311" s="412"/>
      <c r="M311" s="412">
        <v>6200</v>
      </c>
      <c r="N311" s="412"/>
    </row>
    <row r="312" spans="1:14" s="39" customFormat="1" ht="25.5">
      <c r="A312" s="427"/>
      <c r="B312" s="400"/>
      <c r="C312" s="410">
        <v>4210</v>
      </c>
      <c r="D312" s="411" t="s">
        <v>337</v>
      </c>
      <c r="E312" s="412">
        <f t="shared" si="49"/>
        <v>17980</v>
      </c>
      <c r="F312" s="412">
        <f t="shared" si="50"/>
        <v>17980</v>
      </c>
      <c r="G312" s="412"/>
      <c r="H312" s="412"/>
      <c r="I312" s="412"/>
      <c r="J312" s="412"/>
      <c r="K312" s="412"/>
      <c r="L312" s="412"/>
      <c r="M312" s="412">
        <v>17980</v>
      </c>
      <c r="N312" s="412"/>
    </row>
    <row r="313" spans="1:14" s="39" customFormat="1" ht="12.75">
      <c r="A313" s="427"/>
      <c r="B313" s="400"/>
      <c r="C313" s="410">
        <v>4260</v>
      </c>
      <c r="D313" s="411" t="s">
        <v>338</v>
      </c>
      <c r="E313" s="412">
        <f t="shared" si="49"/>
        <v>3380</v>
      </c>
      <c r="F313" s="412">
        <f t="shared" si="50"/>
        <v>3380</v>
      </c>
      <c r="G313" s="412"/>
      <c r="H313" s="412"/>
      <c r="I313" s="412"/>
      <c r="J313" s="412"/>
      <c r="K313" s="412"/>
      <c r="L313" s="412"/>
      <c r="M313" s="412">
        <v>3380</v>
      </c>
      <c r="N313" s="412"/>
    </row>
    <row r="314" spans="1:14" s="39" customFormat="1" ht="12.75">
      <c r="A314" s="427"/>
      <c r="B314" s="400"/>
      <c r="C314" s="410">
        <v>4270</v>
      </c>
      <c r="D314" s="411" t="s">
        <v>355</v>
      </c>
      <c r="E314" s="412">
        <f t="shared" si="49"/>
        <v>660</v>
      </c>
      <c r="F314" s="412">
        <f t="shared" si="50"/>
        <v>660</v>
      </c>
      <c r="G314" s="412"/>
      <c r="H314" s="412"/>
      <c r="I314" s="412"/>
      <c r="J314" s="412"/>
      <c r="K314" s="412"/>
      <c r="L314" s="412"/>
      <c r="M314" s="412">
        <v>660</v>
      </c>
      <c r="N314" s="412"/>
    </row>
    <row r="315" spans="1:14" s="39" customFormat="1" ht="12.75">
      <c r="A315" s="427"/>
      <c r="B315" s="400"/>
      <c r="C315" s="410">
        <v>4280</v>
      </c>
      <c r="D315" s="411" t="s">
        <v>340</v>
      </c>
      <c r="E315" s="412">
        <f t="shared" si="49"/>
        <v>170</v>
      </c>
      <c r="F315" s="412">
        <f t="shared" si="50"/>
        <v>170</v>
      </c>
      <c r="G315" s="412"/>
      <c r="H315" s="412"/>
      <c r="I315" s="412"/>
      <c r="J315" s="412"/>
      <c r="K315" s="412"/>
      <c r="L315" s="412"/>
      <c r="M315" s="412">
        <v>170</v>
      </c>
      <c r="N315" s="412"/>
    </row>
    <row r="316" spans="1:14" s="39" customFormat="1" ht="12.75">
      <c r="A316" s="427"/>
      <c r="B316" s="400"/>
      <c r="C316" s="410">
        <v>4300</v>
      </c>
      <c r="D316" s="411" t="s">
        <v>432</v>
      </c>
      <c r="E316" s="412">
        <f t="shared" si="49"/>
        <v>6320</v>
      </c>
      <c r="F316" s="412">
        <f t="shared" si="50"/>
        <v>6320</v>
      </c>
      <c r="G316" s="412"/>
      <c r="H316" s="412"/>
      <c r="I316" s="412"/>
      <c r="J316" s="412"/>
      <c r="K316" s="412"/>
      <c r="L316" s="412"/>
      <c r="M316" s="412">
        <f>16320-10000</f>
        <v>6320</v>
      </c>
      <c r="N316" s="412"/>
    </row>
    <row r="317" spans="1:14" s="39" customFormat="1" ht="25.5">
      <c r="A317" s="427"/>
      <c r="B317" s="400"/>
      <c r="C317" s="410">
        <v>4350</v>
      </c>
      <c r="D317" s="411" t="s">
        <v>341</v>
      </c>
      <c r="E317" s="412">
        <f t="shared" si="49"/>
        <v>2090</v>
      </c>
      <c r="F317" s="412">
        <f t="shared" si="50"/>
        <v>2090</v>
      </c>
      <c r="G317" s="412"/>
      <c r="H317" s="412"/>
      <c r="I317" s="412"/>
      <c r="J317" s="412"/>
      <c r="K317" s="412"/>
      <c r="L317" s="412"/>
      <c r="M317" s="412">
        <v>2090</v>
      </c>
      <c r="N317" s="412"/>
    </row>
    <row r="318" spans="1:14" s="39" customFormat="1" ht="38.25">
      <c r="A318" s="427"/>
      <c r="B318" s="400"/>
      <c r="C318" s="410">
        <v>4370</v>
      </c>
      <c r="D318" s="411" t="s">
        <v>416</v>
      </c>
      <c r="E318" s="412">
        <f t="shared" si="49"/>
        <v>6430</v>
      </c>
      <c r="F318" s="412">
        <f t="shared" si="50"/>
        <v>6430</v>
      </c>
      <c r="G318" s="412"/>
      <c r="H318" s="412"/>
      <c r="I318" s="412"/>
      <c r="J318" s="412"/>
      <c r="K318" s="412"/>
      <c r="L318" s="412"/>
      <c r="M318" s="412">
        <v>6430</v>
      </c>
      <c r="N318" s="412"/>
    </row>
    <row r="319" spans="1:14" s="39" customFormat="1" ht="12.75">
      <c r="A319" s="427"/>
      <c r="B319" s="400"/>
      <c r="C319" s="410">
        <v>4410</v>
      </c>
      <c r="D319" s="411" t="s">
        <v>346</v>
      </c>
      <c r="E319" s="412">
        <f t="shared" si="49"/>
        <v>1130</v>
      </c>
      <c r="F319" s="412">
        <f t="shared" si="50"/>
        <v>1130</v>
      </c>
      <c r="G319" s="412"/>
      <c r="H319" s="412"/>
      <c r="I319" s="412"/>
      <c r="J319" s="412"/>
      <c r="K319" s="412"/>
      <c r="L319" s="412"/>
      <c r="M319" s="412">
        <v>1130</v>
      </c>
      <c r="N319" s="412"/>
    </row>
    <row r="320" spans="1:14" s="39" customFormat="1" ht="12.75">
      <c r="A320" s="427"/>
      <c r="B320" s="400"/>
      <c r="C320" s="410">
        <v>4430</v>
      </c>
      <c r="D320" s="411" t="s">
        <v>347</v>
      </c>
      <c r="E320" s="412">
        <f t="shared" si="49"/>
        <v>220</v>
      </c>
      <c r="F320" s="412">
        <f t="shared" si="50"/>
        <v>220</v>
      </c>
      <c r="G320" s="412"/>
      <c r="H320" s="412"/>
      <c r="I320" s="412"/>
      <c r="J320" s="412"/>
      <c r="K320" s="412"/>
      <c r="L320" s="412"/>
      <c r="M320" s="412">
        <v>220</v>
      </c>
      <c r="N320" s="412"/>
    </row>
    <row r="321" spans="1:14" s="39" customFormat="1" ht="46.5" customHeight="1">
      <c r="A321" s="427"/>
      <c r="B321" s="400"/>
      <c r="C321" s="410">
        <v>4440</v>
      </c>
      <c r="D321" s="411" t="s">
        <v>348</v>
      </c>
      <c r="E321" s="412">
        <f t="shared" si="49"/>
        <v>71160</v>
      </c>
      <c r="F321" s="412">
        <f t="shared" si="50"/>
        <v>71160</v>
      </c>
      <c r="G321" s="412"/>
      <c r="H321" s="412"/>
      <c r="I321" s="412"/>
      <c r="J321" s="412"/>
      <c r="K321" s="412"/>
      <c r="L321" s="412"/>
      <c r="M321" s="412">
        <v>71160</v>
      </c>
      <c r="N321" s="412"/>
    </row>
    <row r="322" spans="1:14" s="39" customFormat="1" ht="25.5">
      <c r="A322" s="427"/>
      <c r="B322" s="400"/>
      <c r="C322" s="410">
        <v>4510</v>
      </c>
      <c r="D322" s="411" t="s">
        <v>602</v>
      </c>
      <c r="E322" s="412">
        <f t="shared" si="49"/>
        <v>160</v>
      </c>
      <c r="F322" s="412">
        <f t="shared" si="50"/>
        <v>160</v>
      </c>
      <c r="G322" s="412"/>
      <c r="H322" s="412"/>
      <c r="I322" s="412"/>
      <c r="J322" s="412"/>
      <c r="K322" s="412"/>
      <c r="L322" s="412"/>
      <c r="M322" s="412">
        <v>160</v>
      </c>
      <c r="N322" s="412"/>
    </row>
    <row r="323" spans="1:14" s="39" customFormat="1" ht="38.25">
      <c r="A323" s="427"/>
      <c r="B323" s="400"/>
      <c r="C323" s="410">
        <v>4700</v>
      </c>
      <c r="D323" s="411" t="s">
        <v>565</v>
      </c>
      <c r="E323" s="412">
        <f t="shared" si="49"/>
        <v>2060</v>
      </c>
      <c r="F323" s="412">
        <f t="shared" si="50"/>
        <v>2060</v>
      </c>
      <c r="G323" s="412"/>
      <c r="H323" s="412"/>
      <c r="I323" s="412"/>
      <c r="J323" s="412"/>
      <c r="K323" s="412"/>
      <c r="L323" s="412"/>
      <c r="M323" s="412">
        <v>2060</v>
      </c>
      <c r="N323" s="412"/>
    </row>
    <row r="324" spans="1:14" s="39" customFormat="1" ht="63" customHeight="1">
      <c r="A324" s="427"/>
      <c r="B324" s="400"/>
      <c r="C324" s="410">
        <v>4740</v>
      </c>
      <c r="D324" s="411" t="s">
        <v>374</v>
      </c>
      <c r="E324" s="412">
        <f t="shared" si="49"/>
        <v>1080</v>
      </c>
      <c r="F324" s="412">
        <f t="shared" si="50"/>
        <v>1080</v>
      </c>
      <c r="G324" s="412"/>
      <c r="H324" s="412"/>
      <c r="I324" s="412"/>
      <c r="J324" s="412"/>
      <c r="K324" s="412"/>
      <c r="L324" s="412"/>
      <c r="M324" s="412">
        <v>1080</v>
      </c>
      <c r="N324" s="412"/>
    </row>
    <row r="325" spans="1:14" s="39" customFormat="1" ht="38.25">
      <c r="A325" s="427"/>
      <c r="B325" s="400"/>
      <c r="C325" s="410">
        <v>4750</v>
      </c>
      <c r="D325" s="411" t="s">
        <v>417</v>
      </c>
      <c r="E325" s="412">
        <f>F325+N325</f>
        <v>6200</v>
      </c>
      <c r="F325" s="412">
        <f>SUM(G325:M325)</f>
        <v>6200</v>
      </c>
      <c r="G325" s="412"/>
      <c r="H325" s="412"/>
      <c r="I325" s="412"/>
      <c r="J325" s="412"/>
      <c r="K325" s="412"/>
      <c r="L325" s="412"/>
      <c r="M325" s="412">
        <v>6200</v>
      </c>
      <c r="N325" s="412"/>
    </row>
    <row r="326" spans="1:14" s="39" customFormat="1" ht="25.5" hidden="1">
      <c r="A326" s="427"/>
      <c r="B326" s="400"/>
      <c r="C326" s="410">
        <v>6050</v>
      </c>
      <c r="D326" s="411" t="s">
        <v>27</v>
      </c>
      <c r="E326" s="412">
        <f t="shared" si="49"/>
        <v>0</v>
      </c>
      <c r="F326" s="412">
        <f t="shared" si="50"/>
        <v>0</v>
      </c>
      <c r="G326" s="412"/>
      <c r="H326" s="412"/>
      <c r="I326" s="412"/>
      <c r="J326" s="412"/>
      <c r="K326" s="412"/>
      <c r="L326" s="412"/>
      <c r="M326" s="412"/>
      <c r="N326" s="412"/>
    </row>
    <row r="327" spans="1:14" s="39" customFormat="1" ht="38.25" hidden="1">
      <c r="A327" s="427"/>
      <c r="B327" s="400"/>
      <c r="C327" s="410">
        <v>6060</v>
      </c>
      <c r="D327" s="411" t="s">
        <v>567</v>
      </c>
      <c r="E327" s="412">
        <f t="shared" si="49"/>
        <v>0</v>
      </c>
      <c r="F327" s="412">
        <f t="shared" si="50"/>
        <v>0</v>
      </c>
      <c r="G327" s="412"/>
      <c r="H327" s="412"/>
      <c r="I327" s="412"/>
      <c r="J327" s="412"/>
      <c r="K327" s="412"/>
      <c r="L327" s="412"/>
      <c r="M327" s="412"/>
      <c r="N327" s="412"/>
    </row>
    <row r="328" spans="1:14" s="39" customFormat="1" ht="34.5" customHeight="1">
      <c r="A328" s="427"/>
      <c r="B328" s="400"/>
      <c r="C328" s="428">
        <v>4118</v>
      </c>
      <c r="D328" s="429" t="s">
        <v>412</v>
      </c>
      <c r="E328" s="412">
        <f t="shared" si="49"/>
        <v>70879</v>
      </c>
      <c r="F328" s="412">
        <f t="shared" si="50"/>
        <v>70879</v>
      </c>
      <c r="G328" s="412"/>
      <c r="H328" s="412"/>
      <c r="I328" s="430">
        <v>70879</v>
      </c>
      <c r="J328" s="412"/>
      <c r="K328" s="412"/>
      <c r="L328" s="412"/>
      <c r="M328" s="412"/>
      <c r="N328" s="412"/>
    </row>
    <row r="329" spans="1:14" s="39" customFormat="1" ht="32.25" customHeight="1">
      <c r="A329" s="427"/>
      <c r="B329" s="400"/>
      <c r="C329" s="428">
        <v>4119</v>
      </c>
      <c r="D329" s="429" t="s">
        <v>412</v>
      </c>
      <c r="E329" s="412">
        <f t="shared" si="49"/>
        <v>12508</v>
      </c>
      <c r="F329" s="412">
        <f t="shared" si="50"/>
        <v>12508</v>
      </c>
      <c r="G329" s="412"/>
      <c r="H329" s="412"/>
      <c r="I329" s="430">
        <v>12508</v>
      </c>
      <c r="J329" s="412"/>
      <c r="K329" s="412"/>
      <c r="L329" s="412"/>
      <c r="M329" s="412"/>
      <c r="N329" s="412"/>
    </row>
    <row r="330" spans="1:14" s="39" customFormat="1" ht="22.5" customHeight="1">
      <c r="A330" s="427"/>
      <c r="B330" s="400"/>
      <c r="C330" s="428">
        <v>4128</v>
      </c>
      <c r="D330" s="429" t="s">
        <v>335</v>
      </c>
      <c r="E330" s="412">
        <f t="shared" si="49"/>
        <v>11320</v>
      </c>
      <c r="F330" s="412">
        <f t="shared" si="50"/>
        <v>11320</v>
      </c>
      <c r="G330" s="412"/>
      <c r="H330" s="412"/>
      <c r="I330" s="39">
        <v>11320</v>
      </c>
      <c r="J330" s="412"/>
      <c r="K330" s="412"/>
      <c r="L330" s="412"/>
      <c r="M330" s="412"/>
      <c r="N330" s="412"/>
    </row>
    <row r="331" spans="1:14" s="39" customFormat="1" ht="18.75" customHeight="1">
      <c r="A331" s="427"/>
      <c r="B331" s="400"/>
      <c r="C331" s="428">
        <v>4129</v>
      </c>
      <c r="D331" s="429" t="s">
        <v>335</v>
      </c>
      <c r="E331" s="412">
        <f t="shared" si="49"/>
        <v>1999</v>
      </c>
      <c r="F331" s="412">
        <f t="shared" si="50"/>
        <v>1999</v>
      </c>
      <c r="G331" s="412"/>
      <c r="H331" s="412"/>
      <c r="I331" s="117">
        <v>1999</v>
      </c>
      <c r="J331" s="412"/>
      <c r="K331" s="412"/>
      <c r="L331" s="412"/>
      <c r="M331" s="412"/>
      <c r="N331" s="412"/>
    </row>
    <row r="332" spans="1:14" s="39" customFormat="1" ht="24.75" customHeight="1">
      <c r="A332" s="427"/>
      <c r="B332" s="400"/>
      <c r="C332" s="428">
        <v>4178</v>
      </c>
      <c r="D332" s="429" t="s">
        <v>371</v>
      </c>
      <c r="E332" s="412">
        <f t="shared" si="49"/>
        <v>480280</v>
      </c>
      <c r="F332" s="412">
        <f t="shared" si="50"/>
        <v>480280</v>
      </c>
      <c r="G332" s="412"/>
      <c r="H332" s="412"/>
      <c r="I332" s="430"/>
      <c r="J332" s="412"/>
      <c r="K332" s="412"/>
      <c r="L332" s="412">
        <v>480280</v>
      </c>
      <c r="M332" s="412"/>
      <c r="N332" s="412"/>
    </row>
    <row r="333" spans="1:14" s="39" customFormat="1" ht="28.5" customHeight="1">
      <c r="A333" s="427"/>
      <c r="B333" s="400"/>
      <c r="C333" s="428">
        <v>4179</v>
      </c>
      <c r="D333" s="429" t="s">
        <v>371</v>
      </c>
      <c r="E333" s="412">
        <f t="shared" si="49"/>
        <v>74314</v>
      </c>
      <c r="F333" s="412">
        <f t="shared" si="50"/>
        <v>74314</v>
      </c>
      <c r="G333" s="412"/>
      <c r="H333" s="412"/>
      <c r="I333" s="430"/>
      <c r="J333" s="412"/>
      <c r="K333" s="412"/>
      <c r="L333" s="412">
        <v>74314</v>
      </c>
      <c r="M333" s="412"/>
      <c r="N333" s="412"/>
    </row>
    <row r="334" spans="1:14" s="39" customFormat="1" ht="25.5">
      <c r="A334" s="427"/>
      <c r="B334" s="400"/>
      <c r="C334" s="428">
        <v>4218</v>
      </c>
      <c r="D334" s="429" t="s">
        <v>337</v>
      </c>
      <c r="E334" s="412">
        <f t="shared" si="49"/>
        <v>77758</v>
      </c>
      <c r="F334" s="412">
        <f t="shared" si="50"/>
        <v>77758</v>
      </c>
      <c r="G334" s="412"/>
      <c r="H334" s="412"/>
      <c r="I334" s="412"/>
      <c r="J334" s="412"/>
      <c r="K334" s="412"/>
      <c r="L334" s="412">
        <v>77758</v>
      </c>
      <c r="M334" s="412"/>
      <c r="N334" s="412"/>
    </row>
    <row r="335" spans="1:14" s="39" customFormat="1" ht="25.5">
      <c r="A335" s="427"/>
      <c r="B335" s="400"/>
      <c r="C335" s="428">
        <v>4219</v>
      </c>
      <c r="D335" s="429" t="s">
        <v>337</v>
      </c>
      <c r="E335" s="412">
        <f t="shared" si="49"/>
        <v>13722</v>
      </c>
      <c r="F335" s="412">
        <f t="shared" si="50"/>
        <v>13722</v>
      </c>
      <c r="G335" s="412"/>
      <c r="H335" s="412"/>
      <c r="I335" s="412"/>
      <c r="J335" s="412"/>
      <c r="K335" s="412"/>
      <c r="L335" s="412">
        <v>13722</v>
      </c>
      <c r="M335" s="412"/>
      <c r="N335" s="412"/>
    </row>
    <row r="336" spans="1:14" s="39" customFormat="1" ht="12.75">
      <c r="A336" s="427"/>
      <c r="B336" s="400"/>
      <c r="C336" s="428">
        <v>4268</v>
      </c>
      <c r="D336" s="429" t="s">
        <v>338</v>
      </c>
      <c r="E336" s="412">
        <f t="shared" si="49"/>
        <v>1477</v>
      </c>
      <c r="F336" s="412">
        <f t="shared" si="50"/>
        <v>1477</v>
      </c>
      <c r="G336" s="412"/>
      <c r="H336" s="412"/>
      <c r="I336" s="412"/>
      <c r="J336" s="412"/>
      <c r="K336" s="412"/>
      <c r="L336" s="412">
        <v>1477</v>
      </c>
      <c r="M336" s="412"/>
      <c r="N336" s="412"/>
    </row>
    <row r="337" spans="1:14" s="39" customFormat="1" ht="12.75">
      <c r="A337" s="427"/>
      <c r="B337" s="400"/>
      <c r="C337" s="428">
        <v>4269</v>
      </c>
      <c r="D337" s="429" t="s">
        <v>338</v>
      </c>
      <c r="E337" s="412">
        <f t="shared" si="49"/>
        <v>261</v>
      </c>
      <c r="F337" s="412">
        <f t="shared" si="50"/>
        <v>261</v>
      </c>
      <c r="G337" s="412"/>
      <c r="H337" s="412"/>
      <c r="I337" s="412"/>
      <c r="J337" s="412"/>
      <c r="K337" s="412"/>
      <c r="L337" s="412">
        <v>261</v>
      </c>
      <c r="M337" s="412"/>
      <c r="N337" s="412"/>
    </row>
    <row r="338" spans="1:14" s="39" customFormat="1" ht="27" customHeight="1">
      <c r="A338" s="427"/>
      <c r="B338" s="400"/>
      <c r="C338" s="428">
        <v>4308</v>
      </c>
      <c r="D338" s="429" t="s">
        <v>432</v>
      </c>
      <c r="E338" s="412">
        <f t="shared" si="49"/>
        <v>408038</v>
      </c>
      <c r="F338" s="412">
        <f t="shared" si="50"/>
        <v>408038</v>
      </c>
      <c r="G338" s="412"/>
      <c r="H338" s="412"/>
      <c r="I338" s="412"/>
      <c r="J338" s="412"/>
      <c r="K338" s="412"/>
      <c r="L338" s="412">
        <v>408038</v>
      </c>
      <c r="M338" s="412"/>
      <c r="N338" s="412"/>
    </row>
    <row r="339" spans="1:14" s="39" customFormat="1" ht="27.75" customHeight="1">
      <c r="A339" s="427"/>
      <c r="B339" s="400"/>
      <c r="C339" s="428">
        <v>4309</v>
      </c>
      <c r="D339" s="429" t="s">
        <v>432</v>
      </c>
      <c r="E339" s="412">
        <f t="shared" si="49"/>
        <v>61256</v>
      </c>
      <c r="F339" s="412">
        <f t="shared" si="50"/>
        <v>61256</v>
      </c>
      <c r="G339" s="412"/>
      <c r="H339" s="412"/>
      <c r="I339" s="412"/>
      <c r="J339" s="412"/>
      <c r="K339" s="412"/>
      <c r="L339" s="412">
        <v>61256</v>
      </c>
      <c r="M339" s="412"/>
      <c r="N339" s="412"/>
    </row>
    <row r="340" spans="1:14" s="39" customFormat="1" ht="33.75" customHeight="1">
      <c r="A340" s="427"/>
      <c r="B340" s="400"/>
      <c r="C340" s="410">
        <v>4358</v>
      </c>
      <c r="D340" s="411" t="s">
        <v>341</v>
      </c>
      <c r="E340" s="412">
        <f t="shared" si="49"/>
        <v>739</v>
      </c>
      <c r="F340" s="412">
        <f t="shared" si="50"/>
        <v>739</v>
      </c>
      <c r="G340" s="412"/>
      <c r="H340" s="412"/>
      <c r="I340" s="412"/>
      <c r="J340" s="412"/>
      <c r="K340" s="412"/>
      <c r="L340" s="412">
        <v>739</v>
      </c>
      <c r="M340" s="412"/>
      <c r="N340" s="412"/>
    </row>
    <row r="341" spans="1:14" s="39" customFormat="1" ht="32.25" customHeight="1">
      <c r="A341" s="427"/>
      <c r="B341" s="400"/>
      <c r="C341" s="410">
        <v>4359</v>
      </c>
      <c r="D341" s="411" t="s">
        <v>341</v>
      </c>
      <c r="E341" s="412">
        <f t="shared" si="49"/>
        <v>130</v>
      </c>
      <c r="F341" s="412">
        <f t="shared" si="50"/>
        <v>130</v>
      </c>
      <c r="G341" s="412"/>
      <c r="H341" s="412"/>
      <c r="I341" s="412"/>
      <c r="J341" s="412"/>
      <c r="K341" s="412"/>
      <c r="L341" s="412">
        <v>130</v>
      </c>
      <c r="M341" s="412"/>
      <c r="N341" s="412"/>
    </row>
    <row r="342" spans="1:14" s="39" customFormat="1" ht="38.25">
      <c r="A342" s="427"/>
      <c r="B342" s="400"/>
      <c r="C342" s="428">
        <v>4368</v>
      </c>
      <c r="D342" s="429" t="s">
        <v>423</v>
      </c>
      <c r="E342" s="412">
        <f t="shared" si="49"/>
        <v>2489</v>
      </c>
      <c r="F342" s="412">
        <f t="shared" si="50"/>
        <v>2489</v>
      </c>
      <c r="G342" s="412"/>
      <c r="H342" s="412"/>
      <c r="I342" s="412"/>
      <c r="J342" s="412"/>
      <c r="K342" s="412"/>
      <c r="L342" s="412">
        <v>2489</v>
      </c>
      <c r="M342" s="412"/>
      <c r="N342" s="412"/>
    </row>
    <row r="343" spans="1:14" s="39" customFormat="1" ht="38.25">
      <c r="A343" s="427"/>
      <c r="B343" s="400"/>
      <c r="C343" s="428">
        <v>4369</v>
      </c>
      <c r="D343" s="429" t="s">
        <v>423</v>
      </c>
      <c r="E343" s="412">
        <f t="shared" si="49"/>
        <v>439</v>
      </c>
      <c r="F343" s="412">
        <f t="shared" si="50"/>
        <v>439</v>
      </c>
      <c r="G343" s="412"/>
      <c r="H343" s="412"/>
      <c r="I343" s="412"/>
      <c r="J343" s="412"/>
      <c r="K343" s="412"/>
      <c r="L343" s="412">
        <v>439</v>
      </c>
      <c r="M343" s="412"/>
      <c r="N343" s="412"/>
    </row>
    <row r="344" spans="1:14" s="39" customFormat="1" ht="38.25">
      <c r="A344" s="427"/>
      <c r="B344" s="400"/>
      <c r="C344" s="428">
        <v>4378</v>
      </c>
      <c r="D344" s="429" t="s">
        <v>416</v>
      </c>
      <c r="E344" s="412">
        <f t="shared" si="49"/>
        <v>2959</v>
      </c>
      <c r="F344" s="412">
        <f t="shared" si="50"/>
        <v>2959</v>
      </c>
      <c r="G344" s="412"/>
      <c r="H344" s="412"/>
      <c r="I344" s="412"/>
      <c r="J344" s="412"/>
      <c r="K344" s="412"/>
      <c r="L344" s="412">
        <v>2959</v>
      </c>
      <c r="M344" s="412"/>
      <c r="N344" s="412"/>
    </row>
    <row r="345" spans="1:14" s="39" customFormat="1" ht="38.25">
      <c r="A345" s="427"/>
      <c r="B345" s="400"/>
      <c r="C345" s="428">
        <v>4379</v>
      </c>
      <c r="D345" s="429" t="s">
        <v>416</v>
      </c>
      <c r="E345" s="412">
        <f t="shared" si="49"/>
        <v>522</v>
      </c>
      <c r="F345" s="412">
        <f t="shared" si="50"/>
        <v>522</v>
      </c>
      <c r="G345" s="412"/>
      <c r="H345" s="412"/>
      <c r="I345" s="412"/>
      <c r="J345" s="412"/>
      <c r="K345" s="412"/>
      <c r="L345" s="412">
        <v>522</v>
      </c>
      <c r="M345" s="412"/>
      <c r="N345" s="412"/>
    </row>
    <row r="346" spans="1:14" s="39" customFormat="1" ht="12.75">
      <c r="A346" s="427"/>
      <c r="B346" s="400"/>
      <c r="C346" s="410">
        <v>4418</v>
      </c>
      <c r="D346" s="411" t="s">
        <v>346</v>
      </c>
      <c r="E346" s="412">
        <f>F346+N346</f>
        <v>1856</v>
      </c>
      <c r="F346" s="412">
        <f>SUM(G346:M346)</f>
        <v>1856</v>
      </c>
      <c r="G346" s="412"/>
      <c r="H346" s="412"/>
      <c r="I346" s="412"/>
      <c r="J346" s="412"/>
      <c r="K346" s="412"/>
      <c r="L346" s="412">
        <v>1856</v>
      </c>
      <c r="M346" s="412"/>
      <c r="N346" s="412"/>
    </row>
    <row r="347" spans="1:14" s="39" customFormat="1" ht="12.75">
      <c r="A347" s="427"/>
      <c r="B347" s="400"/>
      <c r="C347" s="410">
        <v>4419</v>
      </c>
      <c r="D347" s="411" t="s">
        <v>346</v>
      </c>
      <c r="E347" s="412">
        <f>F347+N347</f>
        <v>328</v>
      </c>
      <c r="F347" s="412">
        <f>SUM(G347:M347)</f>
        <v>328</v>
      </c>
      <c r="G347" s="412"/>
      <c r="H347" s="412"/>
      <c r="I347" s="412"/>
      <c r="J347" s="412"/>
      <c r="K347" s="412"/>
      <c r="L347" s="412">
        <v>328</v>
      </c>
      <c r="M347" s="412"/>
      <c r="N347" s="412"/>
    </row>
    <row r="348" spans="1:14" s="39" customFormat="1" ht="51">
      <c r="A348" s="427"/>
      <c r="B348" s="400"/>
      <c r="C348" s="410">
        <v>4748</v>
      </c>
      <c r="D348" s="411" t="s">
        <v>374</v>
      </c>
      <c r="E348" s="412">
        <f t="shared" si="49"/>
        <v>5663</v>
      </c>
      <c r="F348" s="412">
        <f t="shared" si="50"/>
        <v>5663</v>
      </c>
      <c r="G348" s="412"/>
      <c r="H348" s="412"/>
      <c r="I348" s="412"/>
      <c r="J348" s="412"/>
      <c r="K348" s="412"/>
      <c r="L348" s="412">
        <v>5663</v>
      </c>
      <c r="M348" s="412"/>
      <c r="N348" s="412"/>
    </row>
    <row r="349" spans="1:14" s="39" customFormat="1" ht="51">
      <c r="A349" s="427"/>
      <c r="B349" s="400"/>
      <c r="C349" s="410">
        <v>4749</v>
      </c>
      <c r="D349" s="411" t="s">
        <v>374</v>
      </c>
      <c r="E349" s="412">
        <f t="shared" si="49"/>
        <v>999</v>
      </c>
      <c r="F349" s="412">
        <f t="shared" si="50"/>
        <v>999</v>
      </c>
      <c r="G349" s="412"/>
      <c r="H349" s="412"/>
      <c r="I349" s="412"/>
      <c r="J349" s="412"/>
      <c r="K349" s="412"/>
      <c r="L349" s="412">
        <v>999</v>
      </c>
      <c r="M349" s="412"/>
      <c r="N349" s="412"/>
    </row>
    <row r="350" spans="1:14" s="39" customFormat="1" ht="38.25">
      <c r="A350" s="427"/>
      <c r="B350" s="400"/>
      <c r="C350" s="428">
        <v>4758</v>
      </c>
      <c r="D350" s="429" t="s">
        <v>417</v>
      </c>
      <c r="E350" s="412">
        <f t="shared" si="49"/>
        <v>3995</v>
      </c>
      <c r="F350" s="412">
        <f t="shared" si="50"/>
        <v>3995</v>
      </c>
      <c r="G350" s="412"/>
      <c r="H350" s="412"/>
      <c r="I350" s="412"/>
      <c r="J350" s="412"/>
      <c r="K350" s="412"/>
      <c r="L350" s="39">
        <v>3995</v>
      </c>
      <c r="M350" s="412"/>
      <c r="N350" s="412"/>
    </row>
    <row r="351" spans="1:14" s="39" customFormat="1" ht="38.25">
      <c r="A351" s="427"/>
      <c r="B351" s="400"/>
      <c r="C351" s="428">
        <v>4759</v>
      </c>
      <c r="D351" s="429" t="s">
        <v>417</v>
      </c>
      <c r="E351" s="412">
        <f t="shared" si="49"/>
        <v>645</v>
      </c>
      <c r="F351" s="412">
        <f t="shared" si="50"/>
        <v>645</v>
      </c>
      <c r="G351" s="412"/>
      <c r="H351" s="412"/>
      <c r="I351" s="412"/>
      <c r="J351" s="412"/>
      <c r="K351" s="412"/>
      <c r="L351" s="117">
        <v>645</v>
      </c>
      <c r="M351" s="412"/>
      <c r="N351" s="412"/>
    </row>
    <row r="352" spans="1:14" s="404" customFormat="1" ht="12.75">
      <c r="A352" s="400">
        <v>851</v>
      </c>
      <c r="B352" s="400"/>
      <c r="C352" s="401"/>
      <c r="D352" s="417" t="s">
        <v>434</v>
      </c>
      <c r="E352" s="403">
        <f t="shared" si="49"/>
        <v>1224000</v>
      </c>
      <c r="F352" s="403">
        <f t="shared" si="50"/>
        <v>1224000</v>
      </c>
      <c r="G352" s="403">
        <f>SUM(G355+G353)</f>
        <v>0</v>
      </c>
      <c r="H352" s="403">
        <f aca="true" t="shared" si="56" ref="H352:N352">SUM(H355+H353)</f>
        <v>0</v>
      </c>
      <c r="I352" s="403">
        <f t="shared" si="56"/>
        <v>0</v>
      </c>
      <c r="J352" s="403">
        <f t="shared" si="56"/>
        <v>0</v>
      </c>
      <c r="K352" s="403">
        <f t="shared" si="56"/>
        <v>0</v>
      </c>
      <c r="L352" s="403">
        <f t="shared" si="56"/>
        <v>0</v>
      </c>
      <c r="M352" s="403">
        <f t="shared" si="56"/>
        <v>1224000</v>
      </c>
      <c r="N352" s="403">
        <f t="shared" si="56"/>
        <v>0</v>
      </c>
    </row>
    <row r="353" spans="1:14" s="63" customFormat="1" ht="76.5">
      <c r="A353" s="405"/>
      <c r="B353" s="405">
        <v>85156</v>
      </c>
      <c r="C353" s="406"/>
      <c r="D353" s="416" t="s">
        <v>435</v>
      </c>
      <c r="E353" s="408">
        <f t="shared" si="49"/>
        <v>1174000</v>
      </c>
      <c r="F353" s="408">
        <f t="shared" si="50"/>
        <v>1174000</v>
      </c>
      <c r="G353" s="408">
        <f aca="true" t="shared" si="57" ref="G353:M353">SUM(G354)</f>
        <v>0</v>
      </c>
      <c r="H353" s="408">
        <f t="shared" si="57"/>
        <v>0</v>
      </c>
      <c r="I353" s="408">
        <f t="shared" si="57"/>
        <v>0</v>
      </c>
      <c r="J353" s="408">
        <f t="shared" si="57"/>
        <v>0</v>
      </c>
      <c r="K353" s="408">
        <f t="shared" si="57"/>
        <v>0</v>
      </c>
      <c r="L353" s="408">
        <f t="shared" si="57"/>
        <v>0</v>
      </c>
      <c r="M353" s="408">
        <f t="shared" si="57"/>
        <v>1174000</v>
      </c>
      <c r="N353" s="408"/>
    </row>
    <row r="354" spans="1:14" s="39" customFormat="1" ht="25.5">
      <c r="A354" s="409"/>
      <c r="B354" s="409"/>
      <c r="C354" s="410">
        <v>4130</v>
      </c>
      <c r="D354" s="411" t="s">
        <v>436</v>
      </c>
      <c r="E354" s="412">
        <f t="shared" si="49"/>
        <v>1174000</v>
      </c>
      <c r="F354" s="412">
        <f t="shared" si="50"/>
        <v>1174000</v>
      </c>
      <c r="G354" s="412"/>
      <c r="H354" s="412"/>
      <c r="I354" s="412"/>
      <c r="J354" s="412"/>
      <c r="K354" s="412"/>
      <c r="L354" s="412"/>
      <c r="M354" s="412">
        <v>1174000</v>
      </c>
      <c r="N354" s="412"/>
    </row>
    <row r="355" spans="1:14" s="63" customFormat="1" ht="25.5">
      <c r="A355" s="405"/>
      <c r="B355" s="405">
        <v>85149</v>
      </c>
      <c r="C355" s="406"/>
      <c r="D355" s="416" t="s">
        <v>437</v>
      </c>
      <c r="E355" s="408">
        <f t="shared" si="49"/>
        <v>50000</v>
      </c>
      <c r="F355" s="408">
        <f t="shared" si="50"/>
        <v>50000</v>
      </c>
      <c r="G355" s="408">
        <f aca="true" t="shared" si="58" ref="G355:M355">G356</f>
        <v>0</v>
      </c>
      <c r="H355" s="408">
        <f t="shared" si="58"/>
        <v>0</v>
      </c>
      <c r="I355" s="408">
        <f t="shared" si="58"/>
        <v>0</v>
      </c>
      <c r="J355" s="408">
        <f t="shared" si="58"/>
        <v>0</v>
      </c>
      <c r="K355" s="408">
        <f t="shared" si="58"/>
        <v>0</v>
      </c>
      <c r="L355" s="408">
        <f t="shared" si="58"/>
        <v>0</v>
      </c>
      <c r="M355" s="408">
        <f t="shared" si="58"/>
        <v>50000</v>
      </c>
      <c r="N355" s="408"/>
    </row>
    <row r="356" spans="1:14" s="39" customFormat="1" ht="12.75">
      <c r="A356" s="409"/>
      <c r="B356" s="409"/>
      <c r="C356" s="410">
        <v>4280</v>
      </c>
      <c r="D356" s="411" t="s">
        <v>438</v>
      </c>
      <c r="E356" s="412">
        <f t="shared" si="49"/>
        <v>50000</v>
      </c>
      <c r="F356" s="412">
        <f t="shared" si="50"/>
        <v>50000</v>
      </c>
      <c r="G356" s="412"/>
      <c r="H356" s="412"/>
      <c r="I356" s="412"/>
      <c r="J356" s="412"/>
      <c r="K356" s="412"/>
      <c r="L356" s="412"/>
      <c r="M356" s="412">
        <v>50000</v>
      </c>
      <c r="N356" s="412"/>
    </row>
    <row r="357" spans="1:14" s="404" customFormat="1" ht="12.75">
      <c r="A357" s="400">
        <v>852</v>
      </c>
      <c r="B357" s="400"/>
      <c r="C357" s="401"/>
      <c r="D357" s="417" t="s">
        <v>439</v>
      </c>
      <c r="E357" s="403">
        <f t="shared" si="49"/>
        <v>15900912</v>
      </c>
      <c r="F357" s="403">
        <f t="shared" si="50"/>
        <v>15301392</v>
      </c>
      <c r="G357" s="403">
        <f aca="true" t="shared" si="59" ref="G357:N357">SUM(G358+G386+G414+G438+G444+G469+G481+G484)</f>
        <v>6503110</v>
      </c>
      <c r="H357" s="403">
        <f t="shared" si="59"/>
        <v>499600</v>
      </c>
      <c r="I357" s="403">
        <f t="shared" si="59"/>
        <v>1235380</v>
      </c>
      <c r="J357" s="403">
        <f t="shared" si="59"/>
        <v>445300</v>
      </c>
      <c r="K357" s="403">
        <f t="shared" si="59"/>
        <v>0</v>
      </c>
      <c r="L357" s="403">
        <f t="shared" si="59"/>
        <v>0</v>
      </c>
      <c r="M357" s="403">
        <f t="shared" si="59"/>
        <v>6618002</v>
      </c>
      <c r="N357" s="403">
        <f t="shared" si="59"/>
        <v>599520</v>
      </c>
    </row>
    <row r="358" spans="1:14" s="63" customFormat="1" ht="25.5">
      <c r="A358" s="405"/>
      <c r="B358" s="405">
        <v>85201</v>
      </c>
      <c r="C358" s="406"/>
      <c r="D358" s="416" t="s">
        <v>440</v>
      </c>
      <c r="E358" s="408">
        <f t="shared" si="49"/>
        <v>2149552</v>
      </c>
      <c r="F358" s="408">
        <f t="shared" si="50"/>
        <v>1619552</v>
      </c>
      <c r="G358" s="408">
        <f>SUM(G359:G385)</f>
        <v>746000</v>
      </c>
      <c r="H358" s="408">
        <f aca="true" t="shared" si="60" ref="H358:N358">SUM(H359:H385)</f>
        <v>56900</v>
      </c>
      <c r="I358" s="408">
        <f t="shared" si="60"/>
        <v>138900</v>
      </c>
      <c r="J358" s="408">
        <f t="shared" si="60"/>
        <v>318000</v>
      </c>
      <c r="K358" s="408">
        <f t="shared" si="60"/>
        <v>0</v>
      </c>
      <c r="L358" s="408">
        <f t="shared" si="60"/>
        <v>0</v>
      </c>
      <c r="M358" s="408">
        <f t="shared" si="60"/>
        <v>359752</v>
      </c>
      <c r="N358" s="408">
        <f t="shared" si="60"/>
        <v>530000</v>
      </c>
    </row>
    <row r="359" spans="1:14" s="39" customFormat="1" ht="85.5" customHeight="1">
      <c r="A359" s="409"/>
      <c r="B359" s="409"/>
      <c r="C359" s="410">
        <v>2320</v>
      </c>
      <c r="D359" s="411" t="s">
        <v>441</v>
      </c>
      <c r="E359" s="412">
        <f t="shared" si="49"/>
        <v>318000</v>
      </c>
      <c r="F359" s="412">
        <f>SUM(G359:K359)</f>
        <v>318000</v>
      </c>
      <c r="G359" s="412"/>
      <c r="H359" s="412"/>
      <c r="I359" s="412"/>
      <c r="J359" s="412">
        <v>318000</v>
      </c>
      <c r="K359" s="412"/>
      <c r="L359" s="412"/>
      <c r="M359" s="117"/>
      <c r="N359" s="412"/>
    </row>
    <row r="360" spans="1:14" s="39" customFormat="1" ht="34.5" customHeight="1">
      <c r="A360" s="409"/>
      <c r="B360" s="409"/>
      <c r="C360" s="410">
        <v>3020</v>
      </c>
      <c r="D360" s="411" t="s">
        <v>566</v>
      </c>
      <c r="E360" s="412">
        <f t="shared" si="49"/>
        <v>30600</v>
      </c>
      <c r="F360" s="412">
        <f t="shared" si="50"/>
        <v>30600</v>
      </c>
      <c r="G360" s="412"/>
      <c r="H360" s="412"/>
      <c r="I360" s="412"/>
      <c r="J360" s="412"/>
      <c r="K360" s="412"/>
      <c r="L360" s="412"/>
      <c r="M360" s="412">
        <v>30600</v>
      </c>
      <c r="N360" s="412"/>
    </row>
    <row r="361" spans="1:14" s="39" customFormat="1" ht="24.75" customHeight="1">
      <c r="A361" s="409"/>
      <c r="B361" s="409"/>
      <c r="C361" s="410">
        <v>3110</v>
      </c>
      <c r="D361" s="411" t="s">
        <v>442</v>
      </c>
      <c r="E361" s="412">
        <f t="shared" si="49"/>
        <v>112552</v>
      </c>
      <c r="F361" s="412">
        <f t="shared" si="50"/>
        <v>112552</v>
      </c>
      <c r="G361" s="412"/>
      <c r="H361" s="412"/>
      <c r="I361" s="412"/>
      <c r="J361" s="412"/>
      <c r="K361" s="412"/>
      <c r="L361" s="412"/>
      <c r="M361" s="412">
        <v>112552</v>
      </c>
      <c r="N361" s="412"/>
    </row>
    <row r="362" spans="1:14" s="39" customFormat="1" ht="25.5">
      <c r="A362" s="409"/>
      <c r="B362" s="409"/>
      <c r="C362" s="410">
        <v>4010</v>
      </c>
      <c r="D362" s="411" t="s">
        <v>332</v>
      </c>
      <c r="E362" s="412">
        <f t="shared" si="49"/>
        <v>746000</v>
      </c>
      <c r="F362" s="412">
        <f t="shared" si="50"/>
        <v>746000</v>
      </c>
      <c r="G362" s="412">
        <v>746000</v>
      </c>
      <c r="H362" s="412"/>
      <c r="I362" s="412"/>
      <c r="J362" s="412"/>
      <c r="K362" s="412"/>
      <c r="L362" s="412"/>
      <c r="M362" s="412"/>
      <c r="N362" s="412"/>
    </row>
    <row r="363" spans="1:14" s="39" customFormat="1" ht="25.5">
      <c r="A363" s="409"/>
      <c r="B363" s="409"/>
      <c r="C363" s="410">
        <v>4040</v>
      </c>
      <c r="D363" s="411" t="s">
        <v>333</v>
      </c>
      <c r="E363" s="412">
        <f t="shared" si="49"/>
        <v>56900</v>
      </c>
      <c r="F363" s="412">
        <f t="shared" si="50"/>
        <v>56900</v>
      </c>
      <c r="G363" s="412"/>
      <c r="H363" s="412">
        <v>56900</v>
      </c>
      <c r="I363" s="412"/>
      <c r="J363" s="412"/>
      <c r="K363" s="412"/>
      <c r="L363" s="412"/>
      <c r="M363" s="412"/>
      <c r="N363" s="412"/>
    </row>
    <row r="364" spans="1:14" s="39" customFormat="1" ht="25.5">
      <c r="A364" s="409"/>
      <c r="B364" s="409"/>
      <c r="C364" s="410">
        <v>4110</v>
      </c>
      <c r="D364" s="411" t="s">
        <v>334</v>
      </c>
      <c r="E364" s="412">
        <f t="shared" si="49"/>
        <v>119900</v>
      </c>
      <c r="F364" s="412">
        <f t="shared" si="50"/>
        <v>119900</v>
      </c>
      <c r="G364" s="412"/>
      <c r="H364" s="412"/>
      <c r="I364" s="412">
        <v>119900</v>
      </c>
      <c r="J364" s="412"/>
      <c r="K364" s="412"/>
      <c r="L364" s="412"/>
      <c r="M364" s="412"/>
      <c r="N364" s="412"/>
    </row>
    <row r="365" spans="1:14" s="39" customFormat="1" ht="12.75">
      <c r="A365" s="409"/>
      <c r="B365" s="409"/>
      <c r="C365" s="410">
        <v>4120</v>
      </c>
      <c r="D365" s="411" t="s">
        <v>335</v>
      </c>
      <c r="E365" s="412">
        <f t="shared" si="49"/>
        <v>19000</v>
      </c>
      <c r="F365" s="412">
        <f t="shared" si="50"/>
        <v>19000</v>
      </c>
      <c r="G365" s="412"/>
      <c r="H365" s="412"/>
      <c r="I365" s="412">
        <v>19000</v>
      </c>
      <c r="J365" s="412"/>
      <c r="K365" s="412"/>
      <c r="L365" s="412"/>
      <c r="M365" s="412"/>
      <c r="N365" s="412"/>
    </row>
    <row r="366" spans="1:14" s="39" customFormat="1" ht="33" customHeight="1">
      <c r="A366" s="427"/>
      <c r="B366" s="400"/>
      <c r="C366" s="428">
        <v>4170</v>
      </c>
      <c r="D366" s="429" t="s">
        <v>371</v>
      </c>
      <c r="E366" s="412">
        <f>F366+N366</f>
        <v>20000</v>
      </c>
      <c r="F366" s="412">
        <f>SUM(G366:M366)</f>
        <v>20000</v>
      </c>
      <c r="G366" s="412"/>
      <c r="H366" s="412"/>
      <c r="I366" s="430"/>
      <c r="J366" s="412"/>
      <c r="K366" s="412"/>
      <c r="L366" s="430"/>
      <c r="M366" s="412">
        <v>20000</v>
      </c>
      <c r="N366" s="412"/>
    </row>
    <row r="367" spans="1:14" s="39" customFormat="1" ht="25.5">
      <c r="A367" s="409"/>
      <c r="B367" s="409"/>
      <c r="C367" s="410">
        <v>4210</v>
      </c>
      <c r="D367" s="411" t="s">
        <v>337</v>
      </c>
      <c r="E367" s="412">
        <f t="shared" si="49"/>
        <v>38300</v>
      </c>
      <c r="F367" s="412">
        <f t="shared" si="50"/>
        <v>38300</v>
      </c>
      <c r="G367" s="412"/>
      <c r="H367" s="412"/>
      <c r="I367" s="412"/>
      <c r="J367" s="412"/>
      <c r="K367" s="412"/>
      <c r="L367" s="412"/>
      <c r="M367" s="412">
        <v>38300</v>
      </c>
      <c r="N367" s="412"/>
    </row>
    <row r="368" spans="1:14" s="39" customFormat="1" ht="12.75">
      <c r="A368" s="409"/>
      <c r="B368" s="409"/>
      <c r="C368" s="410">
        <v>4220</v>
      </c>
      <c r="D368" s="411" t="s">
        <v>443</v>
      </c>
      <c r="E368" s="412">
        <f t="shared" si="49"/>
        <v>47300</v>
      </c>
      <c r="F368" s="412">
        <f t="shared" si="50"/>
        <v>47300</v>
      </c>
      <c r="G368" s="412"/>
      <c r="H368" s="412"/>
      <c r="I368" s="412"/>
      <c r="J368" s="412"/>
      <c r="K368" s="412"/>
      <c r="L368" s="412"/>
      <c r="M368" s="412">
        <v>47300</v>
      </c>
      <c r="N368" s="412"/>
    </row>
    <row r="369" spans="1:14" s="39" customFormat="1" ht="38.25">
      <c r="A369" s="409"/>
      <c r="B369" s="409"/>
      <c r="C369" s="410">
        <v>4230</v>
      </c>
      <c r="D369" s="411" t="s">
        <v>9</v>
      </c>
      <c r="E369" s="412">
        <f t="shared" si="49"/>
        <v>2100</v>
      </c>
      <c r="F369" s="412">
        <f t="shared" si="50"/>
        <v>2100</v>
      </c>
      <c r="G369" s="412"/>
      <c r="H369" s="412"/>
      <c r="I369" s="412"/>
      <c r="J369" s="412"/>
      <c r="K369" s="412"/>
      <c r="L369" s="412"/>
      <c r="M369" s="412">
        <v>2100</v>
      </c>
      <c r="N369" s="412"/>
    </row>
    <row r="370" spans="1:14" s="39" customFormat="1" ht="25.5">
      <c r="A370" s="409"/>
      <c r="B370" s="409"/>
      <c r="C370" s="410">
        <v>4240</v>
      </c>
      <c r="D370" s="411" t="s">
        <v>415</v>
      </c>
      <c r="E370" s="412">
        <f t="shared" si="49"/>
        <v>2100</v>
      </c>
      <c r="F370" s="412">
        <f t="shared" si="50"/>
        <v>2100</v>
      </c>
      <c r="G370" s="412"/>
      <c r="H370" s="412"/>
      <c r="I370" s="412"/>
      <c r="J370" s="412"/>
      <c r="K370" s="412"/>
      <c r="L370" s="412"/>
      <c r="M370" s="412">
        <v>2100</v>
      </c>
      <c r="N370" s="412"/>
    </row>
    <row r="371" spans="1:14" s="39" customFormat="1" ht="12.75">
      <c r="A371" s="409"/>
      <c r="B371" s="409"/>
      <c r="C371" s="410">
        <v>4260</v>
      </c>
      <c r="D371" s="411" t="s">
        <v>338</v>
      </c>
      <c r="E371" s="412">
        <f t="shared" si="49"/>
        <v>25000</v>
      </c>
      <c r="F371" s="412">
        <f t="shared" si="50"/>
        <v>25000</v>
      </c>
      <c r="G371" s="412"/>
      <c r="H371" s="412"/>
      <c r="I371" s="412"/>
      <c r="J371" s="412"/>
      <c r="K371" s="412"/>
      <c r="L371" s="412"/>
      <c r="M371" s="412">
        <v>25000</v>
      </c>
      <c r="N371" s="412"/>
    </row>
    <row r="372" spans="1:14" s="39" customFormat="1" ht="12.75">
      <c r="A372" s="409"/>
      <c r="B372" s="409"/>
      <c r="C372" s="410">
        <v>4270</v>
      </c>
      <c r="D372" s="411" t="s">
        <v>355</v>
      </c>
      <c r="E372" s="412">
        <f t="shared" si="49"/>
        <v>6300</v>
      </c>
      <c r="F372" s="412">
        <f t="shared" si="50"/>
        <v>6300</v>
      </c>
      <c r="G372" s="412"/>
      <c r="H372" s="412"/>
      <c r="I372" s="412"/>
      <c r="J372" s="412"/>
      <c r="K372" s="412"/>
      <c r="L372" s="412"/>
      <c r="M372" s="412">
        <v>6300</v>
      </c>
      <c r="N372" s="412"/>
    </row>
    <row r="373" spans="1:14" s="39" customFormat="1" ht="12.75">
      <c r="A373" s="409"/>
      <c r="B373" s="409"/>
      <c r="C373" s="410">
        <v>4280</v>
      </c>
      <c r="D373" s="411" t="s">
        <v>340</v>
      </c>
      <c r="E373" s="412">
        <f t="shared" si="49"/>
        <v>300</v>
      </c>
      <c r="F373" s="412">
        <f t="shared" si="50"/>
        <v>300</v>
      </c>
      <c r="G373" s="412"/>
      <c r="H373" s="412"/>
      <c r="I373" s="412"/>
      <c r="J373" s="412"/>
      <c r="K373" s="412"/>
      <c r="L373" s="412"/>
      <c r="M373" s="412">
        <v>300</v>
      </c>
      <c r="N373" s="412"/>
    </row>
    <row r="374" spans="1:14" s="39" customFormat="1" ht="12.75">
      <c r="A374" s="409"/>
      <c r="B374" s="409"/>
      <c r="C374" s="410">
        <v>4300</v>
      </c>
      <c r="D374" s="411" t="s">
        <v>382</v>
      </c>
      <c r="E374" s="412">
        <f t="shared" si="49"/>
        <v>16800</v>
      </c>
      <c r="F374" s="412">
        <f t="shared" si="50"/>
        <v>16800</v>
      </c>
      <c r="G374" s="412"/>
      <c r="H374" s="412"/>
      <c r="I374" s="412"/>
      <c r="J374" s="412"/>
      <c r="K374" s="412"/>
      <c r="L374" s="412"/>
      <c r="M374" s="412">
        <v>16800</v>
      </c>
      <c r="N374" s="412"/>
    </row>
    <row r="375" spans="1:14" s="39" customFormat="1" ht="25.5">
      <c r="A375" s="409"/>
      <c r="B375" s="409"/>
      <c r="C375" s="410">
        <v>4350</v>
      </c>
      <c r="D375" s="411" t="s">
        <v>341</v>
      </c>
      <c r="E375" s="412">
        <f aca="true" t="shared" si="61" ref="E375:E437">F375+N375</f>
        <v>1200</v>
      </c>
      <c r="F375" s="412">
        <f aca="true" t="shared" si="62" ref="F375:F437">SUM(G375:M375)</f>
        <v>1200</v>
      </c>
      <c r="G375" s="412"/>
      <c r="H375" s="412"/>
      <c r="I375" s="412"/>
      <c r="J375" s="412"/>
      <c r="K375" s="412"/>
      <c r="L375" s="412"/>
      <c r="M375" s="412">
        <v>1200</v>
      </c>
      <c r="N375" s="412"/>
    </row>
    <row r="376" spans="1:14" s="39" customFormat="1" ht="38.25">
      <c r="A376" s="409"/>
      <c r="B376" s="409"/>
      <c r="C376" s="410">
        <v>4360</v>
      </c>
      <c r="D376" s="411" t="s">
        <v>423</v>
      </c>
      <c r="E376" s="412">
        <f t="shared" si="61"/>
        <v>1300</v>
      </c>
      <c r="F376" s="412">
        <f t="shared" si="62"/>
        <v>1300</v>
      </c>
      <c r="G376" s="412"/>
      <c r="H376" s="412"/>
      <c r="I376" s="412"/>
      <c r="J376" s="412"/>
      <c r="K376" s="412"/>
      <c r="L376" s="412"/>
      <c r="M376" s="412">
        <v>1300</v>
      </c>
      <c r="N376" s="412"/>
    </row>
    <row r="377" spans="1:14" s="39" customFormat="1" ht="38.25">
      <c r="A377" s="409"/>
      <c r="B377" s="409"/>
      <c r="C377" s="410">
        <v>4370</v>
      </c>
      <c r="D377" s="411" t="s">
        <v>416</v>
      </c>
      <c r="E377" s="412">
        <f t="shared" si="61"/>
        <v>5200</v>
      </c>
      <c r="F377" s="412">
        <f t="shared" si="62"/>
        <v>5200</v>
      </c>
      <c r="G377" s="412"/>
      <c r="H377" s="412"/>
      <c r="I377" s="412"/>
      <c r="J377" s="412"/>
      <c r="K377" s="412"/>
      <c r="L377" s="412"/>
      <c r="M377" s="412">
        <v>5200</v>
      </c>
      <c r="N377" s="412"/>
    </row>
    <row r="378" spans="1:14" s="39" customFormat="1" ht="12.75">
      <c r="A378" s="409"/>
      <c r="B378" s="409"/>
      <c r="C378" s="410">
        <v>4410</v>
      </c>
      <c r="D378" s="411" t="s">
        <v>346</v>
      </c>
      <c r="E378" s="412">
        <f t="shared" si="61"/>
        <v>3200</v>
      </c>
      <c r="F378" s="412">
        <f t="shared" si="62"/>
        <v>3200</v>
      </c>
      <c r="G378" s="412"/>
      <c r="H378" s="412"/>
      <c r="I378" s="412"/>
      <c r="J378" s="412"/>
      <c r="K378" s="412"/>
      <c r="L378" s="412"/>
      <c r="M378" s="412">
        <v>3200</v>
      </c>
      <c r="N378" s="412"/>
    </row>
    <row r="379" spans="1:14" s="39" customFormat="1" ht="12.75">
      <c r="A379" s="409"/>
      <c r="B379" s="409"/>
      <c r="C379" s="410">
        <v>4430</v>
      </c>
      <c r="D379" s="411" t="s">
        <v>347</v>
      </c>
      <c r="E379" s="412">
        <f t="shared" si="61"/>
        <v>2600</v>
      </c>
      <c r="F379" s="412">
        <f t="shared" si="62"/>
        <v>2600</v>
      </c>
      <c r="G379" s="412"/>
      <c r="H379" s="412"/>
      <c r="I379" s="412"/>
      <c r="J379" s="412"/>
      <c r="K379" s="412"/>
      <c r="L379" s="412"/>
      <c r="M379" s="412">
        <v>2600</v>
      </c>
      <c r="N379" s="412"/>
    </row>
    <row r="380" spans="1:14" s="39" customFormat="1" ht="25.5">
      <c r="A380" s="409"/>
      <c r="B380" s="409"/>
      <c r="C380" s="410">
        <v>4440</v>
      </c>
      <c r="D380" s="411" t="s">
        <v>348</v>
      </c>
      <c r="E380" s="412">
        <f t="shared" si="61"/>
        <v>36600</v>
      </c>
      <c r="F380" s="412">
        <f t="shared" si="62"/>
        <v>36600</v>
      </c>
      <c r="G380" s="412"/>
      <c r="H380" s="412"/>
      <c r="I380" s="412"/>
      <c r="J380" s="412"/>
      <c r="K380" s="412"/>
      <c r="L380" s="412"/>
      <c r="M380" s="412">
        <v>36600</v>
      </c>
      <c r="N380" s="412"/>
    </row>
    <row r="381" spans="1:14" s="39" customFormat="1" ht="12.75">
      <c r="A381" s="409"/>
      <c r="B381" s="409"/>
      <c r="C381" s="410">
        <v>4480</v>
      </c>
      <c r="D381" s="411" t="s">
        <v>349</v>
      </c>
      <c r="E381" s="412">
        <f t="shared" si="61"/>
        <v>4600</v>
      </c>
      <c r="F381" s="412">
        <f t="shared" si="62"/>
        <v>4600</v>
      </c>
      <c r="G381" s="412"/>
      <c r="H381" s="412"/>
      <c r="I381" s="412"/>
      <c r="J381" s="412"/>
      <c r="K381" s="412"/>
      <c r="L381" s="412"/>
      <c r="M381" s="412">
        <v>4600</v>
      </c>
      <c r="N381" s="412"/>
    </row>
    <row r="382" spans="1:14" s="39" customFormat="1" ht="25.5">
      <c r="A382" s="409"/>
      <c r="B382" s="409"/>
      <c r="C382" s="410">
        <v>4520</v>
      </c>
      <c r="D382" s="411" t="s">
        <v>445</v>
      </c>
      <c r="E382" s="412">
        <f t="shared" si="61"/>
        <v>1300</v>
      </c>
      <c r="F382" s="412">
        <f t="shared" si="62"/>
        <v>1300</v>
      </c>
      <c r="G382" s="412"/>
      <c r="H382" s="412"/>
      <c r="I382" s="412"/>
      <c r="J382" s="412"/>
      <c r="K382" s="412"/>
      <c r="L382" s="412"/>
      <c r="M382" s="412">
        <v>1300</v>
      </c>
      <c r="N382" s="412"/>
    </row>
    <row r="383" spans="1:14" s="39" customFormat="1" ht="51">
      <c r="A383" s="409"/>
      <c r="B383" s="409"/>
      <c r="C383" s="410">
        <v>4740</v>
      </c>
      <c r="D383" s="411" t="s">
        <v>374</v>
      </c>
      <c r="E383" s="412">
        <f t="shared" si="61"/>
        <v>1300</v>
      </c>
      <c r="F383" s="412">
        <f t="shared" si="62"/>
        <v>1300</v>
      </c>
      <c r="G383" s="412"/>
      <c r="H383" s="412"/>
      <c r="I383" s="412"/>
      <c r="J383" s="412"/>
      <c r="K383" s="412"/>
      <c r="L383" s="412"/>
      <c r="M383" s="412">
        <v>1300</v>
      </c>
      <c r="N383" s="412"/>
    </row>
    <row r="384" spans="1:14" s="39" customFormat="1" ht="38.25">
      <c r="A384" s="409"/>
      <c r="B384" s="409"/>
      <c r="C384" s="410">
        <v>4750</v>
      </c>
      <c r="D384" s="411" t="s">
        <v>417</v>
      </c>
      <c r="E384" s="412">
        <f t="shared" si="61"/>
        <v>1100</v>
      </c>
      <c r="F384" s="412">
        <f t="shared" si="62"/>
        <v>1100</v>
      </c>
      <c r="G384" s="412"/>
      <c r="H384" s="412"/>
      <c r="I384" s="412"/>
      <c r="J384" s="412"/>
      <c r="K384" s="412"/>
      <c r="L384" s="412"/>
      <c r="M384" s="412">
        <v>1100</v>
      </c>
      <c r="N384" s="412"/>
    </row>
    <row r="385" spans="1:14" s="39" customFormat="1" ht="25.5">
      <c r="A385" s="427"/>
      <c r="B385" s="400"/>
      <c r="C385" s="410">
        <v>6050</v>
      </c>
      <c r="D385" s="411" t="s">
        <v>27</v>
      </c>
      <c r="E385" s="412">
        <f>F385+N385</f>
        <v>530000</v>
      </c>
      <c r="F385" s="412">
        <f>SUM(G385:M385)</f>
        <v>0</v>
      </c>
      <c r="G385" s="412"/>
      <c r="H385" s="412"/>
      <c r="I385" s="412"/>
      <c r="J385" s="412"/>
      <c r="K385" s="412"/>
      <c r="L385" s="412"/>
      <c r="M385" s="412"/>
      <c r="N385" s="412">
        <v>530000</v>
      </c>
    </row>
    <row r="386" spans="1:14" s="63" customFormat="1" ht="12.75">
      <c r="A386" s="426"/>
      <c r="B386" s="405">
        <v>85202</v>
      </c>
      <c r="C386" s="406"/>
      <c r="D386" s="416" t="s">
        <v>446</v>
      </c>
      <c r="E386" s="408">
        <f t="shared" si="61"/>
        <v>9985920</v>
      </c>
      <c r="F386" s="408">
        <f t="shared" si="62"/>
        <v>9935920</v>
      </c>
      <c r="G386" s="408">
        <f aca="true" t="shared" si="63" ref="G386:N386">SUM(G387:G413)</f>
        <v>4939200</v>
      </c>
      <c r="H386" s="408">
        <f t="shared" si="63"/>
        <v>386900</v>
      </c>
      <c r="I386" s="408">
        <f t="shared" si="63"/>
        <v>939800</v>
      </c>
      <c r="J386" s="408">
        <f t="shared" si="63"/>
        <v>0</v>
      </c>
      <c r="K386" s="408">
        <f t="shared" si="63"/>
        <v>0</v>
      </c>
      <c r="L386" s="408">
        <f t="shared" si="63"/>
        <v>0</v>
      </c>
      <c r="M386" s="408">
        <f t="shared" si="63"/>
        <v>3670020</v>
      </c>
      <c r="N386" s="408">
        <f t="shared" si="63"/>
        <v>50000</v>
      </c>
    </row>
    <row r="387" spans="1:14" s="39" customFormat="1" ht="47.25" customHeight="1">
      <c r="A387" s="427"/>
      <c r="B387" s="409"/>
      <c r="C387" s="410">
        <v>3020</v>
      </c>
      <c r="D387" s="411" t="s">
        <v>447</v>
      </c>
      <c r="E387" s="412">
        <f t="shared" si="61"/>
        <v>21900</v>
      </c>
      <c r="F387" s="412">
        <f t="shared" si="62"/>
        <v>21900</v>
      </c>
      <c r="G387" s="412"/>
      <c r="H387" s="412"/>
      <c r="I387" s="412"/>
      <c r="J387" s="412"/>
      <c r="K387" s="412"/>
      <c r="L387" s="412"/>
      <c r="M387" s="412">
        <v>21900</v>
      </c>
      <c r="N387" s="412"/>
    </row>
    <row r="388" spans="1:14" s="39" customFormat="1" ht="42.75" customHeight="1">
      <c r="A388" s="427"/>
      <c r="B388" s="409"/>
      <c r="C388" s="410">
        <v>4010</v>
      </c>
      <c r="D388" s="411" t="s">
        <v>332</v>
      </c>
      <c r="E388" s="412">
        <f t="shared" si="61"/>
        <v>4939200</v>
      </c>
      <c r="F388" s="412">
        <f t="shared" si="62"/>
        <v>4939200</v>
      </c>
      <c r="G388" s="412">
        <v>4939200</v>
      </c>
      <c r="H388" s="412"/>
      <c r="I388" s="412"/>
      <c r="J388" s="412"/>
      <c r="K388" s="412"/>
      <c r="L388" s="412"/>
      <c r="M388" s="412"/>
      <c r="N388" s="412"/>
    </row>
    <row r="389" spans="1:14" s="39" customFormat="1" ht="25.5">
      <c r="A389" s="427"/>
      <c r="B389" s="409"/>
      <c r="C389" s="410">
        <v>4040</v>
      </c>
      <c r="D389" s="411" t="s">
        <v>333</v>
      </c>
      <c r="E389" s="412">
        <f t="shared" si="61"/>
        <v>386900</v>
      </c>
      <c r="F389" s="412">
        <f t="shared" si="62"/>
        <v>386900</v>
      </c>
      <c r="G389" s="412"/>
      <c r="H389" s="412">
        <v>386900</v>
      </c>
      <c r="I389" s="412"/>
      <c r="J389" s="412"/>
      <c r="K389" s="412"/>
      <c r="L389" s="412"/>
      <c r="M389" s="412"/>
      <c r="N389" s="412"/>
    </row>
    <row r="390" spans="1:14" s="39" customFormat="1" ht="25.5">
      <c r="A390" s="427"/>
      <c r="B390" s="409"/>
      <c r="C390" s="410">
        <v>4110</v>
      </c>
      <c r="D390" s="411" t="s">
        <v>334</v>
      </c>
      <c r="E390" s="412">
        <f t="shared" si="61"/>
        <v>813300</v>
      </c>
      <c r="F390" s="412">
        <f t="shared" si="62"/>
        <v>813300</v>
      </c>
      <c r="G390" s="412"/>
      <c r="H390" s="412"/>
      <c r="I390" s="412">
        <v>813300</v>
      </c>
      <c r="J390" s="412"/>
      <c r="K390" s="412"/>
      <c r="L390" s="412"/>
      <c r="M390" s="412"/>
      <c r="N390" s="412"/>
    </row>
    <row r="391" spans="1:14" s="39" customFormat="1" ht="12.75">
      <c r="A391" s="427"/>
      <c r="B391" s="409"/>
      <c r="C391" s="410">
        <v>4120</v>
      </c>
      <c r="D391" s="411" t="s">
        <v>335</v>
      </c>
      <c r="E391" s="412">
        <f t="shared" si="61"/>
        <v>126500</v>
      </c>
      <c r="F391" s="412">
        <f t="shared" si="62"/>
        <v>126500</v>
      </c>
      <c r="G391" s="412"/>
      <c r="H391" s="412"/>
      <c r="I391" s="412">
        <v>126500</v>
      </c>
      <c r="J391" s="412"/>
      <c r="K391" s="412"/>
      <c r="L391" s="412"/>
      <c r="M391" s="412"/>
      <c r="N391" s="412"/>
    </row>
    <row r="392" spans="1:14" s="39" customFormat="1" ht="12.75">
      <c r="A392" s="427"/>
      <c r="B392" s="409"/>
      <c r="C392" s="410">
        <v>4140</v>
      </c>
      <c r="D392" s="411" t="s">
        <v>8</v>
      </c>
      <c r="E392" s="412">
        <f t="shared" si="61"/>
        <v>0</v>
      </c>
      <c r="F392" s="412">
        <f t="shared" si="62"/>
        <v>0</v>
      </c>
      <c r="G392" s="412"/>
      <c r="H392" s="412"/>
      <c r="I392" s="412"/>
      <c r="J392" s="412"/>
      <c r="K392" s="412"/>
      <c r="L392" s="412"/>
      <c r="M392" s="412"/>
      <c r="N392" s="412"/>
    </row>
    <row r="393" spans="1:14" s="39" customFormat="1" ht="12.75">
      <c r="A393" s="427"/>
      <c r="B393" s="409"/>
      <c r="C393" s="410">
        <v>4170</v>
      </c>
      <c r="D393" s="411" t="s">
        <v>448</v>
      </c>
      <c r="E393" s="412">
        <f t="shared" si="61"/>
        <v>114200</v>
      </c>
      <c r="F393" s="412">
        <f t="shared" si="62"/>
        <v>114200</v>
      </c>
      <c r="G393" s="412"/>
      <c r="H393" s="412"/>
      <c r="I393" s="412"/>
      <c r="J393" s="412"/>
      <c r="K393" s="412"/>
      <c r="L393" s="412"/>
      <c r="M393" s="412">
        <v>114200</v>
      </c>
      <c r="N393" s="412"/>
    </row>
    <row r="394" spans="1:14" s="39" customFormat="1" ht="25.5">
      <c r="A394" s="427"/>
      <c r="B394" s="409"/>
      <c r="C394" s="410">
        <v>4210</v>
      </c>
      <c r="D394" s="411" t="s">
        <v>337</v>
      </c>
      <c r="E394" s="412">
        <f t="shared" si="61"/>
        <v>1138600</v>
      </c>
      <c r="F394" s="412">
        <f t="shared" si="62"/>
        <v>1138600</v>
      </c>
      <c r="G394" s="412"/>
      <c r="H394" s="412"/>
      <c r="I394" s="412"/>
      <c r="J394" s="412"/>
      <c r="K394" s="412"/>
      <c r="L394" s="412"/>
      <c r="M394" s="412">
        <v>1138600</v>
      </c>
      <c r="N394" s="412"/>
    </row>
    <row r="395" spans="1:14" s="39" customFormat="1" ht="12.75">
      <c r="A395" s="427"/>
      <c r="B395" s="409"/>
      <c r="C395" s="410">
        <v>4220</v>
      </c>
      <c r="D395" s="411" t="s">
        <v>443</v>
      </c>
      <c r="E395" s="412">
        <f t="shared" si="61"/>
        <v>521350</v>
      </c>
      <c r="F395" s="412">
        <f t="shared" si="62"/>
        <v>521350</v>
      </c>
      <c r="G395" s="412"/>
      <c r="H395" s="412"/>
      <c r="I395" s="412"/>
      <c r="J395" s="412"/>
      <c r="K395" s="412"/>
      <c r="L395" s="412"/>
      <c r="M395" s="412">
        <v>521350</v>
      </c>
      <c r="N395" s="412"/>
    </row>
    <row r="396" spans="1:14" s="39" customFormat="1" ht="38.25">
      <c r="A396" s="427"/>
      <c r="B396" s="409"/>
      <c r="C396" s="410">
        <v>4230</v>
      </c>
      <c r="D396" s="411" t="s">
        <v>9</v>
      </c>
      <c r="E396" s="412">
        <f t="shared" si="61"/>
        <v>214380</v>
      </c>
      <c r="F396" s="412">
        <f t="shared" si="62"/>
        <v>214380</v>
      </c>
      <c r="G396" s="412"/>
      <c r="H396" s="412"/>
      <c r="I396" s="412"/>
      <c r="J396" s="412"/>
      <c r="K396" s="412"/>
      <c r="L396" s="412"/>
      <c r="M396" s="412">
        <v>214380</v>
      </c>
      <c r="N396" s="412"/>
    </row>
    <row r="397" spans="1:14" s="39" customFormat="1" ht="12.75">
      <c r="A397" s="427"/>
      <c r="B397" s="409"/>
      <c r="C397" s="410">
        <v>4260</v>
      </c>
      <c r="D397" s="411" t="s">
        <v>338</v>
      </c>
      <c r="E397" s="412">
        <f t="shared" si="61"/>
        <v>247700</v>
      </c>
      <c r="F397" s="412">
        <f t="shared" si="62"/>
        <v>247700</v>
      </c>
      <c r="G397" s="412"/>
      <c r="H397" s="412"/>
      <c r="I397" s="412"/>
      <c r="J397" s="412"/>
      <c r="K397" s="412"/>
      <c r="L397" s="412"/>
      <c r="M397" s="412">
        <v>247700</v>
      </c>
      <c r="N397" s="412"/>
    </row>
    <row r="398" spans="1:14" s="39" customFormat="1" ht="12.75">
      <c r="A398" s="427"/>
      <c r="B398" s="409"/>
      <c r="C398" s="410">
        <v>4270</v>
      </c>
      <c r="D398" s="411" t="s">
        <v>339</v>
      </c>
      <c r="E398" s="412">
        <f t="shared" si="61"/>
        <v>91300</v>
      </c>
      <c r="F398" s="412">
        <f t="shared" si="62"/>
        <v>91300</v>
      </c>
      <c r="G398" s="412"/>
      <c r="H398" s="412"/>
      <c r="I398" s="412"/>
      <c r="J398" s="412"/>
      <c r="K398" s="412"/>
      <c r="L398" s="412"/>
      <c r="M398" s="412">
        <v>91300</v>
      </c>
      <c r="N398" s="412"/>
    </row>
    <row r="399" spans="1:14" s="39" customFormat="1" ht="12.75">
      <c r="A399" s="427"/>
      <c r="B399" s="409"/>
      <c r="C399" s="410">
        <v>4280</v>
      </c>
      <c r="D399" s="411" t="s">
        <v>340</v>
      </c>
      <c r="E399" s="412">
        <f t="shared" si="61"/>
        <v>13220</v>
      </c>
      <c r="F399" s="412">
        <f t="shared" si="62"/>
        <v>13220</v>
      </c>
      <c r="G399" s="412"/>
      <c r="H399" s="412"/>
      <c r="I399" s="412"/>
      <c r="J399" s="412"/>
      <c r="K399" s="412"/>
      <c r="L399" s="412"/>
      <c r="M399" s="412">
        <v>13220</v>
      </c>
      <c r="N399" s="412"/>
    </row>
    <row r="400" spans="1:14" s="39" customFormat="1" ht="12.75">
      <c r="A400" s="427"/>
      <c r="B400" s="409"/>
      <c r="C400" s="410">
        <v>4300</v>
      </c>
      <c r="D400" s="411" t="s">
        <v>320</v>
      </c>
      <c r="E400" s="412">
        <f t="shared" si="61"/>
        <v>929920</v>
      </c>
      <c r="F400" s="412">
        <f t="shared" si="62"/>
        <v>929920</v>
      </c>
      <c r="G400" s="412"/>
      <c r="H400" s="412"/>
      <c r="I400" s="412"/>
      <c r="J400" s="412"/>
      <c r="K400" s="412"/>
      <c r="L400" s="412"/>
      <c r="M400" s="412">
        <v>929920</v>
      </c>
      <c r="N400" s="412"/>
    </row>
    <row r="401" spans="1:14" s="39" customFormat="1" ht="25.5">
      <c r="A401" s="427"/>
      <c r="B401" s="409"/>
      <c r="C401" s="410">
        <v>4350</v>
      </c>
      <c r="D401" s="411" t="s">
        <v>341</v>
      </c>
      <c r="E401" s="412">
        <f t="shared" si="61"/>
        <v>7750</v>
      </c>
      <c r="F401" s="412">
        <f t="shared" si="62"/>
        <v>7750</v>
      </c>
      <c r="G401" s="412"/>
      <c r="H401" s="412"/>
      <c r="I401" s="412"/>
      <c r="J401" s="412"/>
      <c r="K401" s="412"/>
      <c r="L401" s="412"/>
      <c r="M401" s="412">
        <v>7750</v>
      </c>
      <c r="N401" s="412"/>
    </row>
    <row r="402" spans="1:14" s="39" customFormat="1" ht="38.25">
      <c r="A402" s="427"/>
      <c r="B402" s="409"/>
      <c r="C402" s="410">
        <v>4360</v>
      </c>
      <c r="D402" s="411" t="s">
        <v>423</v>
      </c>
      <c r="E402" s="412">
        <f t="shared" si="61"/>
        <v>15110</v>
      </c>
      <c r="F402" s="412">
        <f t="shared" si="62"/>
        <v>15110</v>
      </c>
      <c r="G402" s="412"/>
      <c r="H402" s="412"/>
      <c r="I402" s="412"/>
      <c r="J402" s="412"/>
      <c r="K402" s="412"/>
      <c r="L402" s="412"/>
      <c r="M402" s="412">
        <v>15110</v>
      </c>
      <c r="N402" s="412"/>
    </row>
    <row r="403" spans="1:14" s="39" customFormat="1" ht="48" customHeight="1">
      <c r="A403" s="427"/>
      <c r="B403" s="409"/>
      <c r="C403" s="410">
        <v>4370</v>
      </c>
      <c r="D403" s="411" t="s">
        <v>416</v>
      </c>
      <c r="E403" s="412">
        <f t="shared" si="61"/>
        <v>38950</v>
      </c>
      <c r="F403" s="412">
        <f t="shared" si="62"/>
        <v>38950</v>
      </c>
      <c r="G403" s="412"/>
      <c r="H403" s="412"/>
      <c r="I403" s="412"/>
      <c r="J403" s="412"/>
      <c r="K403" s="412"/>
      <c r="L403" s="412"/>
      <c r="M403" s="412">
        <v>38950</v>
      </c>
      <c r="N403" s="412"/>
    </row>
    <row r="404" spans="1:14" s="39" customFormat="1" ht="12.75">
      <c r="A404" s="427"/>
      <c r="B404" s="409"/>
      <c r="C404" s="410">
        <v>4410</v>
      </c>
      <c r="D404" s="411" t="s">
        <v>346</v>
      </c>
      <c r="E404" s="412">
        <f t="shared" si="61"/>
        <v>10260</v>
      </c>
      <c r="F404" s="412">
        <f t="shared" si="62"/>
        <v>10260</v>
      </c>
      <c r="G404" s="412"/>
      <c r="H404" s="412"/>
      <c r="I404" s="412"/>
      <c r="J404" s="412"/>
      <c r="K404" s="412"/>
      <c r="L404" s="412"/>
      <c r="M404" s="412">
        <v>10260</v>
      </c>
      <c r="N404" s="412"/>
    </row>
    <row r="405" spans="1:14" s="39" customFormat="1" ht="12.75">
      <c r="A405" s="427"/>
      <c r="B405" s="409"/>
      <c r="C405" s="410">
        <v>4430</v>
      </c>
      <c r="D405" s="411" t="s">
        <v>347</v>
      </c>
      <c r="E405" s="412">
        <f t="shared" si="61"/>
        <v>32430</v>
      </c>
      <c r="F405" s="412">
        <f t="shared" si="62"/>
        <v>32430</v>
      </c>
      <c r="G405" s="412"/>
      <c r="H405" s="412"/>
      <c r="I405" s="412"/>
      <c r="J405" s="412"/>
      <c r="K405" s="412"/>
      <c r="L405" s="412"/>
      <c r="M405" s="412">
        <v>32430</v>
      </c>
      <c r="N405" s="412"/>
    </row>
    <row r="406" spans="1:14" s="39" customFormat="1" ht="25.5">
      <c r="A406" s="427"/>
      <c r="B406" s="409"/>
      <c r="C406" s="410">
        <v>4440</v>
      </c>
      <c r="D406" s="411" t="s">
        <v>348</v>
      </c>
      <c r="E406" s="412">
        <f t="shared" si="61"/>
        <v>206050</v>
      </c>
      <c r="F406" s="412">
        <f t="shared" si="62"/>
        <v>206050</v>
      </c>
      <c r="G406" s="412"/>
      <c r="H406" s="412"/>
      <c r="I406" s="412"/>
      <c r="J406" s="412"/>
      <c r="K406" s="412"/>
      <c r="L406" s="412"/>
      <c r="M406" s="412">
        <v>206050</v>
      </c>
      <c r="N406" s="412"/>
    </row>
    <row r="407" spans="1:14" s="39" customFormat="1" ht="21" customHeight="1">
      <c r="A407" s="427"/>
      <c r="B407" s="409"/>
      <c r="C407" s="410">
        <v>4480</v>
      </c>
      <c r="D407" s="411" t="s">
        <v>349</v>
      </c>
      <c r="E407" s="412">
        <f t="shared" si="61"/>
        <v>32570</v>
      </c>
      <c r="F407" s="412">
        <f t="shared" si="62"/>
        <v>32570</v>
      </c>
      <c r="G407" s="412"/>
      <c r="H407" s="412"/>
      <c r="I407" s="412"/>
      <c r="J407" s="412"/>
      <c r="K407" s="412"/>
      <c r="L407" s="412"/>
      <c r="M407" s="412">
        <v>32570</v>
      </c>
      <c r="N407" s="412"/>
    </row>
    <row r="408" spans="1:14" s="39" customFormat="1" ht="47.25" customHeight="1">
      <c r="A408" s="427"/>
      <c r="B408" s="409"/>
      <c r="C408" s="410">
        <v>4520</v>
      </c>
      <c r="D408" s="411" t="s">
        <v>449</v>
      </c>
      <c r="E408" s="412">
        <f t="shared" si="61"/>
        <v>4600</v>
      </c>
      <c r="F408" s="412">
        <f t="shared" si="62"/>
        <v>4600</v>
      </c>
      <c r="G408" s="412"/>
      <c r="H408" s="412"/>
      <c r="I408" s="412"/>
      <c r="J408" s="412"/>
      <c r="K408" s="412"/>
      <c r="L408" s="412"/>
      <c r="M408" s="412">
        <v>4600</v>
      </c>
      <c r="N408" s="412"/>
    </row>
    <row r="409" spans="1:14" s="39" customFormat="1" ht="48" customHeight="1">
      <c r="A409" s="427"/>
      <c r="B409" s="409"/>
      <c r="C409" s="410">
        <v>4700</v>
      </c>
      <c r="D409" s="411" t="s">
        <v>565</v>
      </c>
      <c r="E409" s="412">
        <f t="shared" si="61"/>
        <v>14590</v>
      </c>
      <c r="F409" s="412">
        <f t="shared" si="62"/>
        <v>14590</v>
      </c>
      <c r="G409" s="412"/>
      <c r="H409" s="412"/>
      <c r="I409" s="412"/>
      <c r="J409" s="412"/>
      <c r="K409" s="412"/>
      <c r="L409" s="412"/>
      <c r="M409" s="412">
        <v>14590</v>
      </c>
      <c r="N409" s="412"/>
    </row>
    <row r="410" spans="1:14" s="39" customFormat="1" ht="51">
      <c r="A410" s="427"/>
      <c r="B410" s="409"/>
      <c r="C410" s="410">
        <v>4740</v>
      </c>
      <c r="D410" s="411" t="s">
        <v>374</v>
      </c>
      <c r="E410" s="412">
        <f t="shared" si="61"/>
        <v>7270</v>
      </c>
      <c r="F410" s="412">
        <f t="shared" si="62"/>
        <v>7270</v>
      </c>
      <c r="G410" s="412"/>
      <c r="H410" s="412"/>
      <c r="I410" s="412"/>
      <c r="J410" s="412"/>
      <c r="K410" s="412"/>
      <c r="L410" s="412"/>
      <c r="M410" s="412">
        <v>7270</v>
      </c>
      <c r="N410" s="412"/>
    </row>
    <row r="411" spans="1:14" s="39" customFormat="1" ht="38.25">
      <c r="A411" s="427"/>
      <c r="B411" s="409"/>
      <c r="C411" s="410">
        <v>4750</v>
      </c>
      <c r="D411" s="411" t="s">
        <v>417</v>
      </c>
      <c r="E411" s="412">
        <f t="shared" si="61"/>
        <v>7870</v>
      </c>
      <c r="F411" s="412">
        <f t="shared" si="62"/>
        <v>7870</v>
      </c>
      <c r="G411" s="412"/>
      <c r="H411" s="412"/>
      <c r="I411" s="412"/>
      <c r="J411" s="412"/>
      <c r="K411" s="412"/>
      <c r="L411" s="412"/>
      <c r="M411" s="412">
        <v>7870</v>
      </c>
      <c r="N411" s="412"/>
    </row>
    <row r="412" spans="1:14" s="39" customFormat="1" ht="37.5" customHeight="1">
      <c r="A412" s="400"/>
      <c r="B412" s="400"/>
      <c r="C412" s="410">
        <v>6050</v>
      </c>
      <c r="D412" s="418" t="s">
        <v>27</v>
      </c>
      <c r="E412" s="412">
        <f t="shared" si="61"/>
        <v>50000</v>
      </c>
      <c r="F412" s="412">
        <f t="shared" si="62"/>
        <v>0</v>
      </c>
      <c r="G412" s="412"/>
      <c r="H412" s="412"/>
      <c r="I412" s="412"/>
      <c r="J412" s="412"/>
      <c r="K412" s="412"/>
      <c r="L412" s="412"/>
      <c r="M412" s="412"/>
      <c r="N412" s="412">
        <v>50000</v>
      </c>
    </row>
    <row r="413" spans="1:14" s="39" customFormat="1" ht="15" customHeight="1" hidden="1">
      <c r="A413" s="400"/>
      <c r="B413" s="400"/>
      <c r="C413" s="410">
        <v>6060</v>
      </c>
      <c r="D413" s="418" t="s">
        <v>567</v>
      </c>
      <c r="E413" s="412">
        <f t="shared" si="61"/>
        <v>0</v>
      </c>
      <c r="F413" s="412">
        <f t="shared" si="62"/>
        <v>0</v>
      </c>
      <c r="G413" s="412"/>
      <c r="H413" s="412"/>
      <c r="I413" s="412"/>
      <c r="J413" s="412"/>
      <c r="K413" s="412"/>
      <c r="L413" s="412"/>
      <c r="M413" s="412"/>
      <c r="N413" s="412"/>
    </row>
    <row r="414" spans="1:14" s="63" customFormat="1" ht="12.75">
      <c r="A414" s="426"/>
      <c r="B414" s="405">
        <v>85203</v>
      </c>
      <c r="C414" s="406"/>
      <c r="D414" s="416" t="s">
        <v>450</v>
      </c>
      <c r="E414" s="408">
        <f t="shared" si="61"/>
        <v>750000</v>
      </c>
      <c r="F414" s="408">
        <f t="shared" si="62"/>
        <v>750000</v>
      </c>
      <c r="G414" s="408">
        <f aca="true" t="shared" si="64" ref="G414:N414">SUM(G415:G437)</f>
        <v>398400</v>
      </c>
      <c r="H414" s="408">
        <f t="shared" si="64"/>
        <v>31100</v>
      </c>
      <c r="I414" s="408">
        <f t="shared" si="64"/>
        <v>78390</v>
      </c>
      <c r="J414" s="408">
        <f t="shared" si="64"/>
        <v>0</v>
      </c>
      <c r="K414" s="408">
        <f t="shared" si="64"/>
        <v>0</v>
      </c>
      <c r="L414" s="408">
        <f t="shared" si="64"/>
        <v>0</v>
      </c>
      <c r="M414" s="408">
        <f t="shared" si="64"/>
        <v>242110</v>
      </c>
      <c r="N414" s="408">
        <f t="shared" si="64"/>
        <v>0</v>
      </c>
    </row>
    <row r="415" spans="1:14" s="39" customFormat="1" ht="25.5">
      <c r="A415" s="427"/>
      <c r="B415" s="409"/>
      <c r="C415" s="410">
        <v>3020</v>
      </c>
      <c r="D415" s="411" t="s">
        <v>447</v>
      </c>
      <c r="E415" s="412">
        <f t="shared" si="61"/>
        <v>810</v>
      </c>
      <c r="F415" s="412">
        <f t="shared" si="62"/>
        <v>810</v>
      </c>
      <c r="G415" s="412"/>
      <c r="H415" s="412"/>
      <c r="I415" s="412"/>
      <c r="J415" s="412"/>
      <c r="K415" s="412"/>
      <c r="L415" s="412"/>
      <c r="M415" s="412">
        <v>810</v>
      </c>
      <c r="N415" s="412"/>
    </row>
    <row r="416" spans="1:14" s="39" customFormat="1" ht="25.5">
      <c r="A416" s="427"/>
      <c r="B416" s="409"/>
      <c r="C416" s="410">
        <v>4010</v>
      </c>
      <c r="D416" s="411" t="s">
        <v>332</v>
      </c>
      <c r="E416" s="412">
        <f t="shared" si="61"/>
        <v>398400</v>
      </c>
      <c r="F416" s="412">
        <f t="shared" si="62"/>
        <v>398400</v>
      </c>
      <c r="G416" s="412">
        <v>398400</v>
      </c>
      <c r="H416" s="412"/>
      <c r="I416" s="412"/>
      <c r="J416" s="412"/>
      <c r="K416" s="412"/>
      <c r="L416" s="412"/>
      <c r="M416" s="412"/>
      <c r="N416" s="412"/>
    </row>
    <row r="417" spans="1:14" s="39" customFormat="1" ht="25.5">
      <c r="A417" s="427"/>
      <c r="B417" s="409"/>
      <c r="C417" s="410">
        <v>4040</v>
      </c>
      <c r="D417" s="411" t="s">
        <v>333</v>
      </c>
      <c r="E417" s="412">
        <f t="shared" si="61"/>
        <v>31100</v>
      </c>
      <c r="F417" s="412">
        <f t="shared" si="62"/>
        <v>31100</v>
      </c>
      <c r="G417" s="412"/>
      <c r="H417" s="412">
        <v>31100</v>
      </c>
      <c r="I417" s="412"/>
      <c r="J417" s="412"/>
      <c r="K417" s="412"/>
      <c r="L417" s="412"/>
      <c r="M417" s="412"/>
      <c r="N417" s="412"/>
    </row>
    <row r="418" spans="1:14" s="39" customFormat="1" ht="25.5">
      <c r="A418" s="427"/>
      <c r="B418" s="409"/>
      <c r="C418" s="410">
        <v>4110</v>
      </c>
      <c r="D418" s="411" t="s">
        <v>334</v>
      </c>
      <c r="E418" s="412">
        <f t="shared" si="61"/>
        <v>67870</v>
      </c>
      <c r="F418" s="412">
        <f t="shared" si="62"/>
        <v>67870</v>
      </c>
      <c r="G418" s="412"/>
      <c r="H418" s="412"/>
      <c r="I418" s="412">
        <v>67870</v>
      </c>
      <c r="J418" s="412"/>
      <c r="K418" s="412"/>
      <c r="L418" s="412"/>
      <c r="M418" s="412"/>
      <c r="N418" s="412"/>
    </row>
    <row r="419" spans="1:14" s="39" customFormat="1" ht="12.75">
      <c r="A419" s="427"/>
      <c r="B419" s="409"/>
      <c r="C419" s="410">
        <v>4120</v>
      </c>
      <c r="D419" s="411" t="s">
        <v>335</v>
      </c>
      <c r="E419" s="412">
        <f t="shared" si="61"/>
        <v>10520</v>
      </c>
      <c r="F419" s="412">
        <f t="shared" si="62"/>
        <v>10520</v>
      </c>
      <c r="G419" s="412"/>
      <c r="H419" s="412"/>
      <c r="I419" s="412">
        <v>10520</v>
      </c>
      <c r="J419" s="412"/>
      <c r="K419" s="412"/>
      <c r="L419" s="412"/>
      <c r="M419" s="412"/>
      <c r="N419" s="412"/>
    </row>
    <row r="420" spans="1:14" s="39" customFormat="1" ht="31.5" customHeight="1">
      <c r="A420" s="427"/>
      <c r="B420" s="409"/>
      <c r="C420" s="410">
        <v>4170</v>
      </c>
      <c r="D420" s="411" t="s">
        <v>448</v>
      </c>
      <c r="E420" s="412">
        <f t="shared" si="61"/>
        <v>8700</v>
      </c>
      <c r="F420" s="412">
        <f t="shared" si="62"/>
        <v>8700</v>
      </c>
      <c r="G420" s="412"/>
      <c r="H420" s="412"/>
      <c r="I420" s="412"/>
      <c r="J420" s="412"/>
      <c r="K420" s="412"/>
      <c r="L420" s="412"/>
      <c r="M420" s="412">
        <v>8700</v>
      </c>
      <c r="N420" s="412"/>
    </row>
    <row r="421" spans="1:14" s="39" customFormat="1" ht="32.25" customHeight="1">
      <c r="A421" s="427"/>
      <c r="B421" s="409"/>
      <c r="C421" s="410">
        <v>4210</v>
      </c>
      <c r="D421" s="411" t="s">
        <v>337</v>
      </c>
      <c r="E421" s="412">
        <f t="shared" si="61"/>
        <v>49520</v>
      </c>
      <c r="F421" s="412">
        <f t="shared" si="62"/>
        <v>49520</v>
      </c>
      <c r="G421" s="412"/>
      <c r="H421" s="412"/>
      <c r="I421" s="412"/>
      <c r="J421" s="412"/>
      <c r="K421" s="412"/>
      <c r="L421" s="412"/>
      <c r="M421" s="412">
        <v>49520</v>
      </c>
      <c r="N421" s="412"/>
    </row>
    <row r="422" spans="1:14" s="39" customFormat="1" ht="30" customHeight="1">
      <c r="A422" s="427"/>
      <c r="B422" s="409"/>
      <c r="C422" s="410">
        <v>4220</v>
      </c>
      <c r="D422" s="411" t="s">
        <v>443</v>
      </c>
      <c r="E422" s="412">
        <f t="shared" si="61"/>
        <v>84790</v>
      </c>
      <c r="F422" s="412">
        <f t="shared" si="62"/>
        <v>84790</v>
      </c>
      <c r="G422" s="412"/>
      <c r="H422" s="412"/>
      <c r="I422" s="412"/>
      <c r="J422" s="412"/>
      <c r="K422" s="412"/>
      <c r="L422" s="412"/>
      <c r="M422" s="412">
        <v>84790</v>
      </c>
      <c r="N422" s="412"/>
    </row>
    <row r="423" spans="1:14" s="39" customFormat="1" ht="25.5">
      <c r="A423" s="427"/>
      <c r="B423" s="409"/>
      <c r="C423" s="410">
        <v>4230</v>
      </c>
      <c r="D423" s="411" t="s">
        <v>444</v>
      </c>
      <c r="E423" s="412">
        <f t="shared" si="61"/>
        <v>100</v>
      </c>
      <c r="F423" s="412">
        <f t="shared" si="62"/>
        <v>100</v>
      </c>
      <c r="G423" s="412"/>
      <c r="H423" s="412"/>
      <c r="I423" s="412"/>
      <c r="J423" s="412"/>
      <c r="K423" s="412"/>
      <c r="L423" s="412"/>
      <c r="M423" s="412">
        <v>100</v>
      </c>
      <c r="N423" s="412"/>
    </row>
    <row r="424" spans="1:14" s="39" customFormat="1" ht="12.75">
      <c r="A424" s="427"/>
      <c r="B424" s="409"/>
      <c r="C424" s="410">
        <v>4260</v>
      </c>
      <c r="D424" s="411" t="s">
        <v>338</v>
      </c>
      <c r="E424" s="412">
        <f t="shared" si="61"/>
        <v>11400</v>
      </c>
      <c r="F424" s="412">
        <f t="shared" si="62"/>
        <v>11400</v>
      </c>
      <c r="G424" s="412"/>
      <c r="H424" s="412"/>
      <c r="I424" s="412"/>
      <c r="J424" s="412"/>
      <c r="K424" s="412"/>
      <c r="L424" s="412"/>
      <c r="M424" s="412">
        <v>11400</v>
      </c>
      <c r="N424" s="412"/>
    </row>
    <row r="425" spans="1:14" s="39" customFormat="1" ht="12.75">
      <c r="A425" s="427"/>
      <c r="B425" s="409"/>
      <c r="C425" s="410">
        <v>4270</v>
      </c>
      <c r="D425" s="411" t="s">
        <v>339</v>
      </c>
      <c r="E425" s="412">
        <f t="shared" si="61"/>
        <v>7400</v>
      </c>
      <c r="F425" s="412">
        <f t="shared" si="62"/>
        <v>7400</v>
      </c>
      <c r="G425" s="412"/>
      <c r="H425" s="412"/>
      <c r="I425" s="412"/>
      <c r="J425" s="412"/>
      <c r="K425" s="412"/>
      <c r="L425" s="412"/>
      <c r="M425" s="412">
        <v>7400</v>
      </c>
      <c r="N425" s="412"/>
    </row>
    <row r="426" spans="1:14" s="39" customFormat="1" ht="12.75">
      <c r="A426" s="427"/>
      <c r="B426" s="409"/>
      <c r="C426" s="410">
        <v>4280</v>
      </c>
      <c r="D426" s="411" t="s">
        <v>340</v>
      </c>
      <c r="E426" s="412">
        <f t="shared" si="61"/>
        <v>1200</v>
      </c>
      <c r="F426" s="412">
        <f t="shared" si="62"/>
        <v>1200</v>
      </c>
      <c r="G426" s="412"/>
      <c r="H426" s="412"/>
      <c r="I426" s="412"/>
      <c r="J426" s="412"/>
      <c r="K426" s="412"/>
      <c r="L426" s="412"/>
      <c r="M426" s="412">
        <v>1200</v>
      </c>
      <c r="N426" s="412"/>
    </row>
    <row r="427" spans="1:14" s="39" customFormat="1" ht="12.75">
      <c r="A427" s="427"/>
      <c r="B427" s="409"/>
      <c r="C427" s="410">
        <v>4300</v>
      </c>
      <c r="D427" s="411" t="s">
        <v>320</v>
      </c>
      <c r="E427" s="412">
        <f t="shared" si="61"/>
        <v>43000</v>
      </c>
      <c r="F427" s="412">
        <f t="shared" si="62"/>
        <v>43000</v>
      </c>
      <c r="G427" s="412"/>
      <c r="H427" s="412"/>
      <c r="I427" s="412"/>
      <c r="J427" s="412"/>
      <c r="K427" s="412"/>
      <c r="L427" s="412"/>
      <c r="M427" s="412">
        <v>43000</v>
      </c>
      <c r="N427" s="412"/>
    </row>
    <row r="428" spans="1:14" s="39" customFormat="1" ht="43.5" customHeight="1">
      <c r="A428" s="427"/>
      <c r="B428" s="409"/>
      <c r="C428" s="410">
        <v>4360</v>
      </c>
      <c r="D428" s="411" t="s">
        <v>423</v>
      </c>
      <c r="E428" s="412">
        <f t="shared" si="61"/>
        <v>500</v>
      </c>
      <c r="F428" s="412">
        <f t="shared" si="62"/>
        <v>500</v>
      </c>
      <c r="G428" s="412"/>
      <c r="H428" s="412"/>
      <c r="I428" s="412"/>
      <c r="J428" s="412"/>
      <c r="K428" s="412"/>
      <c r="L428" s="412"/>
      <c r="M428" s="412">
        <v>500</v>
      </c>
      <c r="N428" s="412"/>
    </row>
    <row r="429" spans="1:14" s="39" customFormat="1" ht="48" customHeight="1">
      <c r="A429" s="427"/>
      <c r="B429" s="409"/>
      <c r="C429" s="410">
        <v>4370</v>
      </c>
      <c r="D429" s="411" t="s">
        <v>416</v>
      </c>
      <c r="E429" s="412">
        <f t="shared" si="61"/>
        <v>2800</v>
      </c>
      <c r="F429" s="412">
        <f t="shared" si="62"/>
        <v>2800</v>
      </c>
      <c r="G429" s="412"/>
      <c r="H429" s="412"/>
      <c r="I429" s="412"/>
      <c r="J429" s="412"/>
      <c r="K429" s="412"/>
      <c r="L429" s="412"/>
      <c r="M429" s="412">
        <v>2800</v>
      </c>
      <c r="N429" s="412"/>
    </row>
    <row r="430" spans="1:14" s="39" customFormat="1" ht="24" customHeight="1">
      <c r="A430" s="427"/>
      <c r="B430" s="409"/>
      <c r="C430" s="410">
        <v>4410</v>
      </c>
      <c r="D430" s="411" t="s">
        <v>346</v>
      </c>
      <c r="E430" s="412">
        <f t="shared" si="61"/>
        <v>300</v>
      </c>
      <c r="F430" s="412">
        <f t="shared" si="62"/>
        <v>300</v>
      </c>
      <c r="G430" s="412"/>
      <c r="H430" s="412"/>
      <c r="I430" s="412"/>
      <c r="J430" s="412"/>
      <c r="K430" s="412"/>
      <c r="L430" s="412"/>
      <c r="M430" s="412">
        <v>300</v>
      </c>
      <c r="N430" s="412"/>
    </row>
    <row r="431" spans="1:14" s="39" customFormat="1" ht="21.75" customHeight="1">
      <c r="A431" s="427"/>
      <c r="B431" s="409"/>
      <c r="C431" s="410">
        <v>4430</v>
      </c>
      <c r="D431" s="411" t="s">
        <v>347</v>
      </c>
      <c r="E431" s="412">
        <f t="shared" si="61"/>
        <v>7700</v>
      </c>
      <c r="F431" s="412">
        <f t="shared" si="62"/>
        <v>7700</v>
      </c>
      <c r="G431" s="412"/>
      <c r="H431" s="412"/>
      <c r="I431" s="412"/>
      <c r="J431" s="412"/>
      <c r="K431" s="412"/>
      <c r="L431" s="412"/>
      <c r="M431" s="412">
        <v>7700</v>
      </c>
      <c r="N431" s="412"/>
    </row>
    <row r="432" spans="1:14" s="39" customFormat="1" ht="45.75" customHeight="1">
      <c r="A432" s="427"/>
      <c r="B432" s="409"/>
      <c r="C432" s="410">
        <v>4440</v>
      </c>
      <c r="D432" s="411" t="s">
        <v>348</v>
      </c>
      <c r="E432" s="412">
        <f t="shared" si="61"/>
        <v>15980</v>
      </c>
      <c r="F432" s="412">
        <f t="shared" si="62"/>
        <v>15980</v>
      </c>
      <c r="G432" s="412"/>
      <c r="H432" s="412"/>
      <c r="I432" s="412"/>
      <c r="J432" s="412"/>
      <c r="K432" s="412"/>
      <c r="L432" s="412"/>
      <c r="M432" s="412">
        <v>15980</v>
      </c>
      <c r="N432" s="412"/>
    </row>
    <row r="433" spans="1:14" s="39" customFormat="1" ht="12.75">
      <c r="A433" s="427"/>
      <c r="B433" s="409"/>
      <c r="C433" s="410">
        <v>4480</v>
      </c>
      <c r="D433" s="411" t="s">
        <v>349</v>
      </c>
      <c r="E433" s="412">
        <f t="shared" si="61"/>
        <v>2700</v>
      </c>
      <c r="F433" s="412">
        <f t="shared" si="62"/>
        <v>2700</v>
      </c>
      <c r="G433" s="412"/>
      <c r="H433" s="412"/>
      <c r="I433" s="412"/>
      <c r="J433" s="412"/>
      <c r="K433" s="412"/>
      <c r="L433" s="412"/>
      <c r="M433" s="412">
        <v>2700</v>
      </c>
      <c r="N433" s="412"/>
    </row>
    <row r="434" spans="1:14" s="39" customFormat="1" ht="37.5" customHeight="1">
      <c r="A434" s="427"/>
      <c r="B434" s="409"/>
      <c r="C434" s="410">
        <v>4520</v>
      </c>
      <c r="D434" s="411" t="s">
        <v>10</v>
      </c>
      <c r="E434" s="412">
        <f t="shared" si="61"/>
        <v>710</v>
      </c>
      <c r="F434" s="412">
        <f t="shared" si="62"/>
        <v>710</v>
      </c>
      <c r="G434" s="412"/>
      <c r="H434" s="412"/>
      <c r="I434" s="412"/>
      <c r="J434" s="412"/>
      <c r="K434" s="412"/>
      <c r="L434" s="412"/>
      <c r="M434" s="412">
        <v>710</v>
      </c>
      <c r="N434" s="412"/>
    </row>
    <row r="435" spans="1:14" s="39" customFormat="1" ht="48" customHeight="1">
      <c r="A435" s="427"/>
      <c r="B435" s="409"/>
      <c r="C435" s="410">
        <v>4700</v>
      </c>
      <c r="D435" s="411" t="s">
        <v>565</v>
      </c>
      <c r="E435" s="412">
        <f t="shared" si="61"/>
        <v>3200</v>
      </c>
      <c r="F435" s="412">
        <f t="shared" si="62"/>
        <v>3200</v>
      </c>
      <c r="G435" s="412"/>
      <c r="H435" s="412"/>
      <c r="I435" s="412"/>
      <c r="J435" s="412"/>
      <c r="K435" s="412"/>
      <c r="L435" s="412"/>
      <c r="M435" s="412">
        <v>3200</v>
      </c>
      <c r="N435" s="412"/>
    </row>
    <row r="436" spans="1:14" s="39" customFormat="1" ht="60.75" customHeight="1">
      <c r="A436" s="427"/>
      <c r="B436" s="409"/>
      <c r="C436" s="410">
        <v>4740</v>
      </c>
      <c r="D436" s="411" t="s">
        <v>374</v>
      </c>
      <c r="E436" s="412">
        <f t="shared" si="61"/>
        <v>1000</v>
      </c>
      <c r="F436" s="412">
        <f t="shared" si="62"/>
        <v>1000</v>
      </c>
      <c r="G436" s="412"/>
      <c r="H436" s="412"/>
      <c r="I436" s="412"/>
      <c r="J436" s="412"/>
      <c r="K436" s="412"/>
      <c r="L436" s="412"/>
      <c r="M436" s="412">
        <v>1000</v>
      </c>
      <c r="N436" s="412"/>
    </row>
    <row r="437" spans="1:14" s="39" customFormat="1" ht="50.25" customHeight="1">
      <c r="A437" s="427"/>
      <c r="B437" s="409"/>
      <c r="C437" s="410">
        <v>4750</v>
      </c>
      <c r="D437" s="411" t="s">
        <v>417</v>
      </c>
      <c r="E437" s="412">
        <f t="shared" si="61"/>
        <v>300</v>
      </c>
      <c r="F437" s="412">
        <f t="shared" si="62"/>
        <v>300</v>
      </c>
      <c r="G437" s="412"/>
      <c r="H437" s="412"/>
      <c r="I437" s="412"/>
      <c r="J437" s="412"/>
      <c r="K437" s="412"/>
      <c r="L437" s="412"/>
      <c r="M437" s="412">
        <v>300</v>
      </c>
      <c r="N437" s="412"/>
    </row>
    <row r="438" spans="1:14" s="63" customFormat="1" ht="12.75">
      <c r="A438" s="426"/>
      <c r="B438" s="405">
        <v>85204</v>
      </c>
      <c r="C438" s="406"/>
      <c r="D438" s="416" t="s">
        <v>451</v>
      </c>
      <c r="E438" s="408">
        <f aca="true" t="shared" si="65" ref="E438:E449">F438+N438</f>
        <v>2329580</v>
      </c>
      <c r="F438" s="408">
        <f aca="true" t="shared" si="66" ref="F438:F449">SUM(G438:M438)</f>
        <v>2329580</v>
      </c>
      <c r="G438" s="408">
        <f aca="true" t="shared" si="67" ref="G438:N438">SUM(G439:G443)</f>
        <v>0</v>
      </c>
      <c r="H438" s="408">
        <f t="shared" si="67"/>
        <v>0</v>
      </c>
      <c r="I438" s="408">
        <f t="shared" si="67"/>
        <v>0</v>
      </c>
      <c r="J438" s="408">
        <f t="shared" si="67"/>
        <v>127300</v>
      </c>
      <c r="K438" s="408">
        <f t="shared" si="67"/>
        <v>0</v>
      </c>
      <c r="L438" s="408">
        <f t="shared" si="67"/>
        <v>0</v>
      </c>
      <c r="M438" s="408">
        <f>SUM(M439:M443)</f>
        <v>2202280</v>
      </c>
      <c r="N438" s="408">
        <f t="shared" si="67"/>
        <v>0</v>
      </c>
    </row>
    <row r="439" spans="1:14" s="39" customFormat="1" ht="76.5">
      <c r="A439" s="427"/>
      <c r="B439" s="409"/>
      <c r="C439" s="410">
        <v>2320</v>
      </c>
      <c r="D439" s="411" t="s">
        <v>441</v>
      </c>
      <c r="E439" s="412">
        <f t="shared" si="65"/>
        <v>127300</v>
      </c>
      <c r="F439" s="412">
        <f t="shared" si="66"/>
        <v>127300</v>
      </c>
      <c r="G439" s="412"/>
      <c r="H439" s="412"/>
      <c r="I439" s="412"/>
      <c r="J439" s="412">
        <v>127300</v>
      </c>
      <c r="K439" s="412"/>
      <c r="L439" s="412"/>
      <c r="M439" s="412"/>
      <c r="N439" s="412"/>
    </row>
    <row r="440" spans="1:14" s="39" customFormat="1" ht="12.75">
      <c r="A440" s="427"/>
      <c r="B440" s="409"/>
      <c r="C440" s="410">
        <v>3110</v>
      </c>
      <c r="D440" s="411" t="s">
        <v>442</v>
      </c>
      <c r="E440" s="412">
        <f t="shared" si="65"/>
        <v>1945500</v>
      </c>
      <c r="F440" s="412">
        <f t="shared" si="66"/>
        <v>1945500</v>
      </c>
      <c r="G440" s="412"/>
      <c r="H440" s="412"/>
      <c r="I440" s="412"/>
      <c r="J440" s="412"/>
      <c r="K440" s="412"/>
      <c r="L440" s="412"/>
      <c r="M440" s="412">
        <v>1945500</v>
      </c>
      <c r="N440" s="412"/>
    </row>
    <row r="441" spans="1:14" s="39" customFormat="1" ht="25.5" customHeight="1">
      <c r="A441" s="427"/>
      <c r="B441" s="409"/>
      <c r="C441" s="410">
        <v>4170</v>
      </c>
      <c r="D441" s="411" t="s">
        <v>336</v>
      </c>
      <c r="E441" s="412">
        <f t="shared" si="65"/>
        <v>220580</v>
      </c>
      <c r="F441" s="412">
        <f t="shared" si="66"/>
        <v>220580</v>
      </c>
      <c r="G441" s="412"/>
      <c r="H441" s="412"/>
      <c r="I441" s="412"/>
      <c r="J441" s="412"/>
      <c r="K441" s="412"/>
      <c r="L441" s="412"/>
      <c r="M441" s="412">
        <v>220580</v>
      </c>
      <c r="N441" s="412"/>
    </row>
    <row r="442" spans="1:14" s="39" customFormat="1" ht="32.25" customHeight="1">
      <c r="A442" s="427"/>
      <c r="B442" s="409"/>
      <c r="C442" s="410">
        <v>4110</v>
      </c>
      <c r="D442" s="411" t="s">
        <v>412</v>
      </c>
      <c r="E442" s="412">
        <f t="shared" si="65"/>
        <v>30900</v>
      </c>
      <c r="F442" s="412">
        <f t="shared" si="66"/>
        <v>30900</v>
      </c>
      <c r="G442" s="412"/>
      <c r="H442" s="412"/>
      <c r="I442" s="412"/>
      <c r="J442" s="412"/>
      <c r="K442" s="412"/>
      <c r="L442" s="412"/>
      <c r="M442" s="412">
        <v>30900</v>
      </c>
      <c r="N442" s="412"/>
    </row>
    <row r="443" spans="1:14" s="39" customFormat="1" ht="19.5" customHeight="1">
      <c r="A443" s="427"/>
      <c r="B443" s="409"/>
      <c r="C443" s="410">
        <v>4120</v>
      </c>
      <c r="D443" s="411" t="s">
        <v>335</v>
      </c>
      <c r="E443" s="412">
        <f t="shared" si="65"/>
        <v>5300</v>
      </c>
      <c r="F443" s="412">
        <f t="shared" si="66"/>
        <v>5300</v>
      </c>
      <c r="G443" s="412"/>
      <c r="H443" s="412"/>
      <c r="I443" s="412"/>
      <c r="J443" s="412"/>
      <c r="K443" s="412"/>
      <c r="L443" s="412"/>
      <c r="M443" s="412">
        <v>5300</v>
      </c>
      <c r="N443" s="412"/>
    </row>
    <row r="444" spans="1:14" s="63" customFormat="1" ht="25.5">
      <c r="A444" s="426"/>
      <c r="B444" s="405">
        <v>85218</v>
      </c>
      <c r="C444" s="406"/>
      <c r="D444" s="416" t="s">
        <v>452</v>
      </c>
      <c r="E444" s="408">
        <f t="shared" si="65"/>
        <v>620890</v>
      </c>
      <c r="F444" s="408">
        <f t="shared" si="66"/>
        <v>601370</v>
      </c>
      <c r="G444" s="408">
        <f aca="true" t="shared" si="68" ref="G444:N444">SUM(G445:G468)</f>
        <v>378900</v>
      </c>
      <c r="H444" s="408">
        <f t="shared" si="68"/>
        <v>21500</v>
      </c>
      <c r="I444" s="408">
        <f t="shared" si="68"/>
        <v>70400</v>
      </c>
      <c r="J444" s="408">
        <f t="shared" si="68"/>
        <v>0</v>
      </c>
      <c r="K444" s="408">
        <f t="shared" si="68"/>
        <v>0</v>
      </c>
      <c r="L444" s="408">
        <f t="shared" si="68"/>
        <v>0</v>
      </c>
      <c r="M444" s="408">
        <f t="shared" si="68"/>
        <v>130570</v>
      </c>
      <c r="N444" s="408">
        <f t="shared" si="68"/>
        <v>19520</v>
      </c>
    </row>
    <row r="445" spans="1:14" s="39" customFormat="1" ht="25.5">
      <c r="A445" s="427"/>
      <c r="B445" s="409"/>
      <c r="C445" s="410">
        <v>3020</v>
      </c>
      <c r="D445" s="411" t="s">
        <v>566</v>
      </c>
      <c r="E445" s="412">
        <f t="shared" si="65"/>
        <v>1000</v>
      </c>
      <c r="F445" s="412">
        <f t="shared" si="66"/>
        <v>1000</v>
      </c>
      <c r="G445" s="412"/>
      <c r="H445" s="412"/>
      <c r="I445" s="412"/>
      <c r="J445" s="412"/>
      <c r="K445" s="412"/>
      <c r="L445" s="412"/>
      <c r="M445" s="412">
        <v>1000</v>
      </c>
      <c r="N445" s="412"/>
    </row>
    <row r="446" spans="1:14" s="39" customFormat="1" ht="25.5">
      <c r="A446" s="427"/>
      <c r="B446" s="409"/>
      <c r="C446" s="410">
        <v>4010</v>
      </c>
      <c r="D446" s="411" t="s">
        <v>332</v>
      </c>
      <c r="E446" s="412">
        <f t="shared" si="65"/>
        <v>378900</v>
      </c>
      <c r="F446" s="412">
        <f t="shared" si="66"/>
        <v>378900</v>
      </c>
      <c r="G446" s="412">
        <f>358700+20200</f>
        <v>378900</v>
      </c>
      <c r="H446" s="412"/>
      <c r="I446" s="412"/>
      <c r="J446" s="412"/>
      <c r="K446" s="412"/>
      <c r="L446" s="412"/>
      <c r="M446" s="412"/>
      <c r="N446" s="412"/>
    </row>
    <row r="447" spans="1:14" s="39" customFormat="1" ht="25.5">
      <c r="A447" s="427"/>
      <c r="B447" s="409"/>
      <c r="C447" s="410">
        <v>4040</v>
      </c>
      <c r="D447" s="411" t="s">
        <v>333</v>
      </c>
      <c r="E447" s="412">
        <f t="shared" si="65"/>
        <v>21500</v>
      </c>
      <c r="F447" s="412">
        <f t="shared" si="66"/>
        <v>21500</v>
      </c>
      <c r="G447" s="412"/>
      <c r="H447" s="412">
        <v>21500</v>
      </c>
      <c r="I447" s="412"/>
      <c r="J447" s="412"/>
      <c r="K447" s="412"/>
      <c r="L447" s="412"/>
      <c r="M447" s="412"/>
      <c r="N447" s="412"/>
    </row>
    <row r="448" spans="1:14" s="39" customFormat="1" ht="25.5">
      <c r="A448" s="427"/>
      <c r="B448" s="409"/>
      <c r="C448" s="410">
        <v>4110</v>
      </c>
      <c r="D448" s="411" t="s">
        <v>334</v>
      </c>
      <c r="E448" s="412">
        <f t="shared" si="65"/>
        <v>60800</v>
      </c>
      <c r="F448" s="412">
        <f t="shared" si="66"/>
        <v>60800</v>
      </c>
      <c r="G448" s="412"/>
      <c r="H448" s="412"/>
      <c r="I448" s="412">
        <f>58700+2100</f>
        <v>60800</v>
      </c>
      <c r="J448" s="412"/>
      <c r="K448" s="412"/>
      <c r="L448" s="412"/>
      <c r="M448" s="412"/>
      <c r="N448" s="412"/>
    </row>
    <row r="449" spans="1:14" s="39" customFormat="1" ht="12.75">
      <c r="A449" s="427"/>
      <c r="B449" s="409"/>
      <c r="C449" s="410">
        <v>4120</v>
      </c>
      <c r="D449" s="411" t="s">
        <v>335</v>
      </c>
      <c r="E449" s="412">
        <f t="shared" si="65"/>
        <v>9600</v>
      </c>
      <c r="F449" s="412">
        <f t="shared" si="66"/>
        <v>9600</v>
      </c>
      <c r="G449" s="412"/>
      <c r="H449" s="412"/>
      <c r="I449" s="412">
        <f>9300+300</f>
        <v>9600</v>
      </c>
      <c r="J449" s="412"/>
      <c r="K449" s="412"/>
      <c r="L449" s="412"/>
      <c r="M449" s="412"/>
      <c r="N449" s="412"/>
    </row>
    <row r="450" spans="1:14" s="39" customFormat="1" ht="12.75">
      <c r="A450" s="427"/>
      <c r="B450" s="409"/>
      <c r="C450" s="410">
        <v>4170</v>
      </c>
      <c r="D450" s="411" t="s">
        <v>448</v>
      </c>
      <c r="E450" s="412">
        <f aca="true" t="shared" si="69" ref="E450:E524">F450+N450</f>
        <v>7000</v>
      </c>
      <c r="F450" s="412">
        <f aca="true" t="shared" si="70" ref="F450:F524">SUM(G450:M450)</f>
        <v>7000</v>
      </c>
      <c r="G450" s="412"/>
      <c r="H450" s="412"/>
      <c r="I450" s="412"/>
      <c r="J450" s="412"/>
      <c r="K450" s="412"/>
      <c r="L450" s="412"/>
      <c r="M450" s="412">
        <v>7000</v>
      </c>
      <c r="N450" s="412"/>
    </row>
    <row r="451" spans="1:14" s="39" customFormat="1" ht="25.5">
      <c r="A451" s="427"/>
      <c r="B451" s="409"/>
      <c r="C451" s="410">
        <v>4210</v>
      </c>
      <c r="D451" s="411" t="s">
        <v>337</v>
      </c>
      <c r="E451" s="412">
        <f t="shared" si="69"/>
        <v>7700</v>
      </c>
      <c r="F451" s="412">
        <f t="shared" si="70"/>
        <v>7700</v>
      </c>
      <c r="G451" s="412"/>
      <c r="H451" s="412"/>
      <c r="I451" s="412"/>
      <c r="J451" s="412"/>
      <c r="K451" s="412"/>
      <c r="L451" s="412"/>
      <c r="M451" s="412">
        <v>7700</v>
      </c>
      <c r="N451" s="412"/>
    </row>
    <row r="452" spans="1:14" s="39" customFormat="1" ht="38.25">
      <c r="A452" s="427"/>
      <c r="B452" s="409"/>
      <c r="C452" s="410">
        <v>4230</v>
      </c>
      <c r="D452" s="411" t="s">
        <v>9</v>
      </c>
      <c r="E452" s="412">
        <f t="shared" si="69"/>
        <v>100</v>
      </c>
      <c r="F452" s="412">
        <f t="shared" si="70"/>
        <v>100</v>
      </c>
      <c r="G452" s="412"/>
      <c r="H452" s="412"/>
      <c r="I452" s="412"/>
      <c r="J452" s="412"/>
      <c r="K452" s="412"/>
      <c r="L452" s="412"/>
      <c r="M452" s="412">
        <v>100</v>
      </c>
      <c r="N452" s="412"/>
    </row>
    <row r="453" spans="1:14" s="39" customFormat="1" ht="12.75">
      <c r="A453" s="427"/>
      <c r="B453" s="409"/>
      <c r="C453" s="410">
        <v>4260</v>
      </c>
      <c r="D453" s="411" t="s">
        <v>338</v>
      </c>
      <c r="E453" s="412">
        <f t="shared" si="69"/>
        <v>6500</v>
      </c>
      <c r="F453" s="412">
        <f t="shared" si="70"/>
        <v>6500</v>
      </c>
      <c r="G453" s="412"/>
      <c r="H453" s="412"/>
      <c r="I453" s="412"/>
      <c r="J453" s="412"/>
      <c r="K453" s="412"/>
      <c r="L453" s="412"/>
      <c r="M453" s="412">
        <v>6500</v>
      </c>
      <c r="N453" s="412"/>
    </row>
    <row r="454" spans="1:14" s="39" customFormat="1" ht="12.75">
      <c r="A454" s="427"/>
      <c r="B454" s="409"/>
      <c r="C454" s="410">
        <v>4270</v>
      </c>
      <c r="D454" s="411" t="s">
        <v>339</v>
      </c>
      <c r="E454" s="412">
        <f t="shared" si="69"/>
        <v>1400</v>
      </c>
      <c r="F454" s="412">
        <f t="shared" si="70"/>
        <v>1400</v>
      </c>
      <c r="G454" s="412"/>
      <c r="H454" s="412"/>
      <c r="I454" s="412"/>
      <c r="J454" s="412"/>
      <c r="K454" s="412"/>
      <c r="L454" s="412"/>
      <c r="M454" s="412">
        <v>1400</v>
      </c>
      <c r="N454" s="412"/>
    </row>
    <row r="455" spans="1:14" s="39" customFormat="1" ht="12.75">
      <c r="A455" s="427"/>
      <c r="B455" s="409"/>
      <c r="C455" s="410">
        <v>4280</v>
      </c>
      <c r="D455" s="411" t="s">
        <v>340</v>
      </c>
      <c r="E455" s="412">
        <f t="shared" si="69"/>
        <v>1000</v>
      </c>
      <c r="F455" s="412">
        <f t="shared" si="70"/>
        <v>1000</v>
      </c>
      <c r="G455" s="412"/>
      <c r="H455" s="412"/>
      <c r="I455" s="412"/>
      <c r="J455" s="412"/>
      <c r="K455" s="412"/>
      <c r="L455" s="412"/>
      <c r="M455" s="412">
        <v>1000</v>
      </c>
      <c r="N455" s="412"/>
    </row>
    <row r="456" spans="1:14" s="39" customFormat="1" ht="12.75">
      <c r="A456" s="427"/>
      <c r="B456" s="409"/>
      <c r="C456" s="410">
        <v>4300</v>
      </c>
      <c r="D456" s="411" t="s">
        <v>320</v>
      </c>
      <c r="E456" s="412">
        <f t="shared" si="69"/>
        <v>21100</v>
      </c>
      <c r="F456" s="412">
        <f t="shared" si="70"/>
        <v>21100</v>
      </c>
      <c r="G456" s="412"/>
      <c r="H456" s="412"/>
      <c r="I456" s="412"/>
      <c r="J456" s="412"/>
      <c r="K456" s="412"/>
      <c r="L456" s="412"/>
      <c r="M456" s="412">
        <v>21100</v>
      </c>
      <c r="N456" s="412"/>
    </row>
    <row r="457" spans="1:14" s="39" customFormat="1" ht="37.5" customHeight="1">
      <c r="A457" s="427"/>
      <c r="B457" s="409"/>
      <c r="C457" s="410">
        <v>4350</v>
      </c>
      <c r="D457" s="411" t="s">
        <v>341</v>
      </c>
      <c r="E457" s="412">
        <f t="shared" si="69"/>
        <v>1700</v>
      </c>
      <c r="F457" s="412">
        <f t="shared" si="70"/>
        <v>1700</v>
      </c>
      <c r="G457" s="412"/>
      <c r="H457" s="412"/>
      <c r="I457" s="412"/>
      <c r="J457" s="412"/>
      <c r="K457" s="412"/>
      <c r="L457" s="412"/>
      <c r="M457" s="412">
        <v>1700</v>
      </c>
      <c r="N457" s="412"/>
    </row>
    <row r="458" spans="1:14" s="39" customFormat="1" ht="38.25">
      <c r="A458" s="427"/>
      <c r="B458" s="409"/>
      <c r="C458" s="410">
        <v>4360</v>
      </c>
      <c r="D458" s="411" t="s">
        <v>423</v>
      </c>
      <c r="E458" s="412">
        <f t="shared" si="69"/>
        <v>2500</v>
      </c>
      <c r="F458" s="412">
        <f t="shared" si="70"/>
        <v>2500</v>
      </c>
      <c r="G458" s="412"/>
      <c r="H458" s="412"/>
      <c r="I458" s="412"/>
      <c r="J458" s="412"/>
      <c r="K458" s="412"/>
      <c r="L458" s="412"/>
      <c r="M458" s="412">
        <v>2500</v>
      </c>
      <c r="N458" s="412"/>
    </row>
    <row r="459" spans="1:14" s="39" customFormat="1" ht="38.25">
      <c r="A459" s="427"/>
      <c r="B459" s="409"/>
      <c r="C459" s="410">
        <v>4370</v>
      </c>
      <c r="D459" s="411" t="s">
        <v>416</v>
      </c>
      <c r="E459" s="412">
        <f t="shared" si="69"/>
        <v>7700</v>
      </c>
      <c r="F459" s="412">
        <f t="shared" si="70"/>
        <v>7700</v>
      </c>
      <c r="G459" s="412"/>
      <c r="H459" s="412"/>
      <c r="I459" s="412"/>
      <c r="J459" s="412"/>
      <c r="K459" s="412"/>
      <c r="L459" s="412"/>
      <c r="M459" s="412">
        <v>7700</v>
      </c>
      <c r="N459" s="412"/>
    </row>
    <row r="460" spans="1:14" s="39" customFormat="1" ht="38.25">
      <c r="A460" s="427"/>
      <c r="B460" s="409"/>
      <c r="C460" s="410">
        <v>4400</v>
      </c>
      <c r="D460" s="411" t="s">
        <v>11</v>
      </c>
      <c r="E460" s="412">
        <f t="shared" si="69"/>
        <v>48600</v>
      </c>
      <c r="F460" s="412">
        <f t="shared" si="70"/>
        <v>48600</v>
      </c>
      <c r="G460" s="412"/>
      <c r="H460" s="412"/>
      <c r="I460" s="412"/>
      <c r="J460" s="412"/>
      <c r="K460" s="412"/>
      <c r="L460" s="412"/>
      <c r="M460" s="412">
        <v>48600</v>
      </c>
      <c r="N460" s="412"/>
    </row>
    <row r="461" spans="1:14" s="39" customFormat="1" ht="12.75">
      <c r="A461" s="427"/>
      <c r="B461" s="409"/>
      <c r="C461" s="410">
        <v>4410</v>
      </c>
      <c r="D461" s="411" t="s">
        <v>346</v>
      </c>
      <c r="E461" s="412">
        <f t="shared" si="69"/>
        <v>3100</v>
      </c>
      <c r="F461" s="412">
        <f t="shared" si="70"/>
        <v>3100</v>
      </c>
      <c r="G461" s="412"/>
      <c r="H461" s="412"/>
      <c r="I461" s="412"/>
      <c r="J461" s="412"/>
      <c r="K461" s="412"/>
      <c r="L461" s="412"/>
      <c r="M461" s="412">
        <v>3100</v>
      </c>
      <c r="N461" s="412"/>
    </row>
    <row r="462" spans="1:14" s="39" customFormat="1" ht="27" customHeight="1">
      <c r="A462" s="427"/>
      <c r="B462" s="409"/>
      <c r="C462" s="410">
        <v>4430</v>
      </c>
      <c r="D462" s="411" t="s">
        <v>347</v>
      </c>
      <c r="E462" s="412">
        <f t="shared" si="69"/>
        <v>300</v>
      </c>
      <c r="F462" s="412">
        <f t="shared" si="70"/>
        <v>300</v>
      </c>
      <c r="G462" s="412"/>
      <c r="H462" s="412"/>
      <c r="I462" s="412"/>
      <c r="J462" s="412"/>
      <c r="K462" s="412"/>
      <c r="L462" s="412"/>
      <c r="M462" s="412">
        <v>300</v>
      </c>
      <c r="N462" s="412"/>
    </row>
    <row r="463" spans="1:14" s="39" customFormat="1" ht="25.5">
      <c r="A463" s="427"/>
      <c r="B463" s="409"/>
      <c r="C463" s="410">
        <v>4440</v>
      </c>
      <c r="D463" s="411" t="s">
        <v>348</v>
      </c>
      <c r="E463" s="412">
        <f t="shared" si="69"/>
        <v>9870</v>
      </c>
      <c r="F463" s="412">
        <f t="shared" si="70"/>
        <v>9870</v>
      </c>
      <c r="G463" s="412"/>
      <c r="H463" s="412"/>
      <c r="I463" s="412"/>
      <c r="J463" s="412"/>
      <c r="K463" s="412"/>
      <c r="L463" s="412"/>
      <c r="M463" s="412">
        <v>9870</v>
      </c>
      <c r="N463" s="412"/>
    </row>
    <row r="464" spans="1:14" s="39" customFormat="1" ht="25.5">
      <c r="A464" s="427"/>
      <c r="B464" s="409"/>
      <c r="C464" s="410">
        <v>4510</v>
      </c>
      <c r="D464" s="411" t="s">
        <v>602</v>
      </c>
      <c r="E464" s="412">
        <f t="shared" si="69"/>
        <v>100</v>
      </c>
      <c r="F464" s="412">
        <f>SUM(G464:M464)</f>
        <v>100</v>
      </c>
      <c r="G464" s="412"/>
      <c r="H464" s="412"/>
      <c r="I464" s="412"/>
      <c r="J464" s="412"/>
      <c r="K464" s="412"/>
      <c r="L464" s="412"/>
      <c r="M464" s="412">
        <v>100</v>
      </c>
      <c r="N464" s="412"/>
    </row>
    <row r="465" spans="1:14" s="39" customFormat="1" ht="38.25">
      <c r="A465" s="427"/>
      <c r="B465" s="409"/>
      <c r="C465" s="410">
        <v>4700</v>
      </c>
      <c r="D465" s="411" t="s">
        <v>565</v>
      </c>
      <c r="E465" s="412">
        <f t="shared" si="69"/>
        <v>2600</v>
      </c>
      <c r="F465" s="412">
        <f t="shared" si="70"/>
        <v>2600</v>
      </c>
      <c r="G465" s="412"/>
      <c r="H465" s="412"/>
      <c r="I465" s="412"/>
      <c r="J465" s="412"/>
      <c r="K465" s="412"/>
      <c r="L465" s="412"/>
      <c r="M465" s="412">
        <v>2600</v>
      </c>
      <c r="N465" s="412"/>
    </row>
    <row r="466" spans="1:14" s="39" customFormat="1" ht="51">
      <c r="A466" s="427"/>
      <c r="B466" s="409"/>
      <c r="C466" s="410">
        <v>4740</v>
      </c>
      <c r="D466" s="411" t="s">
        <v>374</v>
      </c>
      <c r="E466" s="412">
        <f t="shared" si="69"/>
        <v>2100</v>
      </c>
      <c r="F466" s="412">
        <f t="shared" si="70"/>
        <v>2100</v>
      </c>
      <c r="G466" s="412"/>
      <c r="H466" s="412"/>
      <c r="I466" s="412"/>
      <c r="J466" s="412"/>
      <c r="K466" s="412"/>
      <c r="L466" s="412"/>
      <c r="M466" s="412">
        <v>2100</v>
      </c>
      <c r="N466" s="412"/>
    </row>
    <row r="467" spans="1:14" s="39" customFormat="1" ht="38.25">
      <c r="A467" s="427"/>
      <c r="B467" s="409"/>
      <c r="C467" s="410">
        <v>4750</v>
      </c>
      <c r="D467" s="411" t="s">
        <v>417</v>
      </c>
      <c r="E467" s="412">
        <f t="shared" si="69"/>
        <v>6200</v>
      </c>
      <c r="F467" s="412">
        <f t="shared" si="70"/>
        <v>6200</v>
      </c>
      <c r="G467" s="412"/>
      <c r="H467" s="412"/>
      <c r="I467" s="412"/>
      <c r="J467" s="412"/>
      <c r="K467" s="412"/>
      <c r="L467" s="412"/>
      <c r="M467" s="412">
        <v>6200</v>
      </c>
      <c r="N467" s="412"/>
    </row>
    <row r="468" spans="1:14" s="39" customFormat="1" ht="25.5">
      <c r="A468" s="400"/>
      <c r="B468" s="400"/>
      <c r="C468" s="410">
        <v>6050</v>
      </c>
      <c r="D468" s="418" t="s">
        <v>27</v>
      </c>
      <c r="E468" s="412">
        <f t="shared" si="69"/>
        <v>19520</v>
      </c>
      <c r="F468" s="412">
        <f t="shared" si="70"/>
        <v>0</v>
      </c>
      <c r="G468" s="412"/>
      <c r="H468" s="412"/>
      <c r="I468" s="412"/>
      <c r="J468" s="412"/>
      <c r="K468" s="412"/>
      <c r="L468" s="412"/>
      <c r="M468" s="412"/>
      <c r="N468" s="412">
        <v>19520</v>
      </c>
    </row>
    <row r="469" spans="1:14" s="63" customFormat="1" ht="63.75">
      <c r="A469" s="426"/>
      <c r="B469" s="405">
        <v>85220</v>
      </c>
      <c r="C469" s="406"/>
      <c r="D469" s="416" t="s">
        <v>453</v>
      </c>
      <c r="E469" s="408">
        <f t="shared" si="69"/>
        <v>57940</v>
      </c>
      <c r="F469" s="408">
        <f t="shared" si="70"/>
        <v>57940</v>
      </c>
      <c r="G469" s="408">
        <f aca="true" t="shared" si="71" ref="G469:L469">SUM(G470:G479)</f>
        <v>39600</v>
      </c>
      <c r="H469" s="408">
        <f t="shared" si="71"/>
        <v>3200</v>
      </c>
      <c r="I469" s="408">
        <f t="shared" si="71"/>
        <v>7700</v>
      </c>
      <c r="J469" s="408">
        <f t="shared" si="71"/>
        <v>0</v>
      </c>
      <c r="K469" s="408">
        <f t="shared" si="71"/>
        <v>0</v>
      </c>
      <c r="L469" s="408">
        <f t="shared" si="71"/>
        <v>0</v>
      </c>
      <c r="M469" s="408">
        <f>SUM(M470:M480)</f>
        <v>7440</v>
      </c>
      <c r="N469" s="408">
        <f>SUM(N470:N479)</f>
        <v>0</v>
      </c>
    </row>
    <row r="470" spans="1:14" s="39" customFormat="1" ht="25.5">
      <c r="A470" s="427"/>
      <c r="B470" s="409"/>
      <c r="C470" s="410">
        <v>4010</v>
      </c>
      <c r="D470" s="411" t="s">
        <v>332</v>
      </c>
      <c r="E470" s="412">
        <f t="shared" si="69"/>
        <v>39600</v>
      </c>
      <c r="F470" s="412">
        <f t="shared" si="70"/>
        <v>39600</v>
      </c>
      <c r="G470" s="412">
        <v>39600</v>
      </c>
      <c r="H470" s="412"/>
      <c r="I470" s="412"/>
      <c r="J470" s="412"/>
      <c r="K470" s="412"/>
      <c r="L470" s="412"/>
      <c r="M470" s="412"/>
      <c r="N470" s="412"/>
    </row>
    <row r="471" spans="1:14" s="39" customFormat="1" ht="25.5">
      <c r="A471" s="427"/>
      <c r="B471" s="409"/>
      <c r="C471" s="410">
        <v>4040</v>
      </c>
      <c r="D471" s="411" t="s">
        <v>333</v>
      </c>
      <c r="E471" s="412">
        <f t="shared" si="69"/>
        <v>3200</v>
      </c>
      <c r="F471" s="412">
        <f t="shared" si="70"/>
        <v>3200</v>
      </c>
      <c r="G471" s="412"/>
      <c r="H471" s="412">
        <v>3200</v>
      </c>
      <c r="I471" s="412"/>
      <c r="J471" s="412"/>
      <c r="K471" s="412"/>
      <c r="L471" s="412"/>
      <c r="M471" s="412"/>
      <c r="N471" s="412"/>
    </row>
    <row r="472" spans="1:14" s="39" customFormat="1" ht="25.5">
      <c r="A472" s="427"/>
      <c r="B472" s="409"/>
      <c r="C472" s="410">
        <v>4110</v>
      </c>
      <c r="D472" s="411" t="s">
        <v>334</v>
      </c>
      <c r="E472" s="412">
        <f t="shared" si="69"/>
        <v>6600</v>
      </c>
      <c r="F472" s="412">
        <f t="shared" si="70"/>
        <v>6600</v>
      </c>
      <c r="G472" s="412"/>
      <c r="H472" s="412"/>
      <c r="I472" s="412">
        <v>6600</v>
      </c>
      <c r="J472" s="412"/>
      <c r="K472" s="412"/>
      <c r="L472" s="412"/>
      <c r="M472" s="412"/>
      <c r="N472" s="412"/>
    </row>
    <row r="473" spans="1:14" s="39" customFormat="1" ht="12.75">
      <c r="A473" s="427"/>
      <c r="B473" s="409"/>
      <c r="C473" s="410">
        <v>4120</v>
      </c>
      <c r="D473" s="411" t="s">
        <v>335</v>
      </c>
      <c r="E473" s="412">
        <f t="shared" si="69"/>
        <v>1100</v>
      </c>
      <c r="F473" s="412">
        <f t="shared" si="70"/>
        <v>1100</v>
      </c>
      <c r="G473" s="412"/>
      <c r="H473" s="412"/>
      <c r="I473" s="412">
        <v>1100</v>
      </c>
      <c r="J473" s="412"/>
      <c r="K473" s="412"/>
      <c r="L473" s="412"/>
      <c r="M473" s="412"/>
      <c r="N473" s="412"/>
    </row>
    <row r="474" spans="1:14" s="39" customFormat="1" ht="12.75">
      <c r="A474" s="427"/>
      <c r="B474" s="409"/>
      <c r="C474" s="410">
        <v>4170</v>
      </c>
      <c r="D474" s="411" t="s">
        <v>396</v>
      </c>
      <c r="E474" s="412">
        <f t="shared" si="69"/>
        <v>4500</v>
      </c>
      <c r="F474" s="412">
        <f t="shared" si="70"/>
        <v>4500</v>
      </c>
      <c r="G474" s="412"/>
      <c r="H474" s="412"/>
      <c r="I474" s="412"/>
      <c r="J474" s="412"/>
      <c r="K474" s="412"/>
      <c r="L474" s="412"/>
      <c r="M474" s="412">
        <v>4500</v>
      </c>
      <c r="N474" s="412"/>
    </row>
    <row r="475" spans="1:14" s="39" customFormat="1" ht="25.5">
      <c r="A475" s="427"/>
      <c r="B475" s="409"/>
      <c r="C475" s="410">
        <v>4210</v>
      </c>
      <c r="D475" s="411" t="s">
        <v>337</v>
      </c>
      <c r="E475" s="412">
        <f t="shared" si="69"/>
        <v>300</v>
      </c>
      <c r="F475" s="412">
        <f>SUM(G475:M475)</f>
        <v>300</v>
      </c>
      <c r="G475" s="412"/>
      <c r="H475" s="412"/>
      <c r="I475" s="412"/>
      <c r="J475" s="412"/>
      <c r="K475" s="412"/>
      <c r="L475" s="412"/>
      <c r="M475" s="412">
        <v>300</v>
      </c>
      <c r="N475" s="412"/>
    </row>
    <row r="476" spans="1:14" s="39" customFormat="1" ht="12.75">
      <c r="A476" s="427"/>
      <c r="B476" s="409"/>
      <c r="C476" s="410">
        <v>4300</v>
      </c>
      <c r="D476" s="411" t="s">
        <v>373</v>
      </c>
      <c r="E476" s="412">
        <f t="shared" si="69"/>
        <v>700</v>
      </c>
      <c r="F476" s="412">
        <f t="shared" si="70"/>
        <v>700</v>
      </c>
      <c r="G476" s="412"/>
      <c r="H476" s="412"/>
      <c r="I476" s="412"/>
      <c r="J476" s="412"/>
      <c r="K476" s="412"/>
      <c r="L476" s="412"/>
      <c r="M476" s="412">
        <v>700</v>
      </c>
      <c r="N476" s="412"/>
    </row>
    <row r="477" spans="1:14" s="39" customFormat="1" ht="38.25">
      <c r="A477" s="427"/>
      <c r="B477" s="409"/>
      <c r="C477" s="410">
        <v>4360</v>
      </c>
      <c r="D477" s="411" t="s">
        <v>423</v>
      </c>
      <c r="E477" s="412">
        <f t="shared" si="69"/>
        <v>600</v>
      </c>
      <c r="F477" s="412">
        <f t="shared" si="70"/>
        <v>600</v>
      </c>
      <c r="G477" s="412"/>
      <c r="H477" s="412"/>
      <c r="I477" s="412"/>
      <c r="J477" s="412"/>
      <c r="K477" s="412"/>
      <c r="L477" s="412"/>
      <c r="M477" s="412">
        <v>600</v>
      </c>
      <c r="N477" s="412"/>
    </row>
    <row r="478" spans="1:14" s="39" customFormat="1" ht="12.75">
      <c r="A478" s="427"/>
      <c r="B478" s="409"/>
      <c r="C478" s="410">
        <v>4410</v>
      </c>
      <c r="D478" s="411" t="s">
        <v>346</v>
      </c>
      <c r="E478" s="412">
        <f t="shared" si="69"/>
        <v>100</v>
      </c>
      <c r="F478" s="412">
        <f t="shared" si="70"/>
        <v>100</v>
      </c>
      <c r="G478" s="412"/>
      <c r="H478" s="412"/>
      <c r="I478" s="412"/>
      <c r="J478" s="412"/>
      <c r="K478" s="412"/>
      <c r="L478" s="412"/>
      <c r="M478" s="412">
        <v>100</v>
      </c>
      <c r="N478" s="412"/>
    </row>
    <row r="479" spans="1:14" s="39" customFormat="1" ht="40.5" customHeight="1">
      <c r="A479" s="427"/>
      <c r="B479" s="409"/>
      <c r="C479" s="410">
        <v>4440</v>
      </c>
      <c r="D479" s="411" t="s">
        <v>348</v>
      </c>
      <c r="E479" s="412">
        <f t="shared" si="69"/>
        <v>940</v>
      </c>
      <c r="F479" s="412">
        <f t="shared" si="70"/>
        <v>940</v>
      </c>
      <c r="G479" s="412"/>
      <c r="H479" s="412"/>
      <c r="I479" s="412"/>
      <c r="J479" s="412"/>
      <c r="K479" s="412"/>
      <c r="L479" s="412"/>
      <c r="M479" s="412">
        <v>940</v>
      </c>
      <c r="N479" s="412"/>
    </row>
    <row r="480" spans="1:14" s="39" customFormat="1" ht="38.25">
      <c r="A480" s="427"/>
      <c r="B480" s="409"/>
      <c r="C480" s="410">
        <v>4700</v>
      </c>
      <c r="D480" s="411" t="s">
        <v>565</v>
      </c>
      <c r="E480" s="412">
        <f t="shared" si="69"/>
        <v>300</v>
      </c>
      <c r="F480" s="412">
        <f t="shared" si="70"/>
        <v>300</v>
      </c>
      <c r="G480" s="412"/>
      <c r="H480" s="412"/>
      <c r="I480" s="412"/>
      <c r="J480" s="412"/>
      <c r="K480" s="412"/>
      <c r="L480" s="412"/>
      <c r="M480" s="412">
        <v>300</v>
      </c>
      <c r="N480" s="412"/>
    </row>
    <row r="481" spans="1:14" s="63" customFormat="1" ht="25.5">
      <c r="A481" s="426"/>
      <c r="B481" s="405">
        <v>85233</v>
      </c>
      <c r="C481" s="406"/>
      <c r="D481" s="416" t="s">
        <v>454</v>
      </c>
      <c r="E481" s="408">
        <f t="shared" si="69"/>
        <v>4030</v>
      </c>
      <c r="F481" s="408">
        <f t="shared" si="70"/>
        <v>4030</v>
      </c>
      <c r="G481" s="408">
        <f aca="true" t="shared" si="72" ref="G481:N481">SUM(G482:G483)</f>
        <v>0</v>
      </c>
      <c r="H481" s="408">
        <f t="shared" si="72"/>
        <v>0</v>
      </c>
      <c r="I481" s="408">
        <f t="shared" si="72"/>
        <v>0</v>
      </c>
      <c r="J481" s="408">
        <f t="shared" si="72"/>
        <v>0</v>
      </c>
      <c r="K481" s="408">
        <f t="shared" si="72"/>
        <v>0</v>
      </c>
      <c r="L481" s="408">
        <f t="shared" si="72"/>
        <v>0</v>
      </c>
      <c r="M481" s="408">
        <f t="shared" si="72"/>
        <v>4030</v>
      </c>
      <c r="N481" s="408">
        <f t="shared" si="72"/>
        <v>0</v>
      </c>
    </row>
    <row r="482" spans="1:14" s="39" customFormat="1" ht="12.75">
      <c r="A482" s="427"/>
      <c r="B482" s="409"/>
      <c r="C482" s="410">
        <v>4300</v>
      </c>
      <c r="D482" s="411" t="s">
        <v>373</v>
      </c>
      <c r="E482" s="412">
        <f t="shared" si="69"/>
        <v>3540</v>
      </c>
      <c r="F482" s="412">
        <f t="shared" si="70"/>
        <v>3540</v>
      </c>
      <c r="G482" s="412"/>
      <c r="H482" s="412"/>
      <c r="I482" s="412"/>
      <c r="J482" s="412"/>
      <c r="K482" s="412"/>
      <c r="L482" s="412"/>
      <c r="M482" s="412">
        <v>3540</v>
      </c>
      <c r="N482" s="412"/>
    </row>
    <row r="483" spans="1:14" s="39" customFormat="1" ht="12.75">
      <c r="A483" s="427"/>
      <c r="B483" s="409"/>
      <c r="C483" s="410">
        <v>4410</v>
      </c>
      <c r="D483" s="411" t="s">
        <v>346</v>
      </c>
      <c r="E483" s="412">
        <f t="shared" si="69"/>
        <v>490</v>
      </c>
      <c r="F483" s="412">
        <f t="shared" si="70"/>
        <v>490</v>
      </c>
      <c r="G483" s="412"/>
      <c r="H483" s="412"/>
      <c r="I483" s="412"/>
      <c r="J483" s="412"/>
      <c r="K483" s="412"/>
      <c r="L483" s="412"/>
      <c r="M483" s="412">
        <v>490</v>
      </c>
      <c r="N483" s="412"/>
    </row>
    <row r="484" spans="1:14" s="63" customFormat="1" ht="12.75">
      <c r="A484" s="426"/>
      <c r="B484" s="405">
        <v>85295</v>
      </c>
      <c r="C484" s="406"/>
      <c r="D484" s="416" t="s">
        <v>455</v>
      </c>
      <c r="E484" s="408">
        <f t="shared" si="69"/>
        <v>3000</v>
      </c>
      <c r="F484" s="408">
        <f t="shared" si="70"/>
        <v>3000</v>
      </c>
      <c r="G484" s="408">
        <f aca="true" t="shared" si="73" ref="G484:N484">SUM(G485:G488)</f>
        <v>1010</v>
      </c>
      <c r="H484" s="408">
        <f t="shared" si="73"/>
        <v>0</v>
      </c>
      <c r="I484" s="408">
        <f t="shared" si="73"/>
        <v>190</v>
      </c>
      <c r="J484" s="408">
        <f t="shared" si="73"/>
        <v>0</v>
      </c>
      <c r="K484" s="408">
        <f t="shared" si="73"/>
        <v>0</v>
      </c>
      <c r="L484" s="408">
        <f t="shared" si="73"/>
        <v>0</v>
      </c>
      <c r="M484" s="408">
        <f t="shared" si="73"/>
        <v>1800</v>
      </c>
      <c r="N484" s="408">
        <f t="shared" si="73"/>
        <v>0</v>
      </c>
    </row>
    <row r="485" spans="1:14" s="39" customFormat="1" ht="25.5">
      <c r="A485" s="427"/>
      <c r="B485" s="409"/>
      <c r="C485" s="410">
        <v>4440</v>
      </c>
      <c r="D485" s="411" t="s">
        <v>348</v>
      </c>
      <c r="E485" s="412">
        <f t="shared" si="69"/>
        <v>1800</v>
      </c>
      <c r="F485" s="412">
        <f t="shared" si="70"/>
        <v>1800</v>
      </c>
      <c r="G485" s="412"/>
      <c r="H485" s="412"/>
      <c r="I485" s="412"/>
      <c r="J485" s="412"/>
      <c r="K485" s="412"/>
      <c r="L485" s="412"/>
      <c r="M485" s="412">
        <v>1800</v>
      </c>
      <c r="N485" s="412"/>
    </row>
    <row r="486" spans="1:14" s="39" customFormat="1" ht="36.75" customHeight="1">
      <c r="A486" s="427"/>
      <c r="B486" s="409"/>
      <c r="C486" s="410">
        <v>4010</v>
      </c>
      <c r="D486" s="411" t="s">
        <v>550</v>
      </c>
      <c r="E486" s="412">
        <f t="shared" si="69"/>
        <v>1010</v>
      </c>
      <c r="F486" s="412">
        <f>SUM(G486:M486)</f>
        <v>1010</v>
      </c>
      <c r="G486" s="412">
        <v>1010</v>
      </c>
      <c r="H486" s="412"/>
      <c r="I486" s="412"/>
      <c r="J486" s="412"/>
      <c r="K486" s="412"/>
      <c r="L486" s="412"/>
      <c r="M486" s="412"/>
      <c r="N486" s="412"/>
    </row>
    <row r="487" spans="1:14" s="39" customFormat="1" ht="25.5">
      <c r="A487" s="427"/>
      <c r="B487" s="409"/>
      <c r="C487" s="410">
        <v>4110</v>
      </c>
      <c r="D487" s="411" t="s">
        <v>412</v>
      </c>
      <c r="E487" s="412">
        <f>F487+N487</f>
        <v>160</v>
      </c>
      <c r="F487" s="412">
        <f>SUM(G487:M487)</f>
        <v>160</v>
      </c>
      <c r="G487" s="412"/>
      <c r="H487" s="412"/>
      <c r="I487" s="412">
        <v>160</v>
      </c>
      <c r="J487" s="412"/>
      <c r="K487" s="412"/>
      <c r="L487" s="412"/>
      <c r="M487" s="412"/>
      <c r="N487" s="412"/>
    </row>
    <row r="488" spans="1:14" s="39" customFormat="1" ht="12.75">
      <c r="A488" s="427"/>
      <c r="B488" s="409"/>
      <c r="C488" s="410">
        <v>4120</v>
      </c>
      <c r="D488" s="411" t="s">
        <v>335</v>
      </c>
      <c r="E488" s="412">
        <f>F488+N488</f>
        <v>30</v>
      </c>
      <c r="F488" s="412">
        <f>SUM(G488:M488)</f>
        <v>30</v>
      </c>
      <c r="G488" s="412"/>
      <c r="H488" s="412"/>
      <c r="I488" s="412">
        <v>30</v>
      </c>
      <c r="J488" s="412"/>
      <c r="K488" s="412"/>
      <c r="L488" s="412"/>
      <c r="M488" s="412"/>
      <c r="N488" s="412"/>
    </row>
    <row r="489" spans="1:14" s="404" customFormat="1" ht="38.25">
      <c r="A489" s="400">
        <v>853</v>
      </c>
      <c r="B489" s="400"/>
      <c r="C489" s="401"/>
      <c r="D489" s="417" t="s">
        <v>456</v>
      </c>
      <c r="E489" s="403">
        <f t="shared" si="69"/>
        <v>4162916</v>
      </c>
      <c r="F489" s="403">
        <f t="shared" si="70"/>
        <v>4155716</v>
      </c>
      <c r="G489" s="403">
        <f aca="true" t="shared" si="74" ref="G489:N489">SUM(G492+G508+G490+G538+G540)</f>
        <v>1557600</v>
      </c>
      <c r="H489" s="403">
        <f t="shared" si="74"/>
        <v>123760</v>
      </c>
      <c r="I489" s="403">
        <f t="shared" si="74"/>
        <v>322722</v>
      </c>
      <c r="J489" s="403">
        <f t="shared" si="74"/>
        <v>1570945</v>
      </c>
      <c r="K489" s="403">
        <f t="shared" si="74"/>
        <v>0</v>
      </c>
      <c r="L489" s="403">
        <f t="shared" si="74"/>
        <v>247969</v>
      </c>
      <c r="M489" s="403">
        <f t="shared" si="74"/>
        <v>332720</v>
      </c>
      <c r="N489" s="403">
        <f t="shared" si="74"/>
        <v>7200</v>
      </c>
    </row>
    <row r="490" spans="1:14" s="63" customFormat="1" ht="38.25">
      <c r="A490" s="426"/>
      <c r="B490" s="405">
        <v>85311</v>
      </c>
      <c r="C490" s="406"/>
      <c r="D490" s="416" t="s">
        <v>345</v>
      </c>
      <c r="E490" s="408">
        <f t="shared" si="69"/>
        <v>16500</v>
      </c>
      <c r="F490" s="408">
        <f t="shared" si="70"/>
        <v>16500</v>
      </c>
      <c r="G490" s="408">
        <f>SUM(G491:G491)</f>
        <v>0</v>
      </c>
      <c r="H490" s="408">
        <f aca="true" t="shared" si="75" ref="H490:N490">SUM(H491:H491)</f>
        <v>0</v>
      </c>
      <c r="I490" s="408">
        <f t="shared" si="75"/>
        <v>0</v>
      </c>
      <c r="J490" s="408">
        <f t="shared" si="75"/>
        <v>16500</v>
      </c>
      <c r="K490" s="408">
        <f t="shared" si="75"/>
        <v>0</v>
      </c>
      <c r="L490" s="408">
        <f t="shared" si="75"/>
        <v>0</v>
      </c>
      <c r="M490" s="408">
        <f t="shared" si="75"/>
        <v>0</v>
      </c>
      <c r="N490" s="408">
        <f t="shared" si="75"/>
        <v>0</v>
      </c>
    </row>
    <row r="491" spans="1:14" s="39" customFormat="1" ht="76.5">
      <c r="A491" s="427"/>
      <c r="B491" s="409"/>
      <c r="C491" s="410">
        <v>2320</v>
      </c>
      <c r="D491" s="411" t="s">
        <v>441</v>
      </c>
      <c r="E491" s="412">
        <f t="shared" si="69"/>
        <v>16500</v>
      </c>
      <c r="F491" s="412">
        <f t="shared" si="70"/>
        <v>16500</v>
      </c>
      <c r="G491" s="412"/>
      <c r="H491" s="412"/>
      <c r="I491" s="412"/>
      <c r="J491" s="412">
        <v>16500</v>
      </c>
      <c r="K491" s="412"/>
      <c r="L491" s="412"/>
      <c r="M491" s="412"/>
      <c r="N491" s="412"/>
    </row>
    <row r="492" spans="1:14" s="63" customFormat="1" ht="38.25">
      <c r="A492" s="405"/>
      <c r="B492" s="405">
        <v>85321</v>
      </c>
      <c r="C492" s="406"/>
      <c r="D492" s="416" t="s">
        <v>457</v>
      </c>
      <c r="E492" s="408">
        <f t="shared" si="69"/>
        <v>151560</v>
      </c>
      <c r="F492" s="408">
        <f t="shared" si="70"/>
        <v>151560</v>
      </c>
      <c r="G492" s="408">
        <f aca="true" t="shared" si="76" ref="G492:N492">SUM(G493:G507)</f>
        <v>50900</v>
      </c>
      <c r="H492" s="408">
        <f t="shared" si="76"/>
        <v>3700</v>
      </c>
      <c r="I492" s="408">
        <f t="shared" si="76"/>
        <v>11800</v>
      </c>
      <c r="J492" s="408">
        <f t="shared" si="76"/>
        <v>0</v>
      </c>
      <c r="K492" s="408">
        <f t="shared" si="76"/>
        <v>0</v>
      </c>
      <c r="L492" s="408">
        <f t="shared" si="76"/>
        <v>0</v>
      </c>
      <c r="M492" s="408">
        <f t="shared" si="76"/>
        <v>85160</v>
      </c>
      <c r="N492" s="408">
        <f t="shared" si="76"/>
        <v>0</v>
      </c>
    </row>
    <row r="493" spans="1:14" s="39" customFormat="1" ht="25.5">
      <c r="A493" s="409"/>
      <c r="B493" s="409"/>
      <c r="C493" s="410">
        <v>4010</v>
      </c>
      <c r="D493" s="411" t="s">
        <v>332</v>
      </c>
      <c r="E493" s="412">
        <f t="shared" si="69"/>
        <v>50900</v>
      </c>
      <c r="F493" s="412">
        <f t="shared" si="70"/>
        <v>50900</v>
      </c>
      <c r="G493" s="412">
        <v>50900</v>
      </c>
      <c r="H493" s="412"/>
      <c r="I493" s="412"/>
      <c r="J493" s="412"/>
      <c r="K493" s="412"/>
      <c r="L493" s="412"/>
      <c r="M493" s="412"/>
      <c r="N493" s="412"/>
    </row>
    <row r="494" spans="1:14" s="39" customFormat="1" ht="32.25" customHeight="1">
      <c r="A494" s="409"/>
      <c r="B494" s="409"/>
      <c r="C494" s="410">
        <v>4040</v>
      </c>
      <c r="D494" s="411" t="s">
        <v>333</v>
      </c>
      <c r="E494" s="412">
        <f t="shared" si="69"/>
        <v>3700</v>
      </c>
      <c r="F494" s="412">
        <f t="shared" si="70"/>
        <v>3700</v>
      </c>
      <c r="G494" s="412"/>
      <c r="H494" s="412">
        <v>3700</v>
      </c>
      <c r="I494" s="412"/>
      <c r="J494" s="412"/>
      <c r="K494" s="412"/>
      <c r="L494" s="412"/>
      <c r="M494" s="412"/>
      <c r="N494" s="412"/>
    </row>
    <row r="495" spans="1:14" s="39" customFormat="1" ht="25.5">
      <c r="A495" s="409"/>
      <c r="B495" s="409"/>
      <c r="C495" s="410">
        <v>4110</v>
      </c>
      <c r="D495" s="411" t="s">
        <v>334</v>
      </c>
      <c r="E495" s="412">
        <f t="shared" si="69"/>
        <v>10200</v>
      </c>
      <c r="F495" s="412">
        <f t="shared" si="70"/>
        <v>10200</v>
      </c>
      <c r="G495" s="412"/>
      <c r="H495" s="412"/>
      <c r="I495" s="412">
        <v>10200</v>
      </c>
      <c r="J495" s="412"/>
      <c r="K495" s="412"/>
      <c r="L495" s="412"/>
      <c r="M495" s="412"/>
      <c r="N495" s="412"/>
    </row>
    <row r="496" spans="1:14" s="39" customFormat="1" ht="12.75">
      <c r="A496" s="409"/>
      <c r="B496" s="409"/>
      <c r="C496" s="410">
        <v>4120</v>
      </c>
      <c r="D496" s="411" t="s">
        <v>335</v>
      </c>
      <c r="E496" s="412">
        <f t="shared" si="69"/>
        <v>1600</v>
      </c>
      <c r="F496" s="412">
        <f t="shared" si="70"/>
        <v>1600</v>
      </c>
      <c r="G496" s="412"/>
      <c r="H496" s="412"/>
      <c r="I496" s="412">
        <v>1600</v>
      </c>
      <c r="J496" s="412"/>
      <c r="K496" s="412"/>
      <c r="L496" s="412"/>
      <c r="M496" s="412"/>
      <c r="N496" s="412"/>
    </row>
    <row r="497" spans="1:14" s="39" customFormat="1" ht="12.75">
      <c r="A497" s="409"/>
      <c r="B497" s="409"/>
      <c r="C497" s="410">
        <v>4170</v>
      </c>
      <c r="D497" s="411" t="s">
        <v>336</v>
      </c>
      <c r="E497" s="412">
        <f t="shared" si="69"/>
        <v>29000</v>
      </c>
      <c r="F497" s="412">
        <f t="shared" si="70"/>
        <v>29000</v>
      </c>
      <c r="G497" s="412"/>
      <c r="H497" s="412"/>
      <c r="I497" s="412"/>
      <c r="J497" s="412"/>
      <c r="K497" s="412"/>
      <c r="L497" s="412"/>
      <c r="M497" s="412">
        <v>29000</v>
      </c>
      <c r="N497" s="412"/>
    </row>
    <row r="498" spans="1:14" s="39" customFormat="1" ht="32.25" customHeight="1">
      <c r="A498" s="409"/>
      <c r="B498" s="409"/>
      <c r="C498" s="410">
        <v>4210</v>
      </c>
      <c r="D498" s="411" t="s">
        <v>337</v>
      </c>
      <c r="E498" s="412">
        <f t="shared" si="69"/>
        <v>1300</v>
      </c>
      <c r="F498" s="412">
        <f t="shared" si="70"/>
        <v>1300</v>
      </c>
      <c r="G498" s="412"/>
      <c r="H498" s="412"/>
      <c r="I498" s="412"/>
      <c r="J498" s="412"/>
      <c r="K498" s="412"/>
      <c r="L498" s="412"/>
      <c r="M498" s="412">
        <v>1300</v>
      </c>
      <c r="N498" s="412"/>
    </row>
    <row r="499" spans="1:14" s="39" customFormat="1" ht="12.75">
      <c r="A499" s="409"/>
      <c r="B499" s="409"/>
      <c r="C499" s="410">
        <v>4270</v>
      </c>
      <c r="D499" s="411" t="s">
        <v>339</v>
      </c>
      <c r="E499" s="412">
        <f t="shared" si="69"/>
        <v>550</v>
      </c>
      <c r="F499" s="412">
        <f t="shared" si="70"/>
        <v>550</v>
      </c>
      <c r="G499" s="412"/>
      <c r="H499" s="412"/>
      <c r="I499" s="412"/>
      <c r="J499" s="412"/>
      <c r="K499" s="412"/>
      <c r="L499" s="412"/>
      <c r="M499" s="412">
        <v>550</v>
      </c>
      <c r="N499" s="412"/>
    </row>
    <row r="500" spans="1:14" s="39" customFormat="1" ht="12.75">
      <c r="A500" s="409"/>
      <c r="B500" s="409"/>
      <c r="C500" s="410">
        <v>4300</v>
      </c>
      <c r="D500" s="411" t="s">
        <v>320</v>
      </c>
      <c r="E500" s="412">
        <f t="shared" si="69"/>
        <v>49300</v>
      </c>
      <c r="F500" s="412">
        <f t="shared" si="70"/>
        <v>49300</v>
      </c>
      <c r="G500" s="412"/>
      <c r="H500" s="412"/>
      <c r="I500" s="412"/>
      <c r="J500" s="412"/>
      <c r="K500" s="412"/>
      <c r="L500" s="412"/>
      <c r="M500" s="412">
        <v>49300</v>
      </c>
      <c r="N500" s="412"/>
    </row>
    <row r="501" spans="1:14" s="39" customFormat="1" ht="25.5">
      <c r="A501" s="409"/>
      <c r="B501" s="409"/>
      <c r="C501" s="410">
        <v>4350</v>
      </c>
      <c r="D501" s="419" t="s">
        <v>341</v>
      </c>
      <c r="E501" s="412">
        <f>F501+N501</f>
        <v>450</v>
      </c>
      <c r="F501" s="412">
        <f>SUM(G501:M501)</f>
        <v>450</v>
      </c>
      <c r="G501" s="412"/>
      <c r="H501" s="412"/>
      <c r="I501" s="412"/>
      <c r="J501" s="412"/>
      <c r="K501" s="412"/>
      <c r="L501" s="412"/>
      <c r="M501" s="412">
        <v>450</v>
      </c>
      <c r="N501" s="412"/>
    </row>
    <row r="502" spans="1:14" s="39" customFormat="1" ht="38.25">
      <c r="A502" s="409"/>
      <c r="B502" s="409"/>
      <c r="C502" s="410">
        <v>4370</v>
      </c>
      <c r="D502" s="411" t="s">
        <v>416</v>
      </c>
      <c r="E502" s="412">
        <f t="shared" si="69"/>
        <v>1600</v>
      </c>
      <c r="F502" s="412">
        <f t="shared" si="70"/>
        <v>1600</v>
      </c>
      <c r="G502" s="412"/>
      <c r="H502" s="412"/>
      <c r="I502" s="412"/>
      <c r="J502" s="412"/>
      <c r="K502" s="412"/>
      <c r="L502" s="412"/>
      <c r="M502" s="412">
        <v>1600</v>
      </c>
      <c r="N502" s="412"/>
    </row>
    <row r="503" spans="1:14" s="39" customFormat="1" ht="12.75">
      <c r="A503" s="409"/>
      <c r="B503" s="409"/>
      <c r="C503" s="410">
        <v>4410</v>
      </c>
      <c r="D503" s="411" t="s">
        <v>458</v>
      </c>
      <c r="E503" s="412">
        <f t="shared" si="69"/>
        <v>200</v>
      </c>
      <c r="F503" s="412">
        <f t="shared" si="70"/>
        <v>200</v>
      </c>
      <c r="G503" s="412"/>
      <c r="H503" s="412"/>
      <c r="I503" s="412"/>
      <c r="J503" s="412"/>
      <c r="K503" s="412"/>
      <c r="L503" s="412"/>
      <c r="M503" s="412">
        <v>200</v>
      </c>
      <c r="N503" s="412"/>
    </row>
    <row r="504" spans="1:14" s="39" customFormat="1" ht="25.5">
      <c r="A504" s="409"/>
      <c r="B504" s="409"/>
      <c r="C504" s="410">
        <v>4440</v>
      </c>
      <c r="D504" s="411" t="s">
        <v>348</v>
      </c>
      <c r="E504" s="412">
        <f t="shared" si="69"/>
        <v>940</v>
      </c>
      <c r="F504" s="412">
        <f t="shared" si="70"/>
        <v>940</v>
      </c>
      <c r="G504" s="412"/>
      <c r="H504" s="412"/>
      <c r="I504" s="412"/>
      <c r="J504" s="412"/>
      <c r="K504" s="412"/>
      <c r="L504" s="412"/>
      <c r="M504" s="412">
        <v>940</v>
      </c>
      <c r="N504" s="412"/>
    </row>
    <row r="505" spans="1:14" s="39" customFormat="1" ht="38.25">
      <c r="A505" s="409"/>
      <c r="B505" s="409"/>
      <c r="C505" s="410">
        <v>4700</v>
      </c>
      <c r="D505" s="411" t="s">
        <v>565</v>
      </c>
      <c r="E505" s="412">
        <f t="shared" si="69"/>
        <v>520</v>
      </c>
      <c r="F505" s="412">
        <f t="shared" si="70"/>
        <v>520</v>
      </c>
      <c r="G505" s="412"/>
      <c r="H505" s="412"/>
      <c r="I505" s="412"/>
      <c r="J505" s="412"/>
      <c r="K505" s="412"/>
      <c r="L505" s="412"/>
      <c r="M505" s="412">
        <v>520</v>
      </c>
      <c r="N505" s="412"/>
    </row>
    <row r="506" spans="1:14" s="39" customFormat="1" ht="51">
      <c r="A506" s="409"/>
      <c r="B506" s="409"/>
      <c r="C506" s="410">
        <v>4740</v>
      </c>
      <c r="D506" s="411" t="s">
        <v>374</v>
      </c>
      <c r="E506" s="412">
        <f t="shared" si="69"/>
        <v>300</v>
      </c>
      <c r="F506" s="412">
        <f t="shared" si="70"/>
        <v>300</v>
      </c>
      <c r="G506" s="412"/>
      <c r="H506" s="412"/>
      <c r="I506" s="412"/>
      <c r="J506" s="412"/>
      <c r="K506" s="412"/>
      <c r="L506" s="412"/>
      <c r="M506" s="412">
        <v>300</v>
      </c>
      <c r="N506" s="412"/>
    </row>
    <row r="507" spans="1:14" s="39" customFormat="1" ht="38.25">
      <c r="A507" s="409"/>
      <c r="B507" s="409"/>
      <c r="C507" s="410">
        <v>4750</v>
      </c>
      <c r="D507" s="411" t="s">
        <v>417</v>
      </c>
      <c r="E507" s="412">
        <f t="shared" si="69"/>
        <v>1000</v>
      </c>
      <c r="F507" s="412">
        <f t="shared" si="70"/>
        <v>1000</v>
      </c>
      <c r="G507" s="412"/>
      <c r="H507" s="412"/>
      <c r="I507" s="412"/>
      <c r="J507" s="412"/>
      <c r="K507" s="412"/>
      <c r="L507" s="412"/>
      <c r="M507" s="412">
        <v>1000</v>
      </c>
      <c r="N507" s="412"/>
    </row>
    <row r="508" spans="1:14" s="63" customFormat="1" ht="12.75">
      <c r="A508" s="405"/>
      <c r="B508" s="405">
        <v>85333</v>
      </c>
      <c r="C508" s="406"/>
      <c r="D508" s="416" t="s">
        <v>459</v>
      </c>
      <c r="E508" s="408">
        <f t="shared" si="69"/>
        <v>2169620</v>
      </c>
      <c r="F508" s="408">
        <f t="shared" si="70"/>
        <v>2169620</v>
      </c>
      <c r="G508" s="408">
        <f>SUM(G509:G537)</f>
        <v>1506700</v>
      </c>
      <c r="H508" s="408">
        <f aca="true" t="shared" si="77" ref="H508:N508">SUM(H509:H537)</f>
        <v>120060</v>
      </c>
      <c r="I508" s="408">
        <f t="shared" si="77"/>
        <v>285480</v>
      </c>
      <c r="J508" s="408">
        <f t="shared" si="77"/>
        <v>0</v>
      </c>
      <c r="K508" s="408">
        <f t="shared" si="77"/>
        <v>0</v>
      </c>
      <c r="L508" s="408">
        <f t="shared" si="77"/>
        <v>9820</v>
      </c>
      <c r="M508" s="408">
        <f t="shared" si="77"/>
        <v>247560</v>
      </c>
      <c r="N508" s="408">
        <f t="shared" si="77"/>
        <v>0</v>
      </c>
    </row>
    <row r="509" spans="1:14" s="39" customFormat="1" ht="25.5">
      <c r="A509" s="409"/>
      <c r="B509" s="409"/>
      <c r="C509" s="410">
        <v>3020</v>
      </c>
      <c r="D509" s="411" t="s">
        <v>566</v>
      </c>
      <c r="E509" s="412">
        <f t="shared" si="69"/>
        <v>1000</v>
      </c>
      <c r="F509" s="412">
        <f t="shared" si="70"/>
        <v>1000</v>
      </c>
      <c r="G509" s="412"/>
      <c r="H509" s="412"/>
      <c r="I509" s="412"/>
      <c r="J509" s="412"/>
      <c r="K509" s="412"/>
      <c r="L509" s="412"/>
      <c r="M509" s="412">
        <v>1000</v>
      </c>
      <c r="N509" s="412"/>
    </row>
    <row r="510" spans="1:14" s="39" customFormat="1" ht="25.5">
      <c r="A510" s="409"/>
      <c r="B510" s="409"/>
      <c r="C510" s="286">
        <v>4010</v>
      </c>
      <c r="D510" s="411" t="s">
        <v>332</v>
      </c>
      <c r="E510" s="412">
        <f t="shared" si="69"/>
        <v>1506700</v>
      </c>
      <c r="F510" s="412">
        <f t="shared" si="70"/>
        <v>1506700</v>
      </c>
      <c r="G510" s="412">
        <f>1445600+61100</f>
        <v>1506700</v>
      </c>
      <c r="H510" s="412"/>
      <c r="I510" s="412"/>
      <c r="J510" s="412"/>
      <c r="K510" s="412"/>
      <c r="L510" s="412"/>
      <c r="M510" s="412"/>
      <c r="N510" s="412"/>
    </row>
    <row r="511" spans="1:14" s="39" customFormat="1" ht="25.5">
      <c r="A511" s="409"/>
      <c r="B511" s="409"/>
      <c r="C511" s="286">
        <v>4018</v>
      </c>
      <c r="D511" s="411" t="s">
        <v>332</v>
      </c>
      <c r="E511" s="412">
        <f>F511+N511</f>
        <v>0</v>
      </c>
      <c r="F511" s="412">
        <f>SUM(G511:M511)</f>
        <v>0</v>
      </c>
      <c r="G511" s="412"/>
      <c r="H511" s="412"/>
      <c r="I511" s="412"/>
      <c r="J511" s="412"/>
      <c r="K511" s="412"/>
      <c r="L511" s="412"/>
      <c r="M511" s="412"/>
      <c r="N511" s="412"/>
    </row>
    <row r="512" spans="1:14" s="39" customFormat="1" ht="25.5">
      <c r="A512" s="409"/>
      <c r="B512" s="409"/>
      <c r="C512" s="410">
        <v>4040</v>
      </c>
      <c r="D512" s="411" t="s">
        <v>333</v>
      </c>
      <c r="E512" s="412">
        <f t="shared" si="69"/>
        <v>113940</v>
      </c>
      <c r="F512" s="412">
        <f t="shared" si="70"/>
        <v>113940</v>
      </c>
      <c r="G512" s="412"/>
      <c r="H512" s="412">
        <v>113940</v>
      </c>
      <c r="I512" s="412"/>
      <c r="J512" s="412"/>
      <c r="K512" s="412"/>
      <c r="L512" s="412"/>
      <c r="M512" s="412"/>
      <c r="N512" s="412"/>
    </row>
    <row r="513" spans="1:14" s="39" customFormat="1" ht="36.75" customHeight="1">
      <c r="A513" s="409"/>
      <c r="B513" s="409"/>
      <c r="C513" s="410">
        <v>4048</v>
      </c>
      <c r="D513" s="411" t="s">
        <v>333</v>
      </c>
      <c r="E513" s="412">
        <f>F513+N513</f>
        <v>6120</v>
      </c>
      <c r="F513" s="412">
        <f>SUM(G513:M513)</f>
        <v>6120</v>
      </c>
      <c r="G513" s="412"/>
      <c r="H513" s="412">
        <v>6120</v>
      </c>
      <c r="I513" s="412"/>
      <c r="J513" s="412"/>
      <c r="K513" s="412"/>
      <c r="L513" s="412"/>
      <c r="M513" s="412"/>
      <c r="N513" s="412"/>
    </row>
    <row r="514" spans="1:14" s="39" customFormat="1" ht="25.5">
      <c r="A514" s="409"/>
      <c r="B514" s="409"/>
      <c r="C514" s="410">
        <v>4110</v>
      </c>
      <c r="D514" s="411" t="s">
        <v>334</v>
      </c>
      <c r="E514" s="412">
        <f t="shared" si="69"/>
        <v>244700</v>
      </c>
      <c r="F514" s="412">
        <f t="shared" si="70"/>
        <v>244700</v>
      </c>
      <c r="G514" s="412"/>
      <c r="H514" s="412"/>
      <c r="I514" s="412">
        <f>235500+9200</f>
        <v>244700</v>
      </c>
      <c r="J514" s="412"/>
      <c r="K514" s="412"/>
      <c r="L514" s="412"/>
      <c r="M514" s="412"/>
      <c r="N514" s="412"/>
    </row>
    <row r="515" spans="1:14" s="39" customFormat="1" ht="25.5">
      <c r="A515" s="409"/>
      <c r="B515" s="409"/>
      <c r="C515" s="410">
        <v>4118</v>
      </c>
      <c r="D515" s="411" t="s">
        <v>334</v>
      </c>
      <c r="E515" s="412">
        <f>F515+N515</f>
        <v>925</v>
      </c>
      <c r="F515" s="412">
        <f>SUM(G515:M515)</f>
        <v>925</v>
      </c>
      <c r="G515" s="412"/>
      <c r="H515" s="412"/>
      <c r="I515" s="412">
        <v>925</v>
      </c>
      <c r="J515" s="412"/>
      <c r="K515" s="412"/>
      <c r="L515" s="412"/>
      <c r="M515" s="412"/>
      <c r="N515" s="412"/>
    </row>
    <row r="516" spans="1:14" s="39" customFormat="1" ht="12.75">
      <c r="A516" s="409"/>
      <c r="B516" s="409"/>
      <c r="C516" s="410">
        <v>4120</v>
      </c>
      <c r="D516" s="411" t="s">
        <v>335</v>
      </c>
      <c r="E516" s="412">
        <f t="shared" si="69"/>
        <v>39700</v>
      </c>
      <c r="F516" s="412">
        <f t="shared" si="70"/>
        <v>39700</v>
      </c>
      <c r="G516" s="412"/>
      <c r="H516" s="412"/>
      <c r="I516" s="412">
        <f>38200+1500</f>
        <v>39700</v>
      </c>
      <c r="J516" s="412"/>
      <c r="K516" s="412"/>
      <c r="L516" s="412"/>
      <c r="M516" s="412"/>
      <c r="N516" s="412"/>
    </row>
    <row r="517" spans="1:14" s="39" customFormat="1" ht="12.75">
      <c r="A517" s="409"/>
      <c r="B517" s="409"/>
      <c r="C517" s="410">
        <v>4128</v>
      </c>
      <c r="D517" s="411" t="s">
        <v>335</v>
      </c>
      <c r="E517" s="412">
        <f>F517+N517</f>
        <v>155</v>
      </c>
      <c r="F517" s="412">
        <f>SUM(G517:M517)</f>
        <v>155</v>
      </c>
      <c r="G517" s="412"/>
      <c r="H517" s="412"/>
      <c r="I517" s="412">
        <v>155</v>
      </c>
      <c r="J517" s="412"/>
      <c r="K517" s="412"/>
      <c r="L517" s="412"/>
      <c r="M517" s="412"/>
      <c r="N517" s="412"/>
    </row>
    <row r="518" spans="1:14" s="39" customFormat="1" ht="12.75">
      <c r="A518" s="409"/>
      <c r="B518" s="409"/>
      <c r="C518" s="410">
        <v>4140</v>
      </c>
      <c r="D518" s="411" t="s">
        <v>430</v>
      </c>
      <c r="E518" s="412">
        <f t="shared" si="69"/>
        <v>15000</v>
      </c>
      <c r="F518" s="412">
        <f>SUM(G518:M518)</f>
        <v>15000</v>
      </c>
      <c r="G518" s="412"/>
      <c r="H518" s="412"/>
      <c r="I518" s="412"/>
      <c r="J518" s="412"/>
      <c r="K518" s="412"/>
      <c r="L518" s="412"/>
      <c r="M518" s="412">
        <v>15000</v>
      </c>
      <c r="N518" s="412"/>
    </row>
    <row r="519" spans="1:14" s="39" customFormat="1" ht="25.5">
      <c r="A519" s="409"/>
      <c r="B519" s="409"/>
      <c r="C519" s="410">
        <v>4210</v>
      </c>
      <c r="D519" s="411" t="s">
        <v>337</v>
      </c>
      <c r="E519" s="412">
        <f t="shared" si="69"/>
        <v>32000</v>
      </c>
      <c r="F519" s="412">
        <f t="shared" si="70"/>
        <v>32000</v>
      </c>
      <c r="G519" s="412"/>
      <c r="H519" s="412"/>
      <c r="I519" s="412"/>
      <c r="J519" s="412"/>
      <c r="K519" s="412"/>
      <c r="L519" s="412"/>
      <c r="M519" s="412">
        <v>32000</v>
      </c>
      <c r="N519" s="412"/>
    </row>
    <row r="520" spans="1:14" s="39" customFormat="1" ht="25.5">
      <c r="A520" s="409"/>
      <c r="B520" s="409"/>
      <c r="C520" s="410">
        <v>4218</v>
      </c>
      <c r="D520" s="411" t="s">
        <v>337</v>
      </c>
      <c r="E520" s="412">
        <f>F520+N520</f>
        <v>0</v>
      </c>
      <c r="F520" s="412">
        <f>SUM(G520:M520)</f>
        <v>0</v>
      </c>
      <c r="G520" s="412"/>
      <c r="H520" s="412"/>
      <c r="I520" s="412"/>
      <c r="J520" s="412"/>
      <c r="K520" s="412"/>
      <c r="L520" s="412"/>
      <c r="M520" s="412"/>
      <c r="N520" s="412"/>
    </row>
    <row r="521" spans="1:14" s="39" customFormat="1" ht="12.75">
      <c r="A521" s="409"/>
      <c r="B521" s="409"/>
      <c r="C521" s="410">
        <v>4260</v>
      </c>
      <c r="D521" s="411" t="s">
        <v>338</v>
      </c>
      <c r="E521" s="412">
        <f t="shared" si="69"/>
        <v>54000</v>
      </c>
      <c r="F521" s="412">
        <f t="shared" si="70"/>
        <v>54000</v>
      </c>
      <c r="G521" s="412"/>
      <c r="H521" s="412"/>
      <c r="I521" s="412"/>
      <c r="J521" s="412"/>
      <c r="K521" s="412"/>
      <c r="L521" s="412"/>
      <c r="M521" s="412">
        <f>44000+10000</f>
        <v>54000</v>
      </c>
      <c r="N521" s="412"/>
    </row>
    <row r="522" spans="1:14" s="39" customFormat="1" ht="12.75">
      <c r="A522" s="409"/>
      <c r="B522" s="409"/>
      <c r="C522" s="410">
        <v>4270</v>
      </c>
      <c r="D522" s="411" t="s">
        <v>339</v>
      </c>
      <c r="E522" s="412">
        <f t="shared" si="69"/>
        <v>7500</v>
      </c>
      <c r="F522" s="412">
        <f t="shared" si="70"/>
        <v>7500</v>
      </c>
      <c r="G522" s="412"/>
      <c r="H522" s="412"/>
      <c r="I522" s="412"/>
      <c r="J522" s="412"/>
      <c r="K522" s="412"/>
      <c r="L522" s="412"/>
      <c r="M522" s="412">
        <v>7500</v>
      </c>
      <c r="N522" s="412"/>
    </row>
    <row r="523" spans="1:14" s="39" customFormat="1" ht="12.75">
      <c r="A523" s="409"/>
      <c r="B523" s="409"/>
      <c r="C523" s="410">
        <v>4280</v>
      </c>
      <c r="D523" s="411" t="s">
        <v>460</v>
      </c>
      <c r="E523" s="412">
        <f t="shared" si="69"/>
        <v>1200</v>
      </c>
      <c r="F523" s="412">
        <f t="shared" si="70"/>
        <v>1200</v>
      </c>
      <c r="G523" s="412"/>
      <c r="H523" s="412"/>
      <c r="I523" s="412"/>
      <c r="J523" s="412"/>
      <c r="K523" s="412"/>
      <c r="L523" s="412"/>
      <c r="M523" s="412">
        <v>1200</v>
      </c>
      <c r="N523" s="412"/>
    </row>
    <row r="524" spans="1:14" s="39" customFormat="1" ht="12.75">
      <c r="A524" s="409"/>
      <c r="B524" s="409"/>
      <c r="C524" s="410">
        <v>4300</v>
      </c>
      <c r="D524" s="411" t="s">
        <v>461</v>
      </c>
      <c r="E524" s="412">
        <f t="shared" si="69"/>
        <v>11000</v>
      </c>
      <c r="F524" s="412">
        <f t="shared" si="70"/>
        <v>11000</v>
      </c>
      <c r="G524" s="412"/>
      <c r="H524" s="412"/>
      <c r="I524" s="412"/>
      <c r="J524" s="412"/>
      <c r="K524" s="412"/>
      <c r="L524" s="412"/>
      <c r="M524" s="412">
        <v>11000</v>
      </c>
      <c r="N524" s="412"/>
    </row>
    <row r="525" spans="1:14" s="39" customFormat="1" ht="12.75">
      <c r="A525" s="409"/>
      <c r="B525" s="409"/>
      <c r="C525" s="410">
        <v>4308</v>
      </c>
      <c r="D525" s="411" t="s">
        <v>461</v>
      </c>
      <c r="E525" s="412">
        <f>F525+N525</f>
        <v>9820</v>
      </c>
      <c r="F525" s="412">
        <f>SUM(G525:M525)</f>
        <v>9820</v>
      </c>
      <c r="G525" s="412"/>
      <c r="H525" s="412"/>
      <c r="I525" s="412"/>
      <c r="J525" s="412"/>
      <c r="K525" s="412"/>
      <c r="L525" s="412">
        <v>9820</v>
      </c>
      <c r="M525" s="412"/>
      <c r="N525" s="412"/>
    </row>
    <row r="526" spans="1:14" s="39" customFormat="1" ht="46.5" customHeight="1">
      <c r="A526" s="409"/>
      <c r="B526" s="409"/>
      <c r="C526" s="410">
        <v>4360</v>
      </c>
      <c r="D526" s="411" t="s">
        <v>423</v>
      </c>
      <c r="E526" s="412">
        <f aca="true" t="shared" si="78" ref="E526:E613">F526+N526</f>
        <v>1700</v>
      </c>
      <c r="F526" s="412">
        <f aca="true" t="shared" si="79" ref="F526:F613">SUM(G526:M526)</f>
        <v>1700</v>
      </c>
      <c r="G526" s="412"/>
      <c r="H526" s="412"/>
      <c r="I526" s="412"/>
      <c r="J526" s="412"/>
      <c r="K526" s="412"/>
      <c r="L526" s="412"/>
      <c r="M526" s="412">
        <v>1700</v>
      </c>
      <c r="N526" s="412"/>
    </row>
    <row r="527" spans="1:14" s="39" customFormat="1" ht="38.25">
      <c r="A527" s="409"/>
      <c r="B527" s="409"/>
      <c r="C527" s="410">
        <v>4370</v>
      </c>
      <c r="D527" s="411" t="s">
        <v>416</v>
      </c>
      <c r="E527" s="412">
        <f t="shared" si="78"/>
        <v>8700</v>
      </c>
      <c r="F527" s="412">
        <f t="shared" si="79"/>
        <v>8700</v>
      </c>
      <c r="G527" s="412"/>
      <c r="H527" s="412"/>
      <c r="I527" s="412"/>
      <c r="J527" s="412"/>
      <c r="K527" s="412"/>
      <c r="L527" s="412"/>
      <c r="M527" s="412">
        <v>8700</v>
      </c>
      <c r="N527" s="412"/>
    </row>
    <row r="528" spans="1:14" s="39" customFormat="1" ht="38.25">
      <c r="A528" s="409"/>
      <c r="B528" s="409"/>
      <c r="C528" s="410">
        <v>4400</v>
      </c>
      <c r="D528" s="411" t="s">
        <v>11</v>
      </c>
      <c r="E528" s="412">
        <f t="shared" si="78"/>
        <v>46700</v>
      </c>
      <c r="F528" s="412">
        <f t="shared" si="79"/>
        <v>46700</v>
      </c>
      <c r="G528" s="412"/>
      <c r="H528" s="412"/>
      <c r="I528" s="412"/>
      <c r="J528" s="412"/>
      <c r="K528" s="412"/>
      <c r="L528" s="412"/>
      <c r="M528" s="412">
        <v>46700</v>
      </c>
      <c r="N528" s="412"/>
    </row>
    <row r="529" spans="1:14" s="39" customFormat="1" ht="12.75">
      <c r="A529" s="409"/>
      <c r="B529" s="409"/>
      <c r="C529" s="410">
        <v>4410</v>
      </c>
      <c r="D529" s="411" t="s">
        <v>346</v>
      </c>
      <c r="E529" s="412">
        <f t="shared" si="78"/>
        <v>500</v>
      </c>
      <c r="F529" s="412">
        <f t="shared" si="79"/>
        <v>500</v>
      </c>
      <c r="G529" s="412"/>
      <c r="H529" s="412"/>
      <c r="I529" s="412"/>
      <c r="J529" s="412"/>
      <c r="K529" s="412"/>
      <c r="L529" s="412"/>
      <c r="M529" s="412">
        <v>500</v>
      </c>
      <c r="N529" s="412"/>
    </row>
    <row r="530" spans="1:14" s="39" customFormat="1" ht="12.75">
      <c r="A530" s="409"/>
      <c r="B530" s="409"/>
      <c r="C530" s="410">
        <v>4430</v>
      </c>
      <c r="D530" s="411" t="s">
        <v>347</v>
      </c>
      <c r="E530" s="412">
        <f t="shared" si="78"/>
        <v>6000</v>
      </c>
      <c r="F530" s="412">
        <f t="shared" si="79"/>
        <v>6000</v>
      </c>
      <c r="G530" s="412"/>
      <c r="H530" s="412"/>
      <c r="I530" s="412"/>
      <c r="J530" s="412"/>
      <c r="K530" s="412"/>
      <c r="L530" s="412"/>
      <c r="M530" s="412">
        <v>6000</v>
      </c>
      <c r="N530" s="412"/>
    </row>
    <row r="531" spans="1:14" s="39" customFormat="1" ht="48" customHeight="1">
      <c r="A531" s="409"/>
      <c r="B531" s="409"/>
      <c r="C531" s="410">
        <v>4440</v>
      </c>
      <c r="D531" s="411" t="s">
        <v>348</v>
      </c>
      <c r="E531" s="412">
        <f t="shared" si="78"/>
        <v>54050</v>
      </c>
      <c r="F531" s="412">
        <f t="shared" si="79"/>
        <v>54050</v>
      </c>
      <c r="G531" s="412"/>
      <c r="H531" s="412"/>
      <c r="I531" s="412"/>
      <c r="J531" s="412"/>
      <c r="K531" s="412"/>
      <c r="L531" s="412"/>
      <c r="M531" s="412">
        <v>54050</v>
      </c>
      <c r="N531" s="412"/>
    </row>
    <row r="532" spans="1:14" s="39" customFormat="1" ht="25.5" hidden="1">
      <c r="A532" s="409"/>
      <c r="B532" s="409"/>
      <c r="C532" s="410">
        <v>4448</v>
      </c>
      <c r="D532" s="411" t="s">
        <v>348</v>
      </c>
      <c r="E532" s="412">
        <f>F532+N532</f>
        <v>0</v>
      </c>
      <c r="F532" s="412">
        <f>SUM(G532:M532)</f>
        <v>0</v>
      </c>
      <c r="G532" s="412"/>
      <c r="H532" s="412"/>
      <c r="I532" s="412"/>
      <c r="J532" s="412"/>
      <c r="K532" s="412"/>
      <c r="L532" s="412"/>
      <c r="M532" s="412"/>
      <c r="N532" s="412"/>
    </row>
    <row r="533" spans="1:14" s="39" customFormat="1" ht="12.75">
      <c r="A533" s="409"/>
      <c r="B533" s="409"/>
      <c r="C533" s="410">
        <v>4480</v>
      </c>
      <c r="D533" s="411" t="s">
        <v>349</v>
      </c>
      <c r="E533" s="412">
        <f t="shared" si="78"/>
        <v>4500</v>
      </c>
      <c r="F533" s="412">
        <f t="shared" si="79"/>
        <v>4500</v>
      </c>
      <c r="G533" s="412"/>
      <c r="H533" s="412"/>
      <c r="I533" s="412"/>
      <c r="J533" s="412"/>
      <c r="K533" s="412"/>
      <c r="L533" s="412"/>
      <c r="M533" s="412">
        <v>4500</v>
      </c>
      <c r="N533" s="412"/>
    </row>
    <row r="534" spans="1:14" s="39" customFormat="1" ht="41.25" customHeight="1">
      <c r="A534" s="409"/>
      <c r="B534" s="409"/>
      <c r="C534" s="410">
        <v>4520</v>
      </c>
      <c r="D534" s="411" t="s">
        <v>477</v>
      </c>
      <c r="E534" s="412">
        <f t="shared" si="78"/>
        <v>110</v>
      </c>
      <c r="F534" s="412">
        <f t="shared" si="79"/>
        <v>110</v>
      </c>
      <c r="G534" s="412"/>
      <c r="H534" s="412"/>
      <c r="I534" s="412"/>
      <c r="J534" s="412"/>
      <c r="K534" s="412"/>
      <c r="L534" s="412"/>
      <c r="M534" s="412">
        <v>110</v>
      </c>
      <c r="N534" s="412"/>
    </row>
    <row r="535" spans="1:14" s="39" customFormat="1" ht="38.25">
      <c r="A535" s="409"/>
      <c r="B535" s="409"/>
      <c r="C535" s="410">
        <v>4700</v>
      </c>
      <c r="D535" s="411" t="s">
        <v>565</v>
      </c>
      <c r="E535" s="412">
        <f t="shared" si="78"/>
        <v>3000</v>
      </c>
      <c r="F535" s="412">
        <f t="shared" si="79"/>
        <v>3000</v>
      </c>
      <c r="G535" s="412"/>
      <c r="H535" s="412"/>
      <c r="I535" s="412"/>
      <c r="J535" s="412"/>
      <c r="K535" s="412"/>
      <c r="L535" s="412"/>
      <c r="M535" s="412">
        <v>3000</v>
      </c>
      <c r="N535" s="412"/>
    </row>
    <row r="536" spans="1:14" s="39" customFormat="1" ht="51">
      <c r="A536" s="409"/>
      <c r="B536" s="409"/>
      <c r="C536" s="410">
        <v>4740</v>
      </c>
      <c r="D536" s="411" t="s">
        <v>374</v>
      </c>
      <c r="E536" s="412">
        <f t="shared" si="78"/>
        <v>600</v>
      </c>
      <c r="F536" s="412">
        <f t="shared" si="79"/>
        <v>600</v>
      </c>
      <c r="G536" s="412"/>
      <c r="H536" s="412"/>
      <c r="I536" s="412"/>
      <c r="J536" s="412"/>
      <c r="K536" s="412"/>
      <c r="L536" s="412"/>
      <c r="M536" s="412">
        <v>600</v>
      </c>
      <c r="N536" s="412"/>
    </row>
    <row r="537" spans="1:14" s="39" customFormat="1" ht="38.25" hidden="1">
      <c r="A537" s="409"/>
      <c r="B537" s="409"/>
      <c r="C537" s="410">
        <v>4758</v>
      </c>
      <c r="D537" s="411" t="s">
        <v>417</v>
      </c>
      <c r="E537" s="412">
        <f>F537+N537</f>
        <v>0</v>
      </c>
      <c r="F537" s="412">
        <f>SUM(G537:M537)</f>
        <v>0</v>
      </c>
      <c r="G537" s="412"/>
      <c r="H537" s="412"/>
      <c r="I537" s="412"/>
      <c r="J537" s="412"/>
      <c r="K537" s="412"/>
      <c r="L537" s="412"/>
      <c r="M537" s="412"/>
      <c r="N537" s="412"/>
    </row>
    <row r="538" spans="1:14" s="39" customFormat="1" ht="12.75" hidden="1">
      <c r="A538" s="409"/>
      <c r="B538" s="431">
        <v>85334</v>
      </c>
      <c r="C538" s="406"/>
      <c r="D538" s="432" t="s">
        <v>603</v>
      </c>
      <c r="E538" s="408">
        <f>F538+N538</f>
        <v>0</v>
      </c>
      <c r="F538" s="408">
        <f>SUM(G538:M538)</f>
        <v>0</v>
      </c>
      <c r="G538" s="408">
        <f>SUM(G539)</f>
        <v>0</v>
      </c>
      <c r="H538" s="408">
        <f aca="true" t="shared" si="80" ref="H538:N538">SUM(H539)</f>
        <v>0</v>
      </c>
      <c r="I538" s="408">
        <f t="shared" si="80"/>
        <v>0</v>
      </c>
      <c r="J538" s="408">
        <f t="shared" si="80"/>
        <v>0</v>
      </c>
      <c r="K538" s="408">
        <f t="shared" si="80"/>
        <v>0</v>
      </c>
      <c r="L538" s="408">
        <f t="shared" si="80"/>
        <v>0</v>
      </c>
      <c r="M538" s="408">
        <f t="shared" si="80"/>
        <v>0</v>
      </c>
      <c r="N538" s="408">
        <f t="shared" si="80"/>
        <v>0</v>
      </c>
    </row>
    <row r="539" spans="1:14" s="39" customFormat="1" ht="12.75" hidden="1">
      <c r="A539" s="409"/>
      <c r="B539" s="409"/>
      <c r="C539" s="433">
        <v>3110</v>
      </c>
      <c r="D539" s="419" t="s">
        <v>442</v>
      </c>
      <c r="E539" s="412">
        <f>F539+N539</f>
        <v>0</v>
      </c>
      <c r="F539" s="412">
        <f>SUM(G539:M539)</f>
        <v>0</v>
      </c>
      <c r="G539" s="412"/>
      <c r="H539" s="412"/>
      <c r="I539" s="412"/>
      <c r="J539" s="412"/>
      <c r="K539" s="412"/>
      <c r="L539" s="412"/>
      <c r="M539" s="412"/>
      <c r="N539" s="412"/>
    </row>
    <row r="540" spans="1:14" s="39" customFormat="1" ht="12.75">
      <c r="A540" s="409"/>
      <c r="B540" s="426">
        <v>85395</v>
      </c>
      <c r="C540" s="434"/>
      <c r="D540" s="416" t="s">
        <v>455</v>
      </c>
      <c r="E540" s="408">
        <f>F540+N540</f>
        <v>1825236</v>
      </c>
      <c r="F540" s="408">
        <f>SUM(G540:M540)</f>
        <v>1818036</v>
      </c>
      <c r="G540" s="412">
        <f>SUM(G541:G566)</f>
        <v>0</v>
      </c>
      <c r="H540" s="412">
        <f aca="true" t="shared" si="81" ref="H540:N540">SUM(H541:H566)</f>
        <v>0</v>
      </c>
      <c r="I540" s="412">
        <f t="shared" si="81"/>
        <v>25442</v>
      </c>
      <c r="J540" s="412">
        <f t="shared" si="81"/>
        <v>1554445</v>
      </c>
      <c r="K540" s="412">
        <f t="shared" si="81"/>
        <v>0</v>
      </c>
      <c r="L540" s="412">
        <f t="shared" si="81"/>
        <v>238149</v>
      </c>
      <c r="M540" s="412">
        <f t="shared" si="81"/>
        <v>0</v>
      </c>
      <c r="N540" s="412">
        <f t="shared" si="81"/>
        <v>7200</v>
      </c>
    </row>
    <row r="541" spans="1:14" s="39" customFormat="1" ht="63.75">
      <c r="A541" s="409"/>
      <c r="B541" s="76"/>
      <c r="C541" s="435">
        <v>2318</v>
      </c>
      <c r="D541" s="436" t="s">
        <v>615</v>
      </c>
      <c r="E541" s="408">
        <f aca="true" t="shared" si="82" ref="E541:E566">F541+N541</f>
        <v>479482</v>
      </c>
      <c r="F541" s="408">
        <f aca="true" t="shared" si="83" ref="F541:F566">SUM(G541:M541)</f>
        <v>479482</v>
      </c>
      <c r="G541" s="412"/>
      <c r="H541" s="412"/>
      <c r="I541" s="412"/>
      <c r="J541" s="437">
        <v>479482</v>
      </c>
      <c r="K541" s="412"/>
      <c r="L541" s="412"/>
      <c r="M541" s="412"/>
      <c r="N541" s="412"/>
    </row>
    <row r="542" spans="1:14" s="39" customFormat="1" ht="75.75" customHeight="1">
      <c r="A542" s="409"/>
      <c r="B542" s="76"/>
      <c r="C542" s="435">
        <v>2319</v>
      </c>
      <c r="D542" s="436" t="s">
        <v>616</v>
      </c>
      <c r="E542" s="408">
        <f t="shared" si="82"/>
        <v>84615</v>
      </c>
      <c r="F542" s="408">
        <f t="shared" si="83"/>
        <v>84615</v>
      </c>
      <c r="G542" s="412"/>
      <c r="H542" s="412"/>
      <c r="I542" s="412"/>
      <c r="J542" s="437">
        <v>84615</v>
      </c>
      <c r="K542" s="412"/>
      <c r="L542" s="412"/>
      <c r="M542" s="412"/>
      <c r="N542" s="412"/>
    </row>
    <row r="543" spans="1:14" s="39" customFormat="1" ht="73.5" customHeight="1">
      <c r="A543" s="409"/>
      <c r="B543" s="76"/>
      <c r="C543" s="435">
        <v>2328</v>
      </c>
      <c r="D543" s="436" t="s">
        <v>359</v>
      </c>
      <c r="E543" s="408">
        <f>F543+N543</f>
        <v>841796</v>
      </c>
      <c r="F543" s="408">
        <f>SUM(G543:M543)</f>
        <v>841796</v>
      </c>
      <c r="G543" s="412"/>
      <c r="H543" s="412"/>
      <c r="I543" s="412"/>
      <c r="J543" s="437">
        <v>841796</v>
      </c>
      <c r="K543" s="412"/>
      <c r="L543" s="412"/>
      <c r="M543" s="412"/>
      <c r="N543" s="412"/>
    </row>
    <row r="544" spans="1:14" s="39" customFormat="1" ht="70.5" customHeight="1">
      <c r="A544" s="409"/>
      <c r="B544" s="76"/>
      <c r="C544" s="435">
        <v>2329</v>
      </c>
      <c r="D544" s="436" t="s">
        <v>359</v>
      </c>
      <c r="E544" s="408">
        <f>F544+N544</f>
        <v>148552</v>
      </c>
      <c r="F544" s="408">
        <f>SUM(G544:M544)</f>
        <v>148552</v>
      </c>
      <c r="G544" s="412"/>
      <c r="H544" s="412"/>
      <c r="I544" s="412"/>
      <c r="J544" s="437">
        <v>148552</v>
      </c>
      <c r="K544" s="412"/>
      <c r="L544" s="412"/>
      <c r="M544" s="412"/>
      <c r="N544" s="412"/>
    </row>
    <row r="545" spans="1:14" s="39" customFormat="1" ht="25.5">
      <c r="A545" s="409"/>
      <c r="B545" s="76"/>
      <c r="C545" s="434">
        <v>4118</v>
      </c>
      <c r="D545" s="436" t="s">
        <v>412</v>
      </c>
      <c r="E545" s="408">
        <f t="shared" si="82"/>
        <v>18623</v>
      </c>
      <c r="F545" s="408">
        <f t="shared" si="83"/>
        <v>18623</v>
      </c>
      <c r="G545" s="412"/>
      <c r="H545" s="412"/>
      <c r="I545" s="438">
        <v>18623</v>
      </c>
      <c r="J545" s="412"/>
      <c r="K545" s="412"/>
      <c r="L545" s="412"/>
      <c r="M545" s="412"/>
      <c r="N545" s="412"/>
    </row>
    <row r="546" spans="1:14" s="39" customFormat="1" ht="25.5">
      <c r="A546" s="409"/>
      <c r="B546" s="76"/>
      <c r="C546" s="434">
        <v>4119</v>
      </c>
      <c r="D546" s="436" t="s">
        <v>412</v>
      </c>
      <c r="E546" s="408">
        <f t="shared" si="82"/>
        <v>3286</v>
      </c>
      <c r="F546" s="408">
        <f t="shared" si="83"/>
        <v>3286</v>
      </c>
      <c r="G546" s="412"/>
      <c r="H546" s="412"/>
      <c r="I546" s="438">
        <v>3286</v>
      </c>
      <c r="J546" s="412"/>
      <c r="K546" s="412"/>
      <c r="L546" s="412"/>
      <c r="M546" s="412"/>
      <c r="N546" s="412"/>
    </row>
    <row r="547" spans="1:14" s="39" customFormat="1" ht="12.75">
      <c r="A547" s="409"/>
      <c r="B547" s="76"/>
      <c r="C547" s="434">
        <v>4128</v>
      </c>
      <c r="D547" s="436" t="s">
        <v>414</v>
      </c>
      <c r="E547" s="408">
        <f t="shared" si="82"/>
        <v>3003</v>
      </c>
      <c r="F547" s="408">
        <f t="shared" si="83"/>
        <v>3003</v>
      </c>
      <c r="G547" s="412"/>
      <c r="H547" s="412"/>
      <c r="I547" s="438">
        <v>3003</v>
      </c>
      <c r="J547" s="412"/>
      <c r="K547" s="412"/>
      <c r="L547" s="412"/>
      <c r="M547" s="412"/>
      <c r="N547" s="412"/>
    </row>
    <row r="548" spans="1:14" s="39" customFormat="1" ht="12.75">
      <c r="A548" s="409"/>
      <c r="B548" s="76"/>
      <c r="C548" s="434">
        <v>4129</v>
      </c>
      <c r="D548" s="436" t="s">
        <v>414</v>
      </c>
      <c r="E548" s="408">
        <f t="shared" si="82"/>
        <v>530</v>
      </c>
      <c r="F548" s="408">
        <f t="shared" si="83"/>
        <v>530</v>
      </c>
      <c r="G548" s="412"/>
      <c r="H548" s="412"/>
      <c r="I548" s="438">
        <v>530</v>
      </c>
      <c r="J548" s="412"/>
      <c r="K548" s="412"/>
      <c r="L548" s="412"/>
      <c r="M548" s="412"/>
      <c r="N548" s="412"/>
    </row>
    <row r="549" spans="1:14" s="39" customFormat="1" ht="30" customHeight="1">
      <c r="A549" s="409"/>
      <c r="B549" s="76"/>
      <c r="C549" s="434">
        <v>4178</v>
      </c>
      <c r="D549" s="436" t="s">
        <v>371</v>
      </c>
      <c r="E549" s="408">
        <f t="shared" si="82"/>
        <v>122598</v>
      </c>
      <c r="F549" s="408">
        <f t="shared" si="83"/>
        <v>122598</v>
      </c>
      <c r="G549" s="412"/>
      <c r="H549" s="412"/>
      <c r="I549" s="412"/>
      <c r="J549" s="412"/>
      <c r="K549" s="412"/>
      <c r="L549" s="438">
        <v>122598</v>
      </c>
      <c r="M549" s="412"/>
      <c r="N549" s="412"/>
    </row>
    <row r="550" spans="1:14" s="39" customFormat="1" ht="27.75" customHeight="1">
      <c r="A550" s="409"/>
      <c r="B550" s="76"/>
      <c r="C550" s="434">
        <v>4179</v>
      </c>
      <c r="D550" s="436" t="s">
        <v>371</v>
      </c>
      <c r="E550" s="408">
        <f t="shared" si="82"/>
        <v>21635</v>
      </c>
      <c r="F550" s="408">
        <f t="shared" si="83"/>
        <v>21635</v>
      </c>
      <c r="G550" s="412"/>
      <c r="H550" s="412"/>
      <c r="I550" s="412"/>
      <c r="J550" s="412"/>
      <c r="K550" s="412"/>
      <c r="L550" s="438">
        <v>21635</v>
      </c>
      <c r="M550" s="412"/>
      <c r="N550" s="412"/>
    </row>
    <row r="551" spans="1:14" s="39" customFormat="1" ht="25.5">
      <c r="A551" s="409"/>
      <c r="B551" s="76"/>
      <c r="C551" s="434">
        <v>4218</v>
      </c>
      <c r="D551" s="436" t="s">
        <v>337</v>
      </c>
      <c r="E551" s="408">
        <f t="shared" si="82"/>
        <v>3392</v>
      </c>
      <c r="F551" s="408">
        <f t="shared" si="83"/>
        <v>3392</v>
      </c>
      <c r="G551" s="412"/>
      <c r="H551" s="412"/>
      <c r="I551" s="412"/>
      <c r="J551" s="412"/>
      <c r="K551" s="412"/>
      <c r="L551" s="438">
        <v>3392</v>
      </c>
      <c r="M551" s="412"/>
      <c r="N551" s="412"/>
    </row>
    <row r="552" spans="1:14" s="39" customFormat="1" ht="25.5">
      <c r="A552" s="409"/>
      <c r="B552" s="76"/>
      <c r="C552" s="434">
        <v>4219</v>
      </c>
      <c r="D552" s="436" t="s">
        <v>337</v>
      </c>
      <c r="E552" s="408">
        <f t="shared" si="82"/>
        <v>599</v>
      </c>
      <c r="F552" s="408">
        <f t="shared" si="83"/>
        <v>599</v>
      </c>
      <c r="G552" s="412"/>
      <c r="H552" s="412"/>
      <c r="I552" s="412"/>
      <c r="J552" s="412"/>
      <c r="K552" s="412"/>
      <c r="L552" s="438">
        <v>599</v>
      </c>
      <c r="M552" s="412"/>
      <c r="N552" s="412"/>
    </row>
    <row r="553" spans="1:14" s="39" customFormat="1" ht="25.5" hidden="1">
      <c r="A553" s="409"/>
      <c r="B553" s="76"/>
      <c r="C553" s="434">
        <v>4248</v>
      </c>
      <c r="D553" s="436" t="s">
        <v>422</v>
      </c>
      <c r="E553" s="408">
        <f t="shared" si="82"/>
        <v>0</v>
      </c>
      <c r="F553" s="408">
        <f t="shared" si="83"/>
        <v>0</v>
      </c>
      <c r="G553" s="412"/>
      <c r="H553" s="412"/>
      <c r="I553" s="412"/>
      <c r="J553" s="412"/>
      <c r="K553" s="412"/>
      <c r="L553" s="438"/>
      <c r="M553" s="412"/>
      <c r="N553" s="412"/>
    </row>
    <row r="554" spans="1:14" s="39" customFormat="1" ht="25.5" hidden="1">
      <c r="A554" s="409"/>
      <c r="B554" s="76"/>
      <c r="C554" s="434">
        <v>4249</v>
      </c>
      <c r="D554" s="436" t="s">
        <v>422</v>
      </c>
      <c r="E554" s="408">
        <f t="shared" si="82"/>
        <v>0</v>
      </c>
      <c r="F554" s="408">
        <f t="shared" si="83"/>
        <v>0</v>
      </c>
      <c r="G554" s="412"/>
      <c r="H554" s="412"/>
      <c r="I554" s="412"/>
      <c r="J554" s="412"/>
      <c r="K554" s="412"/>
      <c r="L554" s="438"/>
      <c r="M554" s="412"/>
      <c r="N554" s="412"/>
    </row>
    <row r="555" spans="1:14" s="39" customFormat="1" ht="38.25" hidden="1">
      <c r="A555" s="409"/>
      <c r="B555" s="76"/>
      <c r="C555" s="434">
        <v>4378</v>
      </c>
      <c r="D555" s="436" t="s">
        <v>416</v>
      </c>
      <c r="E555" s="408">
        <f t="shared" si="82"/>
        <v>0</v>
      </c>
      <c r="F555" s="408">
        <f t="shared" si="83"/>
        <v>0</v>
      </c>
      <c r="G555" s="412"/>
      <c r="H555" s="412"/>
      <c r="I555" s="412"/>
      <c r="J555" s="412"/>
      <c r="K555" s="412"/>
      <c r="L555" s="438"/>
      <c r="M555" s="412"/>
      <c r="N555" s="412"/>
    </row>
    <row r="556" spans="1:14" s="39" customFormat="1" ht="38.25" hidden="1">
      <c r="A556" s="409"/>
      <c r="B556" s="76"/>
      <c r="C556" s="434">
        <v>4379</v>
      </c>
      <c r="D556" s="436" t="s">
        <v>416</v>
      </c>
      <c r="E556" s="408">
        <f t="shared" si="82"/>
        <v>0</v>
      </c>
      <c r="F556" s="408">
        <f t="shared" si="83"/>
        <v>0</v>
      </c>
      <c r="G556" s="412"/>
      <c r="H556" s="412"/>
      <c r="I556" s="412"/>
      <c r="J556" s="412"/>
      <c r="K556" s="412"/>
      <c r="L556" s="438"/>
      <c r="M556" s="412"/>
      <c r="N556" s="412"/>
    </row>
    <row r="557" spans="1:14" s="39" customFormat="1" ht="12.75">
      <c r="A557" s="409"/>
      <c r="B557" s="76"/>
      <c r="C557" s="434">
        <v>4308</v>
      </c>
      <c r="D557" s="436" t="s">
        <v>320</v>
      </c>
      <c r="E557" s="408">
        <f t="shared" si="82"/>
        <v>67290</v>
      </c>
      <c r="F557" s="408">
        <f t="shared" si="83"/>
        <v>67290</v>
      </c>
      <c r="G557" s="412"/>
      <c r="H557" s="412"/>
      <c r="I557" s="412"/>
      <c r="J557" s="412"/>
      <c r="K557" s="412"/>
      <c r="L557" s="438">
        <v>67290</v>
      </c>
      <c r="M557" s="412"/>
      <c r="N557" s="412"/>
    </row>
    <row r="558" spans="1:14" s="39" customFormat="1" ht="12.75">
      <c r="A558" s="409"/>
      <c r="B558" s="76"/>
      <c r="C558" s="434">
        <v>4309</v>
      </c>
      <c r="D558" s="436" t="s">
        <v>320</v>
      </c>
      <c r="E558" s="408">
        <f t="shared" si="82"/>
        <v>11875</v>
      </c>
      <c r="F558" s="408">
        <f t="shared" si="83"/>
        <v>11875</v>
      </c>
      <c r="G558" s="412"/>
      <c r="H558" s="412"/>
      <c r="I558" s="412"/>
      <c r="J558" s="412"/>
      <c r="K558" s="412"/>
      <c r="L558" s="438">
        <v>11875</v>
      </c>
      <c r="M558" s="412"/>
      <c r="N558" s="412"/>
    </row>
    <row r="559" spans="1:14" s="39" customFormat="1" ht="63.75" customHeight="1">
      <c r="A559" s="409"/>
      <c r="B559" s="76"/>
      <c r="C559" s="434">
        <v>4748</v>
      </c>
      <c r="D559" s="436" t="s">
        <v>374</v>
      </c>
      <c r="E559" s="408">
        <f t="shared" si="82"/>
        <v>1836</v>
      </c>
      <c r="F559" s="408">
        <f t="shared" si="83"/>
        <v>1836</v>
      </c>
      <c r="G559" s="412"/>
      <c r="H559" s="412"/>
      <c r="I559" s="412"/>
      <c r="J559" s="412"/>
      <c r="K559" s="412"/>
      <c r="L559" s="438">
        <v>1836</v>
      </c>
      <c r="M559" s="412"/>
      <c r="N559" s="412"/>
    </row>
    <row r="560" spans="1:14" s="39" customFormat="1" ht="63.75" customHeight="1">
      <c r="A560" s="409"/>
      <c r="B560" s="76"/>
      <c r="C560" s="434">
        <v>4749</v>
      </c>
      <c r="D560" s="436" t="s">
        <v>374</v>
      </c>
      <c r="E560" s="408">
        <f t="shared" si="82"/>
        <v>324</v>
      </c>
      <c r="F560" s="408">
        <f t="shared" si="83"/>
        <v>324</v>
      </c>
      <c r="G560" s="412"/>
      <c r="H560" s="412"/>
      <c r="I560" s="412"/>
      <c r="J560" s="412"/>
      <c r="K560" s="412"/>
      <c r="L560" s="438">
        <v>324</v>
      </c>
      <c r="M560" s="412"/>
      <c r="N560" s="412"/>
    </row>
    <row r="561" spans="1:14" s="39" customFormat="1" ht="51" customHeight="1">
      <c r="A561" s="409"/>
      <c r="B561" s="76"/>
      <c r="C561" s="434">
        <v>4758</v>
      </c>
      <c r="D561" s="436" t="s">
        <v>417</v>
      </c>
      <c r="E561" s="408">
        <f t="shared" si="82"/>
        <v>7310</v>
      </c>
      <c r="F561" s="408">
        <f t="shared" si="83"/>
        <v>7310</v>
      </c>
      <c r="G561" s="412"/>
      <c r="H561" s="412"/>
      <c r="I561" s="412"/>
      <c r="J561" s="412"/>
      <c r="K561" s="412"/>
      <c r="L561" s="438">
        <v>7310</v>
      </c>
      <c r="M561" s="412"/>
      <c r="N561" s="412"/>
    </row>
    <row r="562" spans="1:14" s="39" customFormat="1" ht="38.25">
      <c r="A562" s="409"/>
      <c r="B562" s="76"/>
      <c r="C562" s="434">
        <v>4759</v>
      </c>
      <c r="D562" s="436" t="s">
        <v>417</v>
      </c>
      <c r="E562" s="408">
        <f t="shared" si="82"/>
        <v>1290</v>
      </c>
      <c r="F562" s="408">
        <f t="shared" si="83"/>
        <v>1290</v>
      </c>
      <c r="G562" s="412"/>
      <c r="H562" s="412"/>
      <c r="I562" s="412"/>
      <c r="J562" s="412"/>
      <c r="K562" s="412"/>
      <c r="L562" s="438">
        <v>1290</v>
      </c>
      <c r="M562" s="412"/>
      <c r="N562" s="412"/>
    </row>
    <row r="563" spans="1:14" s="39" customFormat="1" ht="38.25" hidden="1">
      <c r="A563" s="409"/>
      <c r="B563" s="76"/>
      <c r="C563" s="434">
        <v>6068</v>
      </c>
      <c r="D563" s="436" t="s">
        <v>567</v>
      </c>
      <c r="E563" s="408">
        <f t="shared" si="82"/>
        <v>0</v>
      </c>
      <c r="F563" s="408">
        <f t="shared" si="83"/>
        <v>0</v>
      </c>
      <c r="G563" s="412"/>
      <c r="H563" s="412"/>
      <c r="I563" s="412"/>
      <c r="J563" s="412"/>
      <c r="K563" s="412"/>
      <c r="L563" s="438"/>
      <c r="M563" s="412"/>
      <c r="N563" s="412"/>
    </row>
    <row r="564" spans="1:14" s="39" customFormat="1" ht="38.25" hidden="1">
      <c r="A564" s="409"/>
      <c r="B564" s="76"/>
      <c r="C564" s="434">
        <v>6069</v>
      </c>
      <c r="D564" s="436" t="s">
        <v>567</v>
      </c>
      <c r="E564" s="408">
        <f t="shared" si="82"/>
        <v>0</v>
      </c>
      <c r="F564" s="408">
        <f t="shared" si="83"/>
        <v>0</v>
      </c>
      <c r="G564" s="412"/>
      <c r="H564" s="412"/>
      <c r="I564" s="412"/>
      <c r="J564" s="412"/>
      <c r="K564" s="412"/>
      <c r="L564" s="438"/>
      <c r="M564" s="412"/>
      <c r="N564" s="412"/>
    </row>
    <row r="565" spans="1:14" s="39" customFormat="1" ht="38.25">
      <c r="A565" s="400"/>
      <c r="B565" s="400"/>
      <c r="C565" s="410">
        <v>6068</v>
      </c>
      <c r="D565" s="418" t="s">
        <v>567</v>
      </c>
      <c r="E565" s="412">
        <f t="shared" si="82"/>
        <v>6120</v>
      </c>
      <c r="F565" s="412">
        <f t="shared" si="83"/>
        <v>0</v>
      </c>
      <c r="G565" s="412"/>
      <c r="H565" s="412"/>
      <c r="I565" s="412"/>
      <c r="J565" s="412"/>
      <c r="K565" s="412"/>
      <c r="L565" s="412"/>
      <c r="M565" s="412"/>
      <c r="N565" s="412">
        <v>6120</v>
      </c>
    </row>
    <row r="566" spans="1:14" s="39" customFormat="1" ht="38.25">
      <c r="A566" s="400"/>
      <c r="B566" s="400"/>
      <c r="C566" s="410">
        <v>6069</v>
      </c>
      <c r="D566" s="418" t="s">
        <v>567</v>
      </c>
      <c r="E566" s="412">
        <f t="shared" si="82"/>
        <v>1080</v>
      </c>
      <c r="F566" s="412">
        <f t="shared" si="83"/>
        <v>0</v>
      </c>
      <c r="G566" s="412"/>
      <c r="H566" s="412"/>
      <c r="I566" s="412"/>
      <c r="J566" s="412"/>
      <c r="K566" s="412"/>
      <c r="L566" s="412"/>
      <c r="M566" s="412"/>
      <c r="N566" s="412">
        <v>1080</v>
      </c>
    </row>
    <row r="567" spans="1:14" s="404" customFormat="1" ht="25.5">
      <c r="A567" s="400">
        <v>854</v>
      </c>
      <c r="B567" s="400"/>
      <c r="C567" s="401"/>
      <c r="D567" s="417" t="s">
        <v>462</v>
      </c>
      <c r="E567" s="403">
        <f>F567+N567</f>
        <v>2098190</v>
      </c>
      <c r="F567" s="403">
        <f t="shared" si="79"/>
        <v>2098190</v>
      </c>
      <c r="G567" s="403">
        <f aca="true" t="shared" si="84" ref="G567:N567">SUM(G568+G575+G598+G616+G621+G623+G626)</f>
        <v>985670</v>
      </c>
      <c r="H567" s="403">
        <f t="shared" si="84"/>
        <v>78210</v>
      </c>
      <c r="I567" s="403">
        <f t="shared" si="84"/>
        <v>189800</v>
      </c>
      <c r="J567" s="403">
        <f t="shared" si="84"/>
        <v>294000</v>
      </c>
      <c r="K567" s="403">
        <f t="shared" si="84"/>
        <v>0</v>
      </c>
      <c r="L567" s="403">
        <f t="shared" si="84"/>
        <v>0</v>
      </c>
      <c r="M567" s="403">
        <f t="shared" si="84"/>
        <v>550510</v>
      </c>
      <c r="N567" s="403">
        <f t="shared" si="84"/>
        <v>0</v>
      </c>
    </row>
    <row r="568" spans="1:14" s="63" customFormat="1" ht="12.75">
      <c r="A568" s="405"/>
      <c r="B568" s="405">
        <v>85401</v>
      </c>
      <c r="C568" s="406"/>
      <c r="D568" s="416" t="s">
        <v>463</v>
      </c>
      <c r="E568" s="408">
        <f t="shared" si="78"/>
        <v>176540</v>
      </c>
      <c r="F568" s="408">
        <f t="shared" si="79"/>
        <v>176540</v>
      </c>
      <c r="G568" s="408">
        <f aca="true" t="shared" si="85" ref="G568:N568">SUM(G569:G574)</f>
        <v>135810</v>
      </c>
      <c r="H568" s="408">
        <f t="shared" si="85"/>
        <v>9500</v>
      </c>
      <c r="I568" s="408">
        <f t="shared" si="85"/>
        <v>30910</v>
      </c>
      <c r="J568" s="408">
        <f t="shared" si="85"/>
        <v>0</v>
      </c>
      <c r="K568" s="408">
        <f t="shared" si="85"/>
        <v>0</v>
      </c>
      <c r="L568" s="408">
        <f t="shared" si="85"/>
        <v>0</v>
      </c>
      <c r="M568" s="408">
        <f t="shared" si="85"/>
        <v>320</v>
      </c>
      <c r="N568" s="408">
        <f t="shared" si="85"/>
        <v>0</v>
      </c>
    </row>
    <row r="569" spans="1:14" s="39" customFormat="1" ht="25.5">
      <c r="A569" s="409"/>
      <c r="B569" s="409"/>
      <c r="C569" s="410">
        <v>3020</v>
      </c>
      <c r="D569" s="411" t="s">
        <v>566</v>
      </c>
      <c r="E569" s="412">
        <f t="shared" si="78"/>
        <v>320</v>
      </c>
      <c r="F569" s="412">
        <f t="shared" si="79"/>
        <v>320</v>
      </c>
      <c r="G569" s="412"/>
      <c r="H569" s="412"/>
      <c r="I569" s="412"/>
      <c r="J569" s="412"/>
      <c r="K569" s="412"/>
      <c r="L569" s="412"/>
      <c r="M569" s="412">
        <v>320</v>
      </c>
      <c r="N569" s="412"/>
    </row>
    <row r="570" spans="1:14" s="39" customFormat="1" ht="25.5">
      <c r="A570" s="409"/>
      <c r="B570" s="409"/>
      <c r="C570" s="410">
        <v>4010</v>
      </c>
      <c r="D570" s="411" t="s">
        <v>332</v>
      </c>
      <c r="E570" s="412">
        <f t="shared" si="78"/>
        <v>135810</v>
      </c>
      <c r="F570" s="412">
        <f t="shared" si="79"/>
        <v>135810</v>
      </c>
      <c r="G570" s="412">
        <v>135810</v>
      </c>
      <c r="H570" s="412"/>
      <c r="I570" s="412"/>
      <c r="J570" s="412"/>
      <c r="K570" s="412"/>
      <c r="L570" s="412"/>
      <c r="M570" s="412"/>
      <c r="N570" s="412"/>
    </row>
    <row r="571" spans="1:14" s="39" customFormat="1" ht="25.5">
      <c r="A571" s="409"/>
      <c r="B571" s="409"/>
      <c r="C571" s="410">
        <v>4040</v>
      </c>
      <c r="D571" s="411" t="s">
        <v>333</v>
      </c>
      <c r="E571" s="412">
        <f t="shared" si="78"/>
        <v>9500</v>
      </c>
      <c r="F571" s="412">
        <f t="shared" si="79"/>
        <v>9500</v>
      </c>
      <c r="G571" s="412"/>
      <c r="H571" s="412">
        <v>9500</v>
      </c>
      <c r="I571" s="412"/>
      <c r="J571" s="412"/>
      <c r="K571" s="412"/>
      <c r="L571" s="412"/>
      <c r="M571" s="412"/>
      <c r="N571" s="412"/>
    </row>
    <row r="572" spans="1:14" s="39" customFormat="1" ht="25.5">
      <c r="A572" s="409"/>
      <c r="B572" s="409"/>
      <c r="C572" s="410">
        <v>4110</v>
      </c>
      <c r="D572" s="411" t="s">
        <v>412</v>
      </c>
      <c r="E572" s="412">
        <f t="shared" si="78"/>
        <v>21740</v>
      </c>
      <c r="F572" s="412">
        <f t="shared" si="79"/>
        <v>21740</v>
      </c>
      <c r="G572" s="412"/>
      <c r="H572" s="412"/>
      <c r="I572" s="412">
        <v>21740</v>
      </c>
      <c r="J572" s="412"/>
      <c r="K572" s="412"/>
      <c r="L572" s="412"/>
      <c r="M572" s="412"/>
      <c r="N572" s="412"/>
    </row>
    <row r="573" spans="1:14" s="39" customFormat="1" ht="12.75">
      <c r="A573" s="409"/>
      <c r="B573" s="409"/>
      <c r="C573" s="410">
        <v>4120</v>
      </c>
      <c r="D573" s="411" t="s">
        <v>335</v>
      </c>
      <c r="E573" s="412">
        <f t="shared" si="78"/>
        <v>3490</v>
      </c>
      <c r="F573" s="412">
        <f t="shared" si="79"/>
        <v>3490</v>
      </c>
      <c r="G573" s="412"/>
      <c r="H573" s="412"/>
      <c r="I573" s="412">
        <v>3490</v>
      </c>
      <c r="J573" s="412"/>
      <c r="K573" s="412"/>
      <c r="L573" s="412"/>
      <c r="M573" s="412"/>
      <c r="N573" s="412"/>
    </row>
    <row r="574" spans="1:14" s="39" customFormat="1" ht="40.5" customHeight="1">
      <c r="A574" s="409"/>
      <c r="B574" s="409"/>
      <c r="C574" s="410">
        <v>4440</v>
      </c>
      <c r="D574" s="411" t="s">
        <v>348</v>
      </c>
      <c r="E574" s="412">
        <f t="shared" si="78"/>
        <v>5680</v>
      </c>
      <c r="F574" s="412">
        <f t="shared" si="79"/>
        <v>5680</v>
      </c>
      <c r="G574" s="412"/>
      <c r="H574" s="412"/>
      <c r="I574" s="412">
        <v>5680</v>
      </c>
      <c r="J574" s="412"/>
      <c r="K574" s="412"/>
      <c r="L574" s="412"/>
      <c r="M574" s="412"/>
      <c r="N574" s="412"/>
    </row>
    <row r="575" spans="1:14" s="63" customFormat="1" ht="38.25">
      <c r="A575" s="405"/>
      <c r="B575" s="405">
        <v>85406</v>
      </c>
      <c r="C575" s="406"/>
      <c r="D575" s="416" t="s">
        <v>464</v>
      </c>
      <c r="E575" s="408">
        <f t="shared" si="78"/>
        <v>995050</v>
      </c>
      <c r="F575" s="408">
        <f t="shared" si="79"/>
        <v>995050</v>
      </c>
      <c r="G575" s="408">
        <f aca="true" t="shared" si="86" ref="G575:N575">SUM(G576:G597)</f>
        <v>481090</v>
      </c>
      <c r="H575" s="408">
        <f t="shared" si="86"/>
        <v>38500</v>
      </c>
      <c r="I575" s="408">
        <f t="shared" si="86"/>
        <v>90100</v>
      </c>
      <c r="J575" s="408">
        <f>SUM(J576:J597)</f>
        <v>294000</v>
      </c>
      <c r="K575" s="408">
        <f t="shared" si="86"/>
        <v>0</v>
      </c>
      <c r="L575" s="408">
        <f t="shared" si="86"/>
        <v>0</v>
      </c>
      <c r="M575" s="408">
        <f t="shared" si="86"/>
        <v>91360</v>
      </c>
      <c r="N575" s="408">
        <f t="shared" si="86"/>
        <v>0</v>
      </c>
    </row>
    <row r="576" spans="1:14" s="39" customFormat="1" ht="92.25" customHeight="1">
      <c r="A576" s="409"/>
      <c r="B576" s="409"/>
      <c r="C576" s="410">
        <v>2310</v>
      </c>
      <c r="D576" s="411" t="s">
        <v>465</v>
      </c>
      <c r="E576" s="412">
        <f t="shared" si="78"/>
        <v>294000</v>
      </c>
      <c r="F576" s="412">
        <f>SUM(G576:K576)</f>
        <v>294000</v>
      </c>
      <c r="G576" s="412"/>
      <c r="H576" s="412"/>
      <c r="I576" s="412"/>
      <c r="J576" s="412">
        <v>294000</v>
      </c>
      <c r="K576" s="412"/>
      <c r="L576" s="412"/>
      <c r="M576" s="117"/>
      <c r="N576" s="412"/>
    </row>
    <row r="577" spans="1:14" s="39" customFormat="1" ht="33.75" customHeight="1">
      <c r="A577" s="409"/>
      <c r="B577" s="409"/>
      <c r="C577" s="410">
        <v>3020</v>
      </c>
      <c r="D577" s="411" t="s">
        <v>566</v>
      </c>
      <c r="E577" s="412">
        <f t="shared" si="78"/>
        <v>9650</v>
      </c>
      <c r="F577" s="412">
        <f t="shared" si="79"/>
        <v>9650</v>
      </c>
      <c r="G577" s="412"/>
      <c r="H577" s="412"/>
      <c r="I577" s="412"/>
      <c r="J577" s="412"/>
      <c r="K577" s="412"/>
      <c r="L577" s="412"/>
      <c r="M577" s="412">
        <v>9650</v>
      </c>
      <c r="N577" s="412"/>
    </row>
    <row r="578" spans="1:14" s="39" customFormat="1" ht="25.5">
      <c r="A578" s="409"/>
      <c r="B578" s="409"/>
      <c r="C578" s="410">
        <v>4010</v>
      </c>
      <c r="D578" s="411" t="s">
        <v>332</v>
      </c>
      <c r="E578" s="412">
        <f t="shared" si="78"/>
        <v>481090</v>
      </c>
      <c r="F578" s="412">
        <f t="shared" si="79"/>
        <v>481090</v>
      </c>
      <c r="G578" s="412">
        <v>481090</v>
      </c>
      <c r="H578" s="412"/>
      <c r="I578" s="412"/>
      <c r="J578" s="412"/>
      <c r="K578" s="412"/>
      <c r="L578" s="412"/>
      <c r="M578" s="412"/>
      <c r="N578" s="412"/>
    </row>
    <row r="579" spans="1:14" s="39" customFormat="1" ht="25.5">
      <c r="A579" s="409"/>
      <c r="B579" s="409"/>
      <c r="C579" s="410">
        <v>4040</v>
      </c>
      <c r="D579" s="411" t="s">
        <v>333</v>
      </c>
      <c r="E579" s="412">
        <f t="shared" si="78"/>
        <v>38500</v>
      </c>
      <c r="F579" s="412">
        <f t="shared" si="79"/>
        <v>38500</v>
      </c>
      <c r="G579" s="412"/>
      <c r="H579" s="412">
        <v>38500</v>
      </c>
      <c r="I579" s="412"/>
      <c r="J579" s="412"/>
      <c r="K579" s="412"/>
      <c r="L579" s="412"/>
      <c r="M579" s="412"/>
      <c r="N579" s="412"/>
    </row>
    <row r="580" spans="1:14" s="39" customFormat="1" ht="25.5">
      <c r="A580" s="409"/>
      <c r="B580" s="409"/>
      <c r="C580" s="410">
        <v>4110</v>
      </c>
      <c r="D580" s="411" t="s">
        <v>412</v>
      </c>
      <c r="E580" s="412">
        <f t="shared" si="78"/>
        <v>77630</v>
      </c>
      <c r="F580" s="412">
        <f t="shared" si="79"/>
        <v>77630</v>
      </c>
      <c r="G580" s="412"/>
      <c r="H580" s="412"/>
      <c r="I580" s="412">
        <v>77630</v>
      </c>
      <c r="J580" s="412"/>
      <c r="K580" s="412"/>
      <c r="L580" s="412"/>
      <c r="M580" s="412"/>
      <c r="N580" s="412"/>
    </row>
    <row r="581" spans="1:14" s="39" customFormat="1" ht="12.75">
      <c r="A581" s="409"/>
      <c r="B581" s="409"/>
      <c r="C581" s="410">
        <v>4120</v>
      </c>
      <c r="D581" s="411" t="s">
        <v>335</v>
      </c>
      <c r="E581" s="412">
        <f t="shared" si="78"/>
        <v>12470</v>
      </c>
      <c r="F581" s="412">
        <f t="shared" si="79"/>
        <v>12470</v>
      </c>
      <c r="G581" s="412"/>
      <c r="H581" s="412"/>
      <c r="I581" s="412">
        <v>12470</v>
      </c>
      <c r="J581" s="412"/>
      <c r="K581" s="412"/>
      <c r="L581" s="412"/>
      <c r="M581" s="412"/>
      <c r="N581" s="412"/>
    </row>
    <row r="582" spans="1:14" s="39" customFormat="1" ht="12.75">
      <c r="A582" s="409"/>
      <c r="B582" s="409"/>
      <c r="C582" s="410">
        <v>4170</v>
      </c>
      <c r="D582" s="411" t="s">
        <v>448</v>
      </c>
      <c r="E582" s="412">
        <f t="shared" si="78"/>
        <v>6830</v>
      </c>
      <c r="F582" s="412">
        <f t="shared" si="79"/>
        <v>6830</v>
      </c>
      <c r="G582" s="412"/>
      <c r="H582" s="412"/>
      <c r="I582" s="412"/>
      <c r="J582" s="412"/>
      <c r="K582" s="412"/>
      <c r="L582" s="412"/>
      <c r="M582" s="412">
        <v>6830</v>
      </c>
      <c r="N582" s="412"/>
    </row>
    <row r="583" spans="1:14" s="39" customFormat="1" ht="36.75" customHeight="1">
      <c r="A583" s="409"/>
      <c r="B583" s="409"/>
      <c r="C583" s="410">
        <v>4210</v>
      </c>
      <c r="D583" s="411" t="s">
        <v>337</v>
      </c>
      <c r="E583" s="412">
        <f t="shared" si="78"/>
        <v>5060</v>
      </c>
      <c r="F583" s="412">
        <f t="shared" si="79"/>
        <v>5060</v>
      </c>
      <c r="G583" s="412"/>
      <c r="H583" s="412"/>
      <c r="I583" s="412"/>
      <c r="J583" s="412"/>
      <c r="K583" s="412"/>
      <c r="L583" s="412"/>
      <c r="M583" s="412">
        <v>5060</v>
      </c>
      <c r="N583" s="412"/>
    </row>
    <row r="584" spans="1:14" s="39" customFormat="1" ht="40.5" customHeight="1">
      <c r="A584" s="409"/>
      <c r="B584" s="409"/>
      <c r="C584" s="410">
        <v>4240</v>
      </c>
      <c r="D584" s="411" t="s">
        <v>422</v>
      </c>
      <c r="E584" s="412">
        <f t="shared" si="78"/>
        <v>3160</v>
      </c>
      <c r="F584" s="412">
        <f t="shared" si="79"/>
        <v>3160</v>
      </c>
      <c r="G584" s="412"/>
      <c r="H584" s="412"/>
      <c r="I584" s="412"/>
      <c r="J584" s="412"/>
      <c r="K584" s="412"/>
      <c r="L584" s="412"/>
      <c r="M584" s="412">
        <v>3160</v>
      </c>
      <c r="N584" s="412"/>
    </row>
    <row r="585" spans="1:14" s="39" customFormat="1" ht="12.75">
      <c r="A585" s="409"/>
      <c r="B585" s="409"/>
      <c r="C585" s="410">
        <v>4260</v>
      </c>
      <c r="D585" s="411" t="s">
        <v>338</v>
      </c>
      <c r="E585" s="412">
        <f t="shared" si="78"/>
        <v>12560</v>
      </c>
      <c r="F585" s="412">
        <f t="shared" si="79"/>
        <v>12560</v>
      </c>
      <c r="G585" s="412"/>
      <c r="H585" s="412"/>
      <c r="I585" s="412"/>
      <c r="J585" s="412"/>
      <c r="K585" s="412"/>
      <c r="L585" s="412"/>
      <c r="M585" s="412">
        <v>12560</v>
      </c>
      <c r="N585" s="412"/>
    </row>
    <row r="586" spans="1:14" s="39" customFormat="1" ht="12.75">
      <c r="A586" s="409"/>
      <c r="B586" s="409"/>
      <c r="C586" s="410">
        <v>4270</v>
      </c>
      <c r="D586" s="411" t="s">
        <v>339</v>
      </c>
      <c r="E586" s="412">
        <f t="shared" si="78"/>
        <v>6850</v>
      </c>
      <c r="F586" s="412">
        <f t="shared" si="79"/>
        <v>6850</v>
      </c>
      <c r="G586" s="412"/>
      <c r="H586" s="412"/>
      <c r="I586" s="412"/>
      <c r="J586" s="412"/>
      <c r="K586" s="412"/>
      <c r="L586" s="412"/>
      <c r="M586" s="412">
        <v>6850</v>
      </c>
      <c r="N586" s="412"/>
    </row>
    <row r="587" spans="1:14" s="39" customFormat="1" ht="12.75">
      <c r="A587" s="409"/>
      <c r="B587" s="409"/>
      <c r="C587" s="410">
        <v>4280</v>
      </c>
      <c r="D587" s="411" t="s">
        <v>340</v>
      </c>
      <c r="E587" s="412">
        <f t="shared" si="78"/>
        <v>370</v>
      </c>
      <c r="F587" s="412">
        <f t="shared" si="79"/>
        <v>370</v>
      </c>
      <c r="G587" s="412"/>
      <c r="H587" s="412"/>
      <c r="I587" s="412"/>
      <c r="J587" s="412"/>
      <c r="K587" s="412"/>
      <c r="L587" s="412"/>
      <c r="M587" s="412">
        <v>370</v>
      </c>
      <c r="N587" s="412"/>
    </row>
    <row r="588" spans="1:14" s="39" customFormat="1" ht="12.75">
      <c r="A588" s="409"/>
      <c r="B588" s="409"/>
      <c r="C588" s="410">
        <v>4300</v>
      </c>
      <c r="D588" s="411" t="s">
        <v>382</v>
      </c>
      <c r="E588" s="412">
        <f t="shared" si="78"/>
        <v>3800</v>
      </c>
      <c r="F588" s="412">
        <f t="shared" si="79"/>
        <v>3800</v>
      </c>
      <c r="G588" s="412"/>
      <c r="H588" s="412"/>
      <c r="I588" s="412"/>
      <c r="J588" s="412"/>
      <c r="K588" s="412"/>
      <c r="L588" s="412"/>
      <c r="M588" s="412">
        <v>3800</v>
      </c>
      <c r="N588" s="412"/>
    </row>
    <row r="589" spans="1:14" s="39" customFormat="1" ht="42.75" customHeight="1">
      <c r="A589" s="409"/>
      <c r="B589" s="409"/>
      <c r="C589" s="410">
        <v>4350</v>
      </c>
      <c r="D589" s="411" t="s">
        <v>341</v>
      </c>
      <c r="E589" s="412">
        <f t="shared" si="78"/>
        <v>1310</v>
      </c>
      <c r="F589" s="412">
        <f t="shared" si="79"/>
        <v>1310</v>
      </c>
      <c r="G589" s="412"/>
      <c r="H589" s="412"/>
      <c r="I589" s="412"/>
      <c r="J589" s="412"/>
      <c r="K589" s="412"/>
      <c r="L589" s="412"/>
      <c r="M589" s="412">
        <v>1310</v>
      </c>
      <c r="N589" s="412"/>
    </row>
    <row r="590" spans="1:14" s="39" customFormat="1" ht="38.25">
      <c r="A590" s="409"/>
      <c r="B590" s="409"/>
      <c r="C590" s="410">
        <v>4370</v>
      </c>
      <c r="D590" s="411" t="s">
        <v>416</v>
      </c>
      <c r="E590" s="412">
        <f t="shared" si="78"/>
        <v>5790</v>
      </c>
      <c r="F590" s="412">
        <f t="shared" si="79"/>
        <v>5790</v>
      </c>
      <c r="G590" s="412"/>
      <c r="H590" s="412"/>
      <c r="I590" s="412"/>
      <c r="J590" s="412"/>
      <c r="K590" s="412"/>
      <c r="L590" s="412"/>
      <c r="M590" s="412">
        <v>5790</v>
      </c>
      <c r="N590" s="412"/>
    </row>
    <row r="591" spans="1:14" s="39" customFormat="1" ht="12.75">
      <c r="A591" s="409"/>
      <c r="B591" s="409"/>
      <c r="C591" s="410">
        <v>4410</v>
      </c>
      <c r="D591" s="411" t="s">
        <v>346</v>
      </c>
      <c r="E591" s="412">
        <f t="shared" si="78"/>
        <v>3630</v>
      </c>
      <c r="F591" s="412">
        <f t="shared" si="79"/>
        <v>3630</v>
      </c>
      <c r="G591" s="412"/>
      <c r="H591" s="412"/>
      <c r="I591" s="412"/>
      <c r="J591" s="412"/>
      <c r="K591" s="412"/>
      <c r="L591" s="412"/>
      <c r="M591" s="412">
        <v>3630</v>
      </c>
      <c r="N591" s="412"/>
    </row>
    <row r="592" spans="1:14" s="39" customFormat="1" ht="12.75">
      <c r="A592" s="409"/>
      <c r="B592" s="409"/>
      <c r="C592" s="410">
        <v>4430</v>
      </c>
      <c r="D592" s="411" t="s">
        <v>347</v>
      </c>
      <c r="E592" s="412">
        <f t="shared" si="78"/>
        <v>640</v>
      </c>
      <c r="F592" s="412">
        <f t="shared" si="79"/>
        <v>640</v>
      </c>
      <c r="G592" s="412"/>
      <c r="H592" s="412"/>
      <c r="I592" s="412"/>
      <c r="J592" s="412"/>
      <c r="K592" s="412"/>
      <c r="L592" s="412"/>
      <c r="M592" s="412">
        <v>640</v>
      </c>
      <c r="N592" s="412"/>
    </row>
    <row r="593" spans="1:14" s="39" customFormat="1" ht="39.75" customHeight="1">
      <c r="A593" s="409"/>
      <c r="B593" s="409"/>
      <c r="C593" s="410">
        <v>4440</v>
      </c>
      <c r="D593" s="411" t="s">
        <v>348</v>
      </c>
      <c r="E593" s="412">
        <f t="shared" si="78"/>
        <v>27830</v>
      </c>
      <c r="F593" s="412">
        <f t="shared" si="79"/>
        <v>27830</v>
      </c>
      <c r="G593" s="412"/>
      <c r="H593" s="412"/>
      <c r="I593" s="412"/>
      <c r="J593" s="412"/>
      <c r="K593" s="412"/>
      <c r="L593" s="412"/>
      <c r="M593" s="412">
        <v>27830</v>
      </c>
      <c r="N593" s="412"/>
    </row>
    <row r="594" spans="1:14" s="39" customFormat="1" ht="41.25" customHeight="1">
      <c r="A594" s="409"/>
      <c r="B594" s="409"/>
      <c r="C594" s="410">
        <v>4510</v>
      </c>
      <c r="D594" s="411" t="s">
        <v>602</v>
      </c>
      <c r="E594" s="412">
        <f t="shared" si="78"/>
        <v>100</v>
      </c>
      <c r="F594" s="412">
        <f t="shared" si="79"/>
        <v>100</v>
      </c>
      <c r="G594" s="412"/>
      <c r="H594" s="412"/>
      <c r="I594" s="412"/>
      <c r="J594" s="412"/>
      <c r="K594" s="412"/>
      <c r="L594" s="412"/>
      <c r="M594" s="412">
        <v>100</v>
      </c>
      <c r="N594" s="412"/>
    </row>
    <row r="595" spans="1:14" s="39" customFormat="1" ht="47.25" customHeight="1">
      <c r="A595" s="409"/>
      <c r="B595" s="409"/>
      <c r="C595" s="410">
        <v>4700</v>
      </c>
      <c r="D595" s="411" t="s">
        <v>565</v>
      </c>
      <c r="E595" s="412">
        <f t="shared" si="78"/>
        <v>870</v>
      </c>
      <c r="F595" s="412">
        <f t="shared" si="79"/>
        <v>870</v>
      </c>
      <c r="G595" s="412"/>
      <c r="H595" s="412"/>
      <c r="I595" s="412"/>
      <c r="J595" s="412"/>
      <c r="K595" s="412"/>
      <c r="L595" s="412"/>
      <c r="M595" s="412">
        <v>870</v>
      </c>
      <c r="N595" s="412"/>
    </row>
    <row r="596" spans="1:14" s="39" customFormat="1" ht="60" customHeight="1">
      <c r="A596" s="409"/>
      <c r="B596" s="409"/>
      <c r="C596" s="410">
        <v>4740</v>
      </c>
      <c r="D596" s="411" t="s">
        <v>374</v>
      </c>
      <c r="E596" s="412">
        <f t="shared" si="78"/>
        <v>1080</v>
      </c>
      <c r="F596" s="412">
        <f t="shared" si="79"/>
        <v>1080</v>
      </c>
      <c r="G596" s="412"/>
      <c r="H596" s="412"/>
      <c r="I596" s="412"/>
      <c r="J596" s="412"/>
      <c r="K596" s="412"/>
      <c r="L596" s="412"/>
      <c r="M596" s="412">
        <v>1080</v>
      </c>
      <c r="N596" s="412"/>
    </row>
    <row r="597" spans="1:14" s="39" customFormat="1" ht="49.5" customHeight="1">
      <c r="A597" s="409"/>
      <c r="B597" s="409"/>
      <c r="C597" s="410">
        <v>4750</v>
      </c>
      <c r="D597" s="411" t="s">
        <v>417</v>
      </c>
      <c r="E597" s="412">
        <f t="shared" si="78"/>
        <v>1830</v>
      </c>
      <c r="F597" s="412">
        <f t="shared" si="79"/>
        <v>1830</v>
      </c>
      <c r="G597" s="412"/>
      <c r="H597" s="412"/>
      <c r="I597" s="412"/>
      <c r="J597" s="412"/>
      <c r="K597" s="412"/>
      <c r="L597" s="412"/>
      <c r="M597" s="412">
        <v>1830</v>
      </c>
      <c r="N597" s="412"/>
    </row>
    <row r="598" spans="1:14" s="63" customFormat="1" ht="12.75">
      <c r="A598" s="426"/>
      <c r="B598" s="405">
        <v>85410</v>
      </c>
      <c r="C598" s="406"/>
      <c r="D598" s="416" t="s">
        <v>466</v>
      </c>
      <c r="E598" s="408">
        <f t="shared" si="78"/>
        <v>851780</v>
      </c>
      <c r="F598" s="408">
        <f t="shared" si="79"/>
        <v>851780</v>
      </c>
      <c r="G598" s="408">
        <f>SUM(G599:G615)</f>
        <v>368770</v>
      </c>
      <c r="H598" s="408">
        <f aca="true" t="shared" si="87" ref="H598:N598">SUM(H599:H615)</f>
        <v>30210</v>
      </c>
      <c r="I598" s="408">
        <f t="shared" si="87"/>
        <v>68790</v>
      </c>
      <c r="J598" s="408">
        <f t="shared" si="87"/>
        <v>0</v>
      </c>
      <c r="K598" s="408">
        <f t="shared" si="87"/>
        <v>0</v>
      </c>
      <c r="L598" s="408">
        <f t="shared" si="87"/>
        <v>0</v>
      </c>
      <c r="M598" s="408">
        <f t="shared" si="87"/>
        <v>384010</v>
      </c>
      <c r="N598" s="408">
        <f t="shared" si="87"/>
        <v>0</v>
      </c>
    </row>
    <row r="599" spans="1:14" s="39" customFormat="1" ht="25.5">
      <c r="A599" s="427"/>
      <c r="B599" s="409"/>
      <c r="C599" s="410">
        <v>3020</v>
      </c>
      <c r="D599" s="411" t="s">
        <v>566</v>
      </c>
      <c r="E599" s="412">
        <f t="shared" si="78"/>
        <v>19130</v>
      </c>
      <c r="F599" s="412">
        <f t="shared" si="79"/>
        <v>19130</v>
      </c>
      <c r="G599" s="412"/>
      <c r="H599" s="412"/>
      <c r="I599" s="412"/>
      <c r="J599" s="412"/>
      <c r="K599" s="412"/>
      <c r="L599" s="412"/>
      <c r="M599" s="412">
        <v>19130</v>
      </c>
      <c r="N599" s="412"/>
    </row>
    <row r="600" spans="1:14" s="39" customFormat="1" ht="25.5">
      <c r="A600" s="427"/>
      <c r="B600" s="409"/>
      <c r="C600" s="410">
        <v>4010</v>
      </c>
      <c r="D600" s="411" t="s">
        <v>332</v>
      </c>
      <c r="E600" s="412">
        <f t="shared" si="78"/>
        <v>368770</v>
      </c>
      <c r="F600" s="412">
        <f t="shared" si="79"/>
        <v>368770</v>
      </c>
      <c r="G600" s="412">
        <v>368770</v>
      </c>
      <c r="H600" s="412"/>
      <c r="I600" s="412"/>
      <c r="J600" s="412"/>
      <c r="K600" s="412"/>
      <c r="L600" s="412"/>
      <c r="M600" s="412"/>
      <c r="N600" s="412"/>
    </row>
    <row r="601" spans="1:14" s="39" customFormat="1" ht="37.5" customHeight="1">
      <c r="A601" s="427"/>
      <c r="B601" s="409"/>
      <c r="C601" s="410">
        <v>4040</v>
      </c>
      <c r="D601" s="411" t="s">
        <v>333</v>
      </c>
      <c r="E601" s="412">
        <f t="shared" si="78"/>
        <v>30210</v>
      </c>
      <c r="F601" s="412">
        <f t="shared" si="79"/>
        <v>30210</v>
      </c>
      <c r="G601" s="412"/>
      <c r="H601" s="412">
        <v>30210</v>
      </c>
      <c r="I601" s="412"/>
      <c r="J601" s="412"/>
      <c r="K601" s="412"/>
      <c r="L601" s="412"/>
      <c r="M601" s="412"/>
      <c r="N601" s="412"/>
    </row>
    <row r="602" spans="1:14" s="39" customFormat="1" ht="25.5">
      <c r="A602" s="427"/>
      <c r="B602" s="409"/>
      <c r="C602" s="410">
        <v>4110</v>
      </c>
      <c r="D602" s="411" t="s">
        <v>412</v>
      </c>
      <c r="E602" s="412">
        <f t="shared" si="78"/>
        <v>59210</v>
      </c>
      <c r="F602" s="412">
        <f t="shared" si="79"/>
        <v>59210</v>
      </c>
      <c r="G602" s="412"/>
      <c r="H602" s="412"/>
      <c r="I602" s="412">
        <v>59210</v>
      </c>
      <c r="J602" s="412"/>
      <c r="K602" s="412"/>
      <c r="L602" s="412"/>
      <c r="M602" s="412"/>
      <c r="N602" s="412"/>
    </row>
    <row r="603" spans="1:14" s="39" customFormat="1" ht="12.75">
      <c r="A603" s="427"/>
      <c r="B603" s="409"/>
      <c r="C603" s="410">
        <v>4120</v>
      </c>
      <c r="D603" s="411" t="s">
        <v>335</v>
      </c>
      <c r="E603" s="412">
        <f t="shared" si="78"/>
        <v>9580</v>
      </c>
      <c r="F603" s="412">
        <f t="shared" si="79"/>
        <v>9580</v>
      </c>
      <c r="G603" s="412"/>
      <c r="H603" s="412"/>
      <c r="I603" s="412">
        <v>9580</v>
      </c>
      <c r="J603" s="412"/>
      <c r="K603" s="412"/>
      <c r="L603" s="412"/>
      <c r="M603" s="412"/>
      <c r="N603" s="412"/>
    </row>
    <row r="604" spans="1:14" s="39" customFormat="1" ht="48" customHeight="1">
      <c r="A604" s="427"/>
      <c r="B604" s="409"/>
      <c r="C604" s="410">
        <v>4170</v>
      </c>
      <c r="D604" s="411" t="s">
        <v>448</v>
      </c>
      <c r="E604" s="412">
        <f t="shared" si="78"/>
        <v>5100</v>
      </c>
      <c r="F604" s="412">
        <f t="shared" si="79"/>
        <v>5100</v>
      </c>
      <c r="G604" s="412"/>
      <c r="H604" s="412"/>
      <c r="I604" s="412"/>
      <c r="J604" s="412"/>
      <c r="K604" s="412"/>
      <c r="L604" s="412"/>
      <c r="M604" s="412">
        <v>5100</v>
      </c>
      <c r="N604" s="412"/>
    </row>
    <row r="605" spans="1:14" s="39" customFormat="1" ht="25.5">
      <c r="A605" s="427"/>
      <c r="B605" s="409"/>
      <c r="C605" s="410">
        <v>4210</v>
      </c>
      <c r="D605" s="411" t="s">
        <v>337</v>
      </c>
      <c r="E605" s="412">
        <f t="shared" si="78"/>
        <v>272690</v>
      </c>
      <c r="F605" s="412">
        <f t="shared" si="79"/>
        <v>272690</v>
      </c>
      <c r="G605" s="412"/>
      <c r="H605" s="412"/>
      <c r="I605" s="412"/>
      <c r="J605" s="412"/>
      <c r="K605" s="412"/>
      <c r="L605" s="412"/>
      <c r="M605" s="412">
        <v>272690</v>
      </c>
      <c r="N605" s="412"/>
    </row>
    <row r="606" spans="1:14" s="39" customFormat="1" ht="12.75">
      <c r="A606" s="427"/>
      <c r="B606" s="409"/>
      <c r="C606" s="410">
        <v>4260</v>
      </c>
      <c r="D606" s="411" t="s">
        <v>338</v>
      </c>
      <c r="E606" s="412">
        <f t="shared" si="78"/>
        <v>34510</v>
      </c>
      <c r="F606" s="412">
        <f t="shared" si="79"/>
        <v>34510</v>
      </c>
      <c r="G606" s="412"/>
      <c r="H606" s="412"/>
      <c r="I606" s="412"/>
      <c r="J606" s="412"/>
      <c r="K606" s="412"/>
      <c r="L606" s="412"/>
      <c r="M606" s="412">
        <f>29510+5000</f>
        <v>34510</v>
      </c>
      <c r="N606" s="412"/>
    </row>
    <row r="607" spans="1:14" s="39" customFormat="1" ht="12.75">
      <c r="A607" s="427"/>
      <c r="B607" s="409"/>
      <c r="C607" s="410">
        <v>4270</v>
      </c>
      <c r="D607" s="411" t="s">
        <v>339</v>
      </c>
      <c r="E607" s="412">
        <f t="shared" si="78"/>
        <v>5190</v>
      </c>
      <c r="F607" s="412">
        <f t="shared" si="79"/>
        <v>5190</v>
      </c>
      <c r="G607" s="412"/>
      <c r="H607" s="412"/>
      <c r="I607" s="412"/>
      <c r="J607" s="412"/>
      <c r="K607" s="412"/>
      <c r="L607" s="412"/>
      <c r="M607" s="412">
        <v>5190</v>
      </c>
      <c r="N607" s="412"/>
    </row>
    <row r="608" spans="1:14" s="39" customFormat="1" ht="12.75">
      <c r="A608" s="427"/>
      <c r="B608" s="409"/>
      <c r="C608" s="410">
        <v>4280</v>
      </c>
      <c r="D608" s="411" t="s">
        <v>340</v>
      </c>
      <c r="E608" s="412">
        <f t="shared" si="78"/>
        <v>270</v>
      </c>
      <c r="F608" s="412">
        <f t="shared" si="79"/>
        <v>270</v>
      </c>
      <c r="G608" s="412"/>
      <c r="H608" s="412"/>
      <c r="I608" s="412"/>
      <c r="J608" s="412"/>
      <c r="K608" s="412"/>
      <c r="L608" s="412"/>
      <c r="M608" s="412">
        <v>270</v>
      </c>
      <c r="N608" s="412"/>
    </row>
    <row r="609" spans="1:14" s="39" customFormat="1" ht="12.75">
      <c r="A609" s="427"/>
      <c r="B609" s="409"/>
      <c r="C609" s="410">
        <v>4300</v>
      </c>
      <c r="D609" s="411" t="s">
        <v>382</v>
      </c>
      <c r="E609" s="412">
        <f t="shared" si="78"/>
        <v>20550</v>
      </c>
      <c r="F609" s="412">
        <f t="shared" si="79"/>
        <v>20550</v>
      </c>
      <c r="G609" s="412"/>
      <c r="H609" s="412"/>
      <c r="I609" s="412"/>
      <c r="J609" s="412"/>
      <c r="K609" s="412"/>
      <c r="L609" s="412"/>
      <c r="M609" s="412">
        <f>7550+13000</f>
        <v>20550</v>
      </c>
      <c r="N609" s="412"/>
    </row>
    <row r="610" spans="1:14" s="39" customFormat="1" ht="38.25">
      <c r="A610" s="427"/>
      <c r="B610" s="409"/>
      <c r="C610" s="410">
        <v>4360</v>
      </c>
      <c r="D610" s="411" t="s">
        <v>423</v>
      </c>
      <c r="E610" s="412">
        <f t="shared" si="78"/>
        <v>990</v>
      </c>
      <c r="F610" s="412">
        <f t="shared" si="79"/>
        <v>990</v>
      </c>
      <c r="G610" s="412"/>
      <c r="H610" s="412"/>
      <c r="I610" s="412"/>
      <c r="J610" s="412"/>
      <c r="K610" s="412"/>
      <c r="L610" s="412"/>
      <c r="M610" s="412">
        <v>990</v>
      </c>
      <c r="N610" s="412"/>
    </row>
    <row r="611" spans="1:14" s="39" customFormat="1" ht="38.25">
      <c r="A611" s="427"/>
      <c r="B611" s="409"/>
      <c r="C611" s="410">
        <v>4370</v>
      </c>
      <c r="D611" s="411" t="s">
        <v>416</v>
      </c>
      <c r="E611" s="412">
        <f t="shared" si="78"/>
        <v>1720</v>
      </c>
      <c r="F611" s="412">
        <f t="shared" si="79"/>
        <v>1720</v>
      </c>
      <c r="G611" s="412"/>
      <c r="H611" s="412"/>
      <c r="I611" s="412"/>
      <c r="J611" s="412"/>
      <c r="K611" s="412"/>
      <c r="L611" s="412"/>
      <c r="M611" s="412">
        <v>1720</v>
      </c>
      <c r="N611" s="412"/>
    </row>
    <row r="612" spans="1:14" s="39" customFormat="1" ht="12.75">
      <c r="A612" s="427"/>
      <c r="B612" s="409"/>
      <c r="C612" s="410">
        <v>4410</v>
      </c>
      <c r="D612" s="411" t="s">
        <v>346</v>
      </c>
      <c r="E612" s="412">
        <f t="shared" si="78"/>
        <v>410</v>
      </c>
      <c r="F612" s="412">
        <f t="shared" si="79"/>
        <v>410</v>
      </c>
      <c r="G612" s="412"/>
      <c r="H612" s="412"/>
      <c r="I612" s="412"/>
      <c r="J612" s="412"/>
      <c r="K612" s="412"/>
      <c r="L612" s="412"/>
      <c r="M612" s="412">
        <v>410</v>
      </c>
      <c r="N612" s="412"/>
    </row>
    <row r="613" spans="1:14" s="39" customFormat="1" ht="12.75">
      <c r="A613" s="427"/>
      <c r="B613" s="409"/>
      <c r="C613" s="410">
        <v>4430</v>
      </c>
      <c r="D613" s="411" t="s">
        <v>347</v>
      </c>
      <c r="E613" s="412">
        <f t="shared" si="78"/>
        <v>560</v>
      </c>
      <c r="F613" s="412">
        <f t="shared" si="79"/>
        <v>560</v>
      </c>
      <c r="G613" s="412"/>
      <c r="H613" s="412"/>
      <c r="I613" s="412"/>
      <c r="J613" s="412"/>
      <c r="K613" s="412"/>
      <c r="L613" s="412"/>
      <c r="M613" s="412">
        <v>560</v>
      </c>
      <c r="N613" s="412"/>
    </row>
    <row r="614" spans="1:14" s="39" customFormat="1" ht="46.5" customHeight="1">
      <c r="A614" s="427"/>
      <c r="B614" s="409"/>
      <c r="C614" s="410">
        <v>4440</v>
      </c>
      <c r="D614" s="411" t="s">
        <v>348</v>
      </c>
      <c r="E614" s="412">
        <f aca="true" t="shared" si="88" ref="E614:E628">F614+N614</f>
        <v>22890</v>
      </c>
      <c r="F614" s="412">
        <f aca="true" t="shared" si="89" ref="F614:F628">SUM(G614:M614)</f>
        <v>22890</v>
      </c>
      <c r="G614" s="412"/>
      <c r="H614" s="412"/>
      <c r="I614" s="412"/>
      <c r="J614" s="412"/>
      <c r="K614" s="412"/>
      <c r="L614" s="412"/>
      <c r="M614" s="412">
        <v>22890</v>
      </c>
      <c r="N614" s="412"/>
    </row>
    <row r="615" spans="1:14" s="39" customFormat="1" ht="54" customHeight="1">
      <c r="A615" s="400"/>
      <c r="B615" s="400"/>
      <c r="C615" s="410">
        <v>6060</v>
      </c>
      <c r="D615" s="418" t="s">
        <v>119</v>
      </c>
      <c r="E615" s="412">
        <f t="shared" si="88"/>
        <v>0</v>
      </c>
      <c r="F615" s="412">
        <f t="shared" si="89"/>
        <v>0</v>
      </c>
      <c r="G615" s="412"/>
      <c r="H615" s="412"/>
      <c r="I615" s="412"/>
      <c r="J615" s="412"/>
      <c r="K615" s="412"/>
      <c r="L615" s="412"/>
      <c r="M615" s="412"/>
      <c r="N615" s="412"/>
    </row>
    <row r="616" spans="1:14" s="39" customFormat="1" ht="38.25" hidden="1">
      <c r="A616" s="400"/>
      <c r="B616" s="439">
        <v>85413</v>
      </c>
      <c r="C616" s="410"/>
      <c r="D616" s="440" t="s">
        <v>389</v>
      </c>
      <c r="E616" s="408">
        <f t="shared" si="88"/>
        <v>0</v>
      </c>
      <c r="F616" s="408">
        <f t="shared" si="89"/>
        <v>0</v>
      </c>
      <c r="G616" s="408">
        <f aca="true" t="shared" si="90" ref="G616:N616">SUM(G617:G620)</f>
        <v>0</v>
      </c>
      <c r="H616" s="408">
        <f t="shared" si="90"/>
        <v>0</v>
      </c>
      <c r="I616" s="408">
        <f t="shared" si="90"/>
        <v>0</v>
      </c>
      <c r="J616" s="408">
        <f t="shared" si="90"/>
        <v>0</v>
      </c>
      <c r="K616" s="408">
        <f t="shared" si="90"/>
        <v>0</v>
      </c>
      <c r="L616" s="408">
        <f t="shared" si="90"/>
        <v>0</v>
      </c>
      <c r="M616" s="408">
        <f t="shared" si="90"/>
        <v>0</v>
      </c>
      <c r="N616" s="408">
        <f t="shared" si="90"/>
        <v>0</v>
      </c>
    </row>
    <row r="617" spans="1:14" s="39" customFormat="1" ht="12.75" hidden="1">
      <c r="A617" s="400"/>
      <c r="B617" s="400"/>
      <c r="C617" s="410">
        <v>4170</v>
      </c>
      <c r="D617" s="418" t="s">
        <v>396</v>
      </c>
      <c r="E617" s="412">
        <f t="shared" si="88"/>
        <v>0</v>
      </c>
      <c r="F617" s="412">
        <f t="shared" si="89"/>
        <v>0</v>
      </c>
      <c r="G617" s="412"/>
      <c r="H617" s="412"/>
      <c r="I617" s="412"/>
      <c r="J617" s="412"/>
      <c r="K617" s="412"/>
      <c r="L617" s="412"/>
      <c r="M617" s="412"/>
      <c r="N617" s="412"/>
    </row>
    <row r="618" spans="1:14" s="39" customFormat="1" ht="25.5" hidden="1">
      <c r="A618" s="400"/>
      <c r="B618" s="400"/>
      <c r="C618" s="410">
        <v>4210</v>
      </c>
      <c r="D618" s="418" t="s">
        <v>337</v>
      </c>
      <c r="E618" s="412">
        <f t="shared" si="88"/>
        <v>0</v>
      </c>
      <c r="F618" s="412">
        <f t="shared" si="89"/>
        <v>0</v>
      </c>
      <c r="G618" s="412"/>
      <c r="H618" s="412"/>
      <c r="I618" s="412"/>
      <c r="J618" s="412"/>
      <c r="K618" s="412"/>
      <c r="L618" s="412"/>
      <c r="M618" s="412"/>
      <c r="N618" s="412"/>
    </row>
    <row r="619" spans="1:14" s="39" customFormat="1" ht="12.75" hidden="1">
      <c r="A619" s="400"/>
      <c r="B619" s="400"/>
      <c r="C619" s="410">
        <v>4300</v>
      </c>
      <c r="D619" s="418" t="s">
        <v>382</v>
      </c>
      <c r="E619" s="412">
        <f t="shared" si="88"/>
        <v>0</v>
      </c>
      <c r="F619" s="412">
        <f t="shared" si="89"/>
        <v>0</v>
      </c>
      <c r="G619" s="412"/>
      <c r="H619" s="412"/>
      <c r="I619" s="412"/>
      <c r="J619" s="412"/>
      <c r="K619" s="412"/>
      <c r="L619" s="412"/>
      <c r="M619" s="412"/>
      <c r="N619" s="412"/>
    </row>
    <row r="620" spans="1:14" s="39" customFormat="1" ht="12.75" hidden="1">
      <c r="A620" s="400"/>
      <c r="B620" s="400"/>
      <c r="C620" s="410">
        <v>4430</v>
      </c>
      <c r="D620" s="418" t="s">
        <v>347</v>
      </c>
      <c r="E620" s="412">
        <f t="shared" si="88"/>
        <v>0</v>
      </c>
      <c r="F620" s="412">
        <f t="shared" si="89"/>
        <v>0</v>
      </c>
      <c r="G620" s="412"/>
      <c r="H620" s="412"/>
      <c r="I620" s="412"/>
      <c r="J620" s="412"/>
      <c r="K620" s="412"/>
      <c r="L620" s="412"/>
      <c r="M620" s="412"/>
      <c r="N620" s="412"/>
    </row>
    <row r="621" spans="1:14" s="63" customFormat="1" ht="25.5">
      <c r="A621" s="426"/>
      <c r="B621" s="405">
        <v>85415</v>
      </c>
      <c r="C621" s="406"/>
      <c r="D621" s="416" t="s">
        <v>467</v>
      </c>
      <c r="E621" s="408">
        <f t="shared" si="88"/>
        <v>59800</v>
      </c>
      <c r="F621" s="408">
        <f t="shared" si="89"/>
        <v>59800</v>
      </c>
      <c r="G621" s="408">
        <f aca="true" t="shared" si="91" ref="G621:N621">SUM(G622:G622)</f>
        <v>0</v>
      </c>
      <c r="H621" s="408">
        <f t="shared" si="91"/>
        <v>0</v>
      </c>
      <c r="I621" s="408">
        <f t="shared" si="91"/>
        <v>0</v>
      </c>
      <c r="J621" s="408">
        <f t="shared" si="91"/>
        <v>0</v>
      </c>
      <c r="K621" s="408">
        <f t="shared" si="91"/>
        <v>0</v>
      </c>
      <c r="L621" s="408">
        <f t="shared" si="91"/>
        <v>0</v>
      </c>
      <c r="M621" s="408">
        <f>SUM(M622:M622)</f>
        <v>59800</v>
      </c>
      <c r="N621" s="408">
        <f t="shared" si="91"/>
        <v>0</v>
      </c>
    </row>
    <row r="622" spans="1:14" s="39" customFormat="1" ht="47.25" customHeight="1">
      <c r="A622" s="427"/>
      <c r="B622" s="409"/>
      <c r="C622" s="410">
        <v>3240</v>
      </c>
      <c r="D622" s="411" t="s">
        <v>468</v>
      </c>
      <c r="E622" s="412">
        <f t="shared" si="88"/>
        <v>59800</v>
      </c>
      <c r="F622" s="412">
        <f t="shared" si="89"/>
        <v>59800</v>
      </c>
      <c r="G622" s="412"/>
      <c r="H622" s="412"/>
      <c r="I622" s="412"/>
      <c r="J622" s="412"/>
      <c r="K622" s="412"/>
      <c r="L622" s="412"/>
      <c r="M622" s="412">
        <v>59800</v>
      </c>
      <c r="N622" s="412"/>
    </row>
    <row r="623" spans="1:14" s="63" customFormat="1" ht="25.5">
      <c r="A623" s="426"/>
      <c r="B623" s="405">
        <v>85446</v>
      </c>
      <c r="C623" s="406"/>
      <c r="D623" s="416" t="s">
        <v>427</v>
      </c>
      <c r="E623" s="408">
        <f t="shared" si="88"/>
        <v>8300</v>
      </c>
      <c r="F623" s="408">
        <f t="shared" si="89"/>
        <v>8300</v>
      </c>
      <c r="G623" s="408">
        <f>SUM(G624:G625)</f>
        <v>0</v>
      </c>
      <c r="H623" s="408">
        <f aca="true" t="shared" si="92" ref="H623:N623">SUM(H624:H625)</f>
        <v>0</v>
      </c>
      <c r="I623" s="408">
        <f t="shared" si="92"/>
        <v>0</v>
      </c>
      <c r="J623" s="408">
        <f t="shared" si="92"/>
        <v>0</v>
      </c>
      <c r="K623" s="408">
        <f t="shared" si="92"/>
        <v>0</v>
      </c>
      <c r="L623" s="408">
        <f t="shared" si="92"/>
        <v>0</v>
      </c>
      <c r="M623" s="408">
        <f t="shared" si="92"/>
        <v>8300</v>
      </c>
      <c r="N623" s="408">
        <f t="shared" si="92"/>
        <v>0</v>
      </c>
    </row>
    <row r="624" spans="1:14" s="39" customFormat="1" ht="12.75">
      <c r="A624" s="427"/>
      <c r="B624" s="409"/>
      <c r="C624" s="410">
        <v>4300</v>
      </c>
      <c r="D624" s="411" t="s">
        <v>382</v>
      </c>
      <c r="E624" s="412">
        <f t="shared" si="88"/>
        <v>6800</v>
      </c>
      <c r="F624" s="412">
        <f t="shared" si="89"/>
        <v>6800</v>
      </c>
      <c r="G624" s="412"/>
      <c r="H624" s="412"/>
      <c r="I624" s="412"/>
      <c r="J624" s="412"/>
      <c r="K624" s="412"/>
      <c r="L624" s="412"/>
      <c r="M624" s="412">
        <v>6800</v>
      </c>
      <c r="N624" s="412"/>
    </row>
    <row r="625" spans="1:14" s="39" customFormat="1" ht="12.75">
      <c r="A625" s="427"/>
      <c r="B625" s="409"/>
      <c r="C625" s="410">
        <v>4410</v>
      </c>
      <c r="D625" s="411" t="s">
        <v>346</v>
      </c>
      <c r="E625" s="412">
        <f t="shared" si="88"/>
        <v>1500</v>
      </c>
      <c r="F625" s="412">
        <f t="shared" si="89"/>
        <v>1500</v>
      </c>
      <c r="G625" s="412"/>
      <c r="H625" s="412"/>
      <c r="I625" s="412"/>
      <c r="J625" s="412"/>
      <c r="K625" s="412"/>
      <c r="L625" s="412"/>
      <c r="M625" s="412">
        <v>1500</v>
      </c>
      <c r="N625" s="412"/>
    </row>
    <row r="626" spans="1:14" s="63" customFormat="1" ht="12.75">
      <c r="A626" s="426"/>
      <c r="B626" s="405">
        <v>85495</v>
      </c>
      <c r="C626" s="406"/>
      <c r="D626" s="416" t="s">
        <v>402</v>
      </c>
      <c r="E626" s="408">
        <f t="shared" si="88"/>
        <v>6720</v>
      </c>
      <c r="F626" s="408">
        <f t="shared" si="89"/>
        <v>6720</v>
      </c>
      <c r="G626" s="408">
        <f>SUM(G627:G630)</f>
        <v>0</v>
      </c>
      <c r="H626" s="408">
        <f aca="true" t="shared" si="93" ref="H626:N626">SUM(H627:H630)</f>
        <v>0</v>
      </c>
      <c r="I626" s="408">
        <f t="shared" si="93"/>
        <v>0</v>
      </c>
      <c r="J626" s="408">
        <f t="shared" si="93"/>
        <v>0</v>
      </c>
      <c r="K626" s="408">
        <f t="shared" si="93"/>
        <v>0</v>
      </c>
      <c r="L626" s="408">
        <f t="shared" si="93"/>
        <v>0</v>
      </c>
      <c r="M626" s="408">
        <f t="shared" si="93"/>
        <v>6720</v>
      </c>
      <c r="N626" s="408">
        <f t="shared" si="93"/>
        <v>0</v>
      </c>
    </row>
    <row r="627" spans="1:14" s="39" customFormat="1" ht="45.75" customHeight="1">
      <c r="A627" s="427"/>
      <c r="B627" s="409"/>
      <c r="C627" s="410">
        <v>4440</v>
      </c>
      <c r="D627" s="411" t="s">
        <v>348</v>
      </c>
      <c r="E627" s="412">
        <f t="shared" si="88"/>
        <v>6720</v>
      </c>
      <c r="F627" s="412">
        <f t="shared" si="89"/>
        <v>6720</v>
      </c>
      <c r="G627" s="412"/>
      <c r="H627" s="412"/>
      <c r="I627" s="412"/>
      <c r="J627" s="412"/>
      <c r="K627" s="412"/>
      <c r="L627" s="412"/>
      <c r="M627" s="412">
        <v>6720</v>
      </c>
      <c r="N627" s="412"/>
    </row>
    <row r="628" spans="1:14" s="39" customFormat="1" ht="25.5" hidden="1">
      <c r="A628" s="409"/>
      <c r="B628" s="409"/>
      <c r="C628" s="410">
        <v>4010</v>
      </c>
      <c r="D628" s="411" t="s">
        <v>332</v>
      </c>
      <c r="E628" s="412">
        <f t="shared" si="88"/>
        <v>0</v>
      </c>
      <c r="F628" s="412">
        <f t="shared" si="89"/>
        <v>0</v>
      </c>
      <c r="G628" s="412"/>
      <c r="H628" s="412"/>
      <c r="I628" s="412"/>
      <c r="J628" s="412"/>
      <c r="K628" s="412"/>
      <c r="L628" s="412"/>
      <c r="M628" s="412"/>
      <c r="N628" s="412"/>
    </row>
    <row r="629" spans="1:14" s="39" customFormat="1" ht="25.5" hidden="1">
      <c r="A629" s="409"/>
      <c r="B629" s="409"/>
      <c r="C629" s="410">
        <v>4110</v>
      </c>
      <c r="D629" s="411" t="s">
        <v>412</v>
      </c>
      <c r="E629" s="412">
        <f>F629+N629</f>
        <v>0</v>
      </c>
      <c r="F629" s="412">
        <f>SUM(G629:M629)</f>
        <v>0</v>
      </c>
      <c r="G629" s="412"/>
      <c r="H629" s="412"/>
      <c r="I629" s="412"/>
      <c r="J629" s="412"/>
      <c r="K629" s="412"/>
      <c r="L629" s="412"/>
      <c r="M629" s="412"/>
      <c r="N629" s="412"/>
    </row>
    <row r="630" spans="1:14" s="39" customFormat="1" ht="12.75" hidden="1">
      <c r="A630" s="409"/>
      <c r="B630" s="409"/>
      <c r="C630" s="410">
        <v>4120</v>
      </c>
      <c r="D630" s="411" t="s">
        <v>335</v>
      </c>
      <c r="E630" s="412">
        <f>F630+N630</f>
        <v>0</v>
      </c>
      <c r="F630" s="412">
        <f>SUM(G630:M630)</f>
        <v>0</v>
      </c>
      <c r="G630" s="412"/>
      <c r="H630" s="412"/>
      <c r="I630" s="412"/>
      <c r="J630" s="412"/>
      <c r="K630" s="412"/>
      <c r="L630" s="412"/>
      <c r="M630" s="412"/>
      <c r="N630" s="412"/>
    </row>
    <row r="631" spans="1:14" s="404" customFormat="1" ht="38.25">
      <c r="A631" s="441">
        <v>921</v>
      </c>
      <c r="B631" s="400"/>
      <c r="C631" s="401"/>
      <c r="D631" s="417" t="s">
        <v>470</v>
      </c>
      <c r="E631" s="403">
        <f aca="true" t="shared" si="94" ref="E631:E656">F631+N631</f>
        <v>136850</v>
      </c>
      <c r="F631" s="403">
        <f aca="true" t="shared" si="95" ref="F631:F656">SUM(G631:M631)</f>
        <v>136850</v>
      </c>
      <c r="G631" s="403">
        <f aca="true" t="shared" si="96" ref="G631:N631">SUM(G634+G637+G632)</f>
        <v>0</v>
      </c>
      <c r="H631" s="403">
        <f t="shared" si="96"/>
        <v>0</v>
      </c>
      <c r="I631" s="403">
        <f t="shared" si="96"/>
        <v>0</v>
      </c>
      <c r="J631" s="403">
        <f t="shared" si="96"/>
        <v>69850</v>
      </c>
      <c r="K631" s="403">
        <f t="shared" si="96"/>
        <v>0</v>
      </c>
      <c r="L631" s="403">
        <f t="shared" si="96"/>
        <v>0</v>
      </c>
      <c r="M631" s="403">
        <f t="shared" si="96"/>
        <v>67000</v>
      </c>
      <c r="N631" s="403">
        <f t="shared" si="96"/>
        <v>0</v>
      </c>
    </row>
    <row r="632" spans="1:14" s="63" customFormat="1" ht="25.5" hidden="1">
      <c r="A632" s="405"/>
      <c r="B632" s="405">
        <v>92108</v>
      </c>
      <c r="C632" s="406"/>
      <c r="D632" s="416" t="s">
        <v>120</v>
      </c>
      <c r="E632" s="408">
        <f>F632+N632</f>
        <v>0</v>
      </c>
      <c r="F632" s="408">
        <f>SUM(G632:M632)</f>
        <v>0</v>
      </c>
      <c r="G632" s="408">
        <f aca="true" t="shared" si="97" ref="G632:N632">SUM(G633:G633)</f>
        <v>0</v>
      </c>
      <c r="H632" s="408">
        <f t="shared" si="97"/>
        <v>0</v>
      </c>
      <c r="I632" s="408">
        <f t="shared" si="97"/>
        <v>0</v>
      </c>
      <c r="J632" s="408">
        <f t="shared" si="97"/>
        <v>0</v>
      </c>
      <c r="K632" s="408">
        <f t="shared" si="97"/>
        <v>0</v>
      </c>
      <c r="L632" s="408">
        <f t="shared" si="97"/>
        <v>0</v>
      </c>
      <c r="M632" s="408">
        <f t="shared" si="97"/>
        <v>0</v>
      </c>
      <c r="N632" s="408">
        <f t="shared" si="97"/>
        <v>0</v>
      </c>
    </row>
    <row r="633" spans="1:14" s="39" customFormat="1" ht="63.75" hidden="1">
      <c r="A633" s="409"/>
      <c r="B633" s="409"/>
      <c r="C633" s="410">
        <v>2820</v>
      </c>
      <c r="D633" s="411" t="s">
        <v>1</v>
      </c>
      <c r="E633" s="412">
        <f>F633+N633</f>
        <v>0</v>
      </c>
      <c r="F633" s="412">
        <f>SUM(G633:M633)</f>
        <v>0</v>
      </c>
      <c r="G633" s="412"/>
      <c r="H633" s="412"/>
      <c r="I633" s="412"/>
      <c r="J633" s="412"/>
      <c r="K633" s="412"/>
      <c r="L633" s="412"/>
      <c r="M633" s="412"/>
      <c r="N633" s="412"/>
    </row>
    <row r="634" spans="1:14" s="63" customFormat="1" ht="12.75">
      <c r="A634" s="405"/>
      <c r="B634" s="405">
        <v>92116</v>
      </c>
      <c r="C634" s="406"/>
      <c r="D634" s="416" t="s">
        <v>471</v>
      </c>
      <c r="E634" s="408">
        <f t="shared" si="94"/>
        <v>57850</v>
      </c>
      <c r="F634" s="408">
        <f t="shared" si="95"/>
        <v>57850</v>
      </c>
      <c r="G634" s="408">
        <f aca="true" t="shared" si="98" ref="G634:N634">SUM(G635:G636)</f>
        <v>0</v>
      </c>
      <c r="H634" s="408">
        <f t="shared" si="98"/>
        <v>0</v>
      </c>
      <c r="I634" s="408">
        <f t="shared" si="98"/>
        <v>0</v>
      </c>
      <c r="J634" s="408">
        <f t="shared" si="98"/>
        <v>55850</v>
      </c>
      <c r="K634" s="408">
        <f t="shared" si="98"/>
        <v>0</v>
      </c>
      <c r="L634" s="408">
        <f t="shared" si="98"/>
        <v>0</v>
      </c>
      <c r="M634" s="408">
        <f t="shared" si="98"/>
        <v>2000</v>
      </c>
      <c r="N634" s="408">
        <f t="shared" si="98"/>
        <v>0</v>
      </c>
    </row>
    <row r="635" spans="1:14" s="39" customFormat="1" ht="91.5" customHeight="1">
      <c r="A635" s="409"/>
      <c r="B635" s="409"/>
      <c r="C635" s="410">
        <v>2310</v>
      </c>
      <c r="D635" s="411" t="s">
        <v>472</v>
      </c>
      <c r="E635" s="412">
        <f t="shared" si="94"/>
        <v>55850</v>
      </c>
      <c r="F635" s="412">
        <f t="shared" si="95"/>
        <v>55850</v>
      </c>
      <c r="G635" s="412"/>
      <c r="H635" s="412"/>
      <c r="I635" s="412"/>
      <c r="J635" s="412">
        <v>55850</v>
      </c>
      <c r="K635" s="412"/>
      <c r="L635" s="412"/>
      <c r="M635" s="412"/>
      <c r="N635" s="412"/>
    </row>
    <row r="636" spans="1:14" s="39" customFormat="1" ht="39.75" customHeight="1">
      <c r="A636" s="409"/>
      <c r="B636" s="409"/>
      <c r="C636" s="410">
        <v>4210</v>
      </c>
      <c r="D636" s="411" t="s">
        <v>604</v>
      </c>
      <c r="E636" s="412">
        <f>F636+N636</f>
        <v>2000</v>
      </c>
      <c r="F636" s="412">
        <f>SUM(G636:M636)</f>
        <v>2000</v>
      </c>
      <c r="G636" s="412"/>
      <c r="H636" s="412"/>
      <c r="I636" s="412"/>
      <c r="J636" s="412"/>
      <c r="K636" s="412"/>
      <c r="L636" s="412"/>
      <c r="M636" s="412">
        <v>2000</v>
      </c>
      <c r="N636" s="412"/>
    </row>
    <row r="637" spans="1:14" s="63" customFormat="1" ht="12.75">
      <c r="A637" s="405"/>
      <c r="B637" s="405">
        <v>92195</v>
      </c>
      <c r="C637" s="406"/>
      <c r="D637" s="416" t="s">
        <v>402</v>
      </c>
      <c r="E637" s="408">
        <f t="shared" si="94"/>
        <v>79000</v>
      </c>
      <c r="F637" s="408">
        <f t="shared" si="95"/>
        <v>79000</v>
      </c>
      <c r="G637" s="408">
        <f>SUM(G638:G644)</f>
        <v>0</v>
      </c>
      <c r="H637" s="408">
        <f aca="true" t="shared" si="99" ref="H637:N637">SUM(H638:H644)</f>
        <v>0</v>
      </c>
      <c r="I637" s="408">
        <f t="shared" si="99"/>
        <v>0</v>
      </c>
      <c r="J637" s="408">
        <f t="shared" si="99"/>
        <v>14000</v>
      </c>
      <c r="K637" s="408">
        <f t="shared" si="99"/>
        <v>0</v>
      </c>
      <c r="L637" s="408">
        <f t="shared" si="99"/>
        <v>0</v>
      </c>
      <c r="M637" s="408">
        <f t="shared" si="99"/>
        <v>65000</v>
      </c>
      <c r="N637" s="408">
        <f t="shared" si="99"/>
        <v>0</v>
      </c>
    </row>
    <row r="638" spans="1:14" s="63" customFormat="1" ht="63.75" hidden="1">
      <c r="A638" s="405"/>
      <c r="B638" s="405"/>
      <c r="C638" s="410">
        <v>2810</v>
      </c>
      <c r="D638" s="411" t="s">
        <v>2</v>
      </c>
      <c r="E638" s="412">
        <f t="shared" si="94"/>
        <v>0</v>
      </c>
      <c r="F638" s="412">
        <f t="shared" si="95"/>
        <v>0</v>
      </c>
      <c r="G638" s="408"/>
      <c r="H638" s="408"/>
      <c r="I638" s="408"/>
      <c r="J638" s="412"/>
      <c r="K638" s="408"/>
      <c r="L638" s="408"/>
      <c r="M638" s="408"/>
      <c r="N638" s="408"/>
    </row>
    <row r="639" spans="1:14" s="63" customFormat="1" ht="75" customHeight="1">
      <c r="A639" s="405"/>
      <c r="B639" s="405"/>
      <c r="C639" s="410">
        <v>2820</v>
      </c>
      <c r="D639" s="411" t="s">
        <v>1</v>
      </c>
      <c r="E639" s="412">
        <f t="shared" si="94"/>
        <v>14000</v>
      </c>
      <c r="F639" s="412">
        <f t="shared" si="95"/>
        <v>14000</v>
      </c>
      <c r="G639" s="408"/>
      <c r="H639" s="408"/>
      <c r="I639" s="408"/>
      <c r="J639" s="412">
        <v>14000</v>
      </c>
      <c r="K639" s="408"/>
      <c r="L639" s="408"/>
      <c r="M639" s="408"/>
      <c r="N639" s="408"/>
    </row>
    <row r="640" spans="1:14" s="39" customFormat="1" ht="12.75" hidden="1">
      <c r="A640" s="409"/>
      <c r="B640" s="409"/>
      <c r="C640" s="410">
        <v>4170</v>
      </c>
      <c r="D640" s="411" t="s">
        <v>625</v>
      </c>
      <c r="E640" s="412">
        <f t="shared" si="94"/>
        <v>0</v>
      </c>
      <c r="F640" s="412">
        <f t="shared" si="95"/>
        <v>0</v>
      </c>
      <c r="G640" s="412"/>
      <c r="H640" s="412"/>
      <c r="I640" s="412"/>
      <c r="J640" s="412"/>
      <c r="K640" s="412"/>
      <c r="L640" s="412"/>
      <c r="M640" s="412"/>
      <c r="N640" s="412"/>
    </row>
    <row r="641" spans="1:14" s="39" customFormat="1" ht="34.5" customHeight="1">
      <c r="A641" s="409"/>
      <c r="B641" s="409"/>
      <c r="C641" s="410">
        <v>4210</v>
      </c>
      <c r="D641" s="411" t="s">
        <v>337</v>
      </c>
      <c r="E641" s="412">
        <f t="shared" si="94"/>
        <v>35000</v>
      </c>
      <c r="F641" s="412">
        <f t="shared" si="95"/>
        <v>35000</v>
      </c>
      <c r="G641" s="412"/>
      <c r="H641" s="412"/>
      <c r="I641" s="412"/>
      <c r="J641" s="412"/>
      <c r="K641" s="412"/>
      <c r="L641" s="412"/>
      <c r="M641" s="412">
        <v>35000</v>
      </c>
      <c r="N641" s="412"/>
    </row>
    <row r="642" spans="1:14" s="39" customFormat="1" ht="12.75">
      <c r="A642" s="409"/>
      <c r="B642" s="409"/>
      <c r="C642" s="410">
        <v>4300</v>
      </c>
      <c r="D642" s="411" t="s">
        <v>382</v>
      </c>
      <c r="E642" s="412">
        <f t="shared" si="94"/>
        <v>30000</v>
      </c>
      <c r="F642" s="412">
        <f t="shared" si="95"/>
        <v>30000</v>
      </c>
      <c r="G642" s="412"/>
      <c r="H642" s="412"/>
      <c r="I642" s="412"/>
      <c r="J642" s="412"/>
      <c r="K642" s="412"/>
      <c r="L642" s="412"/>
      <c r="M642" s="412">
        <v>30000</v>
      </c>
      <c r="N642" s="412"/>
    </row>
    <row r="643" spans="1:14" s="39" customFormat="1" ht="50.25" customHeight="1">
      <c r="A643" s="409"/>
      <c r="B643" s="409"/>
      <c r="C643" s="433">
        <v>4740</v>
      </c>
      <c r="D643" s="419" t="s">
        <v>374</v>
      </c>
      <c r="E643" s="412">
        <f>F643+N643</f>
        <v>0</v>
      </c>
      <c r="F643" s="412">
        <f>SUM(G643:M643)</f>
        <v>0</v>
      </c>
      <c r="G643" s="412"/>
      <c r="H643" s="412"/>
      <c r="I643" s="412"/>
      <c r="J643" s="412"/>
      <c r="K643" s="412"/>
      <c r="L643" s="412"/>
      <c r="M643" s="412"/>
      <c r="N643" s="412"/>
    </row>
    <row r="644" spans="1:14" s="39" customFormat="1" ht="38.25" hidden="1">
      <c r="A644" s="409"/>
      <c r="B644" s="409"/>
      <c r="C644" s="433">
        <v>4750</v>
      </c>
      <c r="D644" s="419" t="s">
        <v>417</v>
      </c>
      <c r="E644" s="412">
        <f>F644+N644</f>
        <v>0</v>
      </c>
      <c r="F644" s="412">
        <f>SUM(G644:M644)</f>
        <v>0</v>
      </c>
      <c r="G644" s="412"/>
      <c r="H644" s="412"/>
      <c r="I644" s="412"/>
      <c r="J644" s="412"/>
      <c r="K644" s="412"/>
      <c r="L644" s="412"/>
      <c r="M644" s="412"/>
      <c r="N644" s="412"/>
    </row>
    <row r="645" spans="1:14" s="63" customFormat="1" ht="25.5">
      <c r="A645" s="405">
        <v>926</v>
      </c>
      <c r="B645" s="405"/>
      <c r="C645" s="406"/>
      <c r="D645" s="417" t="s">
        <v>473</v>
      </c>
      <c r="E645" s="403">
        <f t="shared" si="94"/>
        <v>138000</v>
      </c>
      <c r="F645" s="403">
        <f t="shared" si="95"/>
        <v>138000</v>
      </c>
      <c r="G645" s="403">
        <f aca="true" t="shared" si="100" ref="G645:N645">SUM(G646)</f>
        <v>0</v>
      </c>
      <c r="H645" s="403">
        <f t="shared" si="100"/>
        <v>0</v>
      </c>
      <c r="I645" s="403">
        <f t="shared" si="100"/>
        <v>750</v>
      </c>
      <c r="J645" s="403">
        <f t="shared" si="100"/>
        <v>50000</v>
      </c>
      <c r="K645" s="403">
        <f t="shared" si="100"/>
        <v>0</v>
      </c>
      <c r="L645" s="403">
        <f t="shared" si="100"/>
        <v>0</v>
      </c>
      <c r="M645" s="403">
        <f t="shared" si="100"/>
        <v>87250</v>
      </c>
      <c r="N645" s="403">
        <f t="shared" si="100"/>
        <v>0</v>
      </c>
    </row>
    <row r="646" spans="1:14" s="63" customFormat="1" ht="25.5">
      <c r="A646" s="405"/>
      <c r="B646" s="405">
        <v>92605</v>
      </c>
      <c r="C646" s="406"/>
      <c r="D646" s="416" t="s">
        <v>474</v>
      </c>
      <c r="E646" s="408">
        <f t="shared" si="94"/>
        <v>138000</v>
      </c>
      <c r="F646" s="408">
        <f t="shared" si="95"/>
        <v>138000</v>
      </c>
      <c r="G646" s="442">
        <f aca="true" t="shared" si="101" ref="G646:N646">SUM(G647:G656)</f>
        <v>0</v>
      </c>
      <c r="H646" s="442">
        <f t="shared" si="101"/>
        <v>0</v>
      </c>
      <c r="I646" s="442">
        <f t="shared" si="101"/>
        <v>750</v>
      </c>
      <c r="J646" s="442">
        <f t="shared" si="101"/>
        <v>50000</v>
      </c>
      <c r="K646" s="442">
        <f t="shared" si="101"/>
        <v>0</v>
      </c>
      <c r="L646" s="442">
        <f t="shared" si="101"/>
        <v>0</v>
      </c>
      <c r="M646" s="442">
        <f t="shared" si="101"/>
        <v>87250</v>
      </c>
      <c r="N646" s="442">
        <f t="shared" si="101"/>
        <v>0</v>
      </c>
    </row>
    <row r="647" spans="1:14" s="63" customFormat="1" ht="63.75">
      <c r="A647" s="405"/>
      <c r="B647" s="405"/>
      <c r="C647" s="410">
        <v>2820</v>
      </c>
      <c r="D647" s="411" t="s">
        <v>1</v>
      </c>
      <c r="E647" s="412">
        <f t="shared" si="94"/>
        <v>50000</v>
      </c>
      <c r="F647" s="412">
        <f t="shared" si="95"/>
        <v>50000</v>
      </c>
      <c r="G647" s="442"/>
      <c r="H647" s="442"/>
      <c r="I647" s="442"/>
      <c r="J647" s="443">
        <v>50000</v>
      </c>
      <c r="K647" s="442"/>
      <c r="L647" s="442"/>
      <c r="M647" s="442"/>
      <c r="N647" s="442"/>
    </row>
    <row r="648" spans="1:14" s="39" customFormat="1" ht="31.5" customHeight="1">
      <c r="A648" s="409"/>
      <c r="B648" s="409"/>
      <c r="C648" s="410">
        <v>4110</v>
      </c>
      <c r="D648" s="411" t="s">
        <v>412</v>
      </c>
      <c r="E648" s="412">
        <f t="shared" si="94"/>
        <v>646</v>
      </c>
      <c r="F648" s="412">
        <f t="shared" si="95"/>
        <v>646</v>
      </c>
      <c r="G648" s="412"/>
      <c r="H648" s="412"/>
      <c r="I648" s="412">
        <v>646</v>
      </c>
      <c r="J648" s="412"/>
      <c r="K648" s="412"/>
      <c r="L648" s="412"/>
      <c r="M648" s="412"/>
      <c r="N648" s="412"/>
    </row>
    <row r="649" spans="1:14" s="39" customFormat="1" ht="24.75" customHeight="1">
      <c r="A649" s="409"/>
      <c r="B649" s="409"/>
      <c r="C649" s="410">
        <v>4120</v>
      </c>
      <c r="D649" s="411" t="s">
        <v>335</v>
      </c>
      <c r="E649" s="412">
        <f t="shared" si="94"/>
        <v>104</v>
      </c>
      <c r="F649" s="412">
        <f t="shared" si="95"/>
        <v>104</v>
      </c>
      <c r="G649" s="412"/>
      <c r="H649" s="412"/>
      <c r="I649" s="412">
        <v>104</v>
      </c>
      <c r="J649" s="412"/>
      <c r="K649" s="412"/>
      <c r="L649" s="412"/>
      <c r="M649" s="412"/>
      <c r="N649" s="412"/>
    </row>
    <row r="650" spans="1:14" s="39" customFormat="1" ht="35.25" customHeight="1">
      <c r="A650" s="409"/>
      <c r="B650" s="409"/>
      <c r="C650" s="410">
        <v>4210</v>
      </c>
      <c r="D650" s="411" t="s">
        <v>337</v>
      </c>
      <c r="E650" s="412">
        <f t="shared" si="94"/>
        <v>51000</v>
      </c>
      <c r="F650" s="412">
        <f t="shared" si="95"/>
        <v>51000</v>
      </c>
      <c r="G650" s="412"/>
      <c r="H650" s="412"/>
      <c r="I650" s="412"/>
      <c r="J650" s="412"/>
      <c r="K650" s="412"/>
      <c r="L650" s="412"/>
      <c r="M650" s="412">
        <v>51000</v>
      </c>
      <c r="N650" s="412"/>
    </row>
    <row r="651" spans="1:14" s="39" customFormat="1" ht="24.75" customHeight="1">
      <c r="A651" s="409"/>
      <c r="B651" s="409"/>
      <c r="C651" s="410">
        <v>4170</v>
      </c>
      <c r="D651" s="411" t="s">
        <v>371</v>
      </c>
      <c r="E651" s="412">
        <f t="shared" si="94"/>
        <v>19950</v>
      </c>
      <c r="F651" s="412">
        <f t="shared" si="95"/>
        <v>19950</v>
      </c>
      <c r="G651" s="412"/>
      <c r="H651" s="412"/>
      <c r="I651" s="412"/>
      <c r="J651" s="412"/>
      <c r="K651" s="412"/>
      <c r="L651" s="412"/>
      <c r="M651" s="412">
        <v>19950</v>
      </c>
      <c r="N651" s="412"/>
    </row>
    <row r="652" spans="1:14" s="39" customFormat="1" ht="25.5" hidden="1">
      <c r="A652" s="427"/>
      <c r="B652" s="409"/>
      <c r="C652" s="410">
        <v>4110</v>
      </c>
      <c r="D652" s="411" t="s">
        <v>412</v>
      </c>
      <c r="E652" s="412">
        <f t="shared" si="94"/>
        <v>0</v>
      </c>
      <c r="F652" s="412">
        <f t="shared" si="95"/>
        <v>0</v>
      </c>
      <c r="G652" s="412"/>
      <c r="H652" s="412"/>
      <c r="I652" s="412"/>
      <c r="J652" s="412"/>
      <c r="K652" s="412"/>
      <c r="L652" s="412"/>
      <c r="M652" s="412"/>
      <c r="N652" s="412"/>
    </row>
    <row r="653" spans="1:14" s="39" customFormat="1" ht="24" customHeight="1">
      <c r="A653" s="409"/>
      <c r="B653" s="409"/>
      <c r="C653" s="410">
        <v>4300</v>
      </c>
      <c r="D653" s="411" t="s">
        <v>382</v>
      </c>
      <c r="E653" s="412">
        <f t="shared" si="94"/>
        <v>16000</v>
      </c>
      <c r="F653" s="412">
        <f t="shared" si="95"/>
        <v>16000</v>
      </c>
      <c r="G653" s="412"/>
      <c r="H653" s="412"/>
      <c r="I653" s="412"/>
      <c r="J653" s="412"/>
      <c r="K653" s="412"/>
      <c r="L653" s="412"/>
      <c r="M653" s="412">
        <v>16000</v>
      </c>
      <c r="N653" s="412"/>
    </row>
    <row r="654" spans="1:14" s="39" customFormat="1" ht="38.25" hidden="1">
      <c r="A654" s="409"/>
      <c r="B654" s="409"/>
      <c r="C654" s="410">
        <v>4400</v>
      </c>
      <c r="D654" s="411" t="s">
        <v>11</v>
      </c>
      <c r="E654" s="412">
        <f>F654+N654</f>
        <v>0</v>
      </c>
      <c r="F654" s="412">
        <f>SUM(G654:M654)</f>
        <v>0</v>
      </c>
      <c r="G654" s="412"/>
      <c r="H654" s="412"/>
      <c r="I654" s="412"/>
      <c r="J654" s="412"/>
      <c r="K654" s="412"/>
      <c r="L654" s="412"/>
      <c r="M654" s="412"/>
      <c r="N654" s="412"/>
    </row>
    <row r="655" spans="1:14" s="39" customFormat="1" ht="25.5" hidden="1">
      <c r="A655" s="409"/>
      <c r="B655" s="409"/>
      <c r="C655" s="410">
        <v>4440</v>
      </c>
      <c r="D655" s="411" t="s">
        <v>348</v>
      </c>
      <c r="E655" s="412">
        <f t="shared" si="94"/>
        <v>0</v>
      </c>
      <c r="F655" s="412">
        <f t="shared" si="95"/>
        <v>0</v>
      </c>
      <c r="G655" s="412"/>
      <c r="H655" s="412"/>
      <c r="I655" s="412"/>
      <c r="J655" s="412"/>
      <c r="K655" s="412"/>
      <c r="L655" s="412"/>
      <c r="M655" s="412"/>
      <c r="N655" s="412"/>
    </row>
    <row r="656" spans="1:14" s="39" customFormat="1" ht="24.75" customHeight="1">
      <c r="A656" s="409"/>
      <c r="B656" s="409"/>
      <c r="C656" s="410">
        <v>4410</v>
      </c>
      <c r="D656" s="411" t="s">
        <v>346</v>
      </c>
      <c r="E656" s="412">
        <f t="shared" si="94"/>
        <v>300</v>
      </c>
      <c r="F656" s="412">
        <f t="shared" si="95"/>
        <v>300</v>
      </c>
      <c r="G656" s="412"/>
      <c r="H656" s="412"/>
      <c r="I656" s="412"/>
      <c r="J656" s="412"/>
      <c r="K656" s="412"/>
      <c r="L656" s="412"/>
      <c r="M656" s="412">
        <v>300</v>
      </c>
      <c r="N656" s="412"/>
    </row>
    <row r="657" spans="1:14" s="40" customFormat="1" ht="12.75">
      <c r="A657" s="572" t="s">
        <v>230</v>
      </c>
      <c r="B657" s="573"/>
      <c r="C657" s="573"/>
      <c r="D657" s="574"/>
      <c r="E657" s="444">
        <f aca="true" t="shared" si="102" ref="E657:N657">E8+E11+E87+E56+E44+E16+E166+E174+E179+E183+E352+E357+E489+E567+E631+E645+E163</f>
        <v>67188804</v>
      </c>
      <c r="F657" s="444">
        <f t="shared" si="102"/>
        <v>51498084</v>
      </c>
      <c r="G657" s="444">
        <f t="shared" si="102"/>
        <v>22004097</v>
      </c>
      <c r="H657" s="444">
        <f t="shared" si="102"/>
        <v>1646590</v>
      </c>
      <c r="I657" s="444">
        <f t="shared" si="102"/>
        <v>4245258</v>
      </c>
      <c r="J657" s="444">
        <f t="shared" si="102"/>
        <v>2640195</v>
      </c>
      <c r="K657" s="444">
        <f t="shared" si="102"/>
        <v>505000</v>
      </c>
      <c r="L657" s="444">
        <f t="shared" si="102"/>
        <v>1385839</v>
      </c>
      <c r="M657" s="444">
        <f t="shared" si="102"/>
        <v>19071105</v>
      </c>
      <c r="N657" s="444">
        <f t="shared" si="102"/>
        <v>15690720</v>
      </c>
    </row>
    <row r="659" spans="3:14" ht="12.75">
      <c r="C659" s="283"/>
      <c r="D659" s="445" t="s">
        <v>305</v>
      </c>
      <c r="E659" s="110">
        <f>F659+N659</f>
        <v>3926832</v>
      </c>
      <c r="F659" s="110">
        <f>SUM(G659:M659)</f>
        <v>3069632</v>
      </c>
      <c r="G659" s="110"/>
      <c r="H659" s="110">
        <f>H513</f>
        <v>6120</v>
      </c>
      <c r="I659" s="110">
        <f>I328+I329+I515+I517+I545+I546+I547+I548+I330+I331</f>
        <v>123228</v>
      </c>
      <c r="J659" s="110">
        <f>J541+J542+J543+J544</f>
        <v>1554445</v>
      </c>
      <c r="K659" s="446"/>
      <c r="L659" s="110">
        <f>L657</f>
        <v>1385839</v>
      </c>
      <c r="M659" s="446"/>
      <c r="N659" s="110">
        <f>N42+N41+N563+N564+N540</f>
        <v>857200</v>
      </c>
    </row>
    <row r="664" ht="15.75">
      <c r="F664" s="357"/>
    </row>
  </sheetData>
  <sheetProtection/>
  <mergeCells count="11">
    <mergeCell ref="F4:N4"/>
    <mergeCell ref="G5:M5"/>
    <mergeCell ref="F5:F6"/>
    <mergeCell ref="N5:N6"/>
    <mergeCell ref="C4:C6"/>
    <mergeCell ref="A657:D657"/>
    <mergeCell ref="A1:N1"/>
    <mergeCell ref="E4:E6"/>
    <mergeCell ref="A4:A6"/>
    <mergeCell ref="D4:D6"/>
    <mergeCell ref="B4:B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13"/>
  <sheetViews>
    <sheetView zoomScalePageLayoutView="0" workbookViewId="0" topLeftCell="A1">
      <selection activeCell="A2" sqref="A2:E13"/>
    </sheetView>
  </sheetViews>
  <sheetFormatPr defaultColWidth="9.00390625" defaultRowHeight="12.75"/>
  <cols>
    <col min="1" max="1" width="5.00390625" style="0" customWidth="1"/>
    <col min="2" max="2" width="36.375" style="260" customWidth="1"/>
    <col min="3" max="3" width="15.125" style="261" customWidth="1"/>
    <col min="4" max="4" width="13.625" style="261" customWidth="1"/>
    <col min="5" max="5" width="13.00390625" style="261" customWidth="1"/>
  </cols>
  <sheetData>
    <row r="1" ht="13.5" thickBot="1"/>
    <row r="2" spans="1:5" ht="51.75" thickBot="1">
      <c r="A2" s="487" t="s">
        <v>50</v>
      </c>
      <c r="B2" s="488" t="s">
        <v>66</v>
      </c>
      <c r="C2" s="489" t="s">
        <v>593</v>
      </c>
      <c r="D2" s="489" t="s">
        <v>650</v>
      </c>
      <c r="E2" s="490" t="s">
        <v>74</v>
      </c>
    </row>
    <row r="3" spans="1:5" ht="31.5" customHeight="1" thickBot="1">
      <c r="A3" s="491">
        <v>1</v>
      </c>
      <c r="B3" s="492" t="s">
        <v>67</v>
      </c>
      <c r="C3" s="493">
        <f>SUM(C5:C11)</f>
        <v>51498084</v>
      </c>
      <c r="D3" s="494"/>
      <c r="E3" s="495"/>
    </row>
    <row r="4" spans="1:5" ht="13.5" thickBot="1">
      <c r="A4" s="496"/>
      <c r="B4" s="497" t="s">
        <v>72</v>
      </c>
      <c r="C4" s="495"/>
      <c r="D4" s="495"/>
      <c r="E4" s="495"/>
    </row>
    <row r="5" spans="1:5" ht="13.5" thickBot="1">
      <c r="A5" s="496" t="s">
        <v>75</v>
      </c>
      <c r="B5" s="497" t="s">
        <v>68</v>
      </c>
      <c r="C5" s="498">
        <f>2!G657</f>
        <v>22004097</v>
      </c>
      <c r="D5" s="499">
        <v>0</v>
      </c>
      <c r="E5" s="499">
        <v>2</v>
      </c>
    </row>
    <row r="6" spans="1:5" ht="13.5" thickBot="1">
      <c r="A6" s="496" t="s">
        <v>76</v>
      </c>
      <c r="B6" s="497" t="s">
        <v>69</v>
      </c>
      <c r="C6" s="498">
        <f>2!H657</f>
        <v>1646590</v>
      </c>
      <c r="D6" s="498">
        <f>2!H659</f>
        <v>6120</v>
      </c>
      <c r="E6" s="499">
        <v>2</v>
      </c>
    </row>
    <row r="7" spans="1:5" ht="13.5" thickBot="1">
      <c r="A7" s="496" t="s">
        <v>77</v>
      </c>
      <c r="B7" s="497" t="s">
        <v>70</v>
      </c>
      <c r="C7" s="498">
        <f>2!I657</f>
        <v>4245258</v>
      </c>
      <c r="D7" s="498">
        <f>2!I659</f>
        <v>123228</v>
      </c>
      <c r="E7" s="499">
        <v>2</v>
      </c>
    </row>
    <row r="8" spans="1:5" ht="13.5" thickBot="1">
      <c r="A8" s="496" t="s">
        <v>78</v>
      </c>
      <c r="B8" s="497" t="s">
        <v>71</v>
      </c>
      <c r="C8" s="498">
        <f>2!J657</f>
        <v>2640195</v>
      </c>
      <c r="D8" s="498">
        <f>2!J659</f>
        <v>1554445</v>
      </c>
      <c r="E8" s="499" t="s">
        <v>710</v>
      </c>
    </row>
    <row r="9" spans="1:5" ht="23.25" thickBot="1">
      <c r="A9" s="496" t="s">
        <v>79</v>
      </c>
      <c r="B9" s="497" t="s">
        <v>73</v>
      </c>
      <c r="C9" s="498">
        <f>2!K657</f>
        <v>505000</v>
      </c>
      <c r="D9" s="495"/>
      <c r="E9" s="499">
        <v>2</v>
      </c>
    </row>
    <row r="10" spans="1:5" ht="57" thickBot="1">
      <c r="A10" s="496" t="s">
        <v>80</v>
      </c>
      <c r="B10" s="497" t="s">
        <v>652</v>
      </c>
      <c r="C10" s="498">
        <f>2!L659</f>
        <v>1385839</v>
      </c>
      <c r="D10" s="498">
        <f>2!L659</f>
        <v>1385839</v>
      </c>
      <c r="E10" s="499" t="s">
        <v>98</v>
      </c>
    </row>
    <row r="11" spans="1:5" ht="13.5" thickBot="1">
      <c r="A11" s="496" t="s">
        <v>81</v>
      </c>
      <c r="B11" s="497" t="s">
        <v>708</v>
      </c>
      <c r="C11" s="498">
        <f>2!M657</f>
        <v>19071105</v>
      </c>
      <c r="D11" s="495"/>
      <c r="E11" s="499">
        <v>2</v>
      </c>
    </row>
    <row r="12" spans="1:5" ht="28.5" customHeight="1" thickBot="1">
      <c r="A12" s="491">
        <v>2</v>
      </c>
      <c r="B12" s="492" t="s">
        <v>96</v>
      </c>
      <c r="C12" s="493">
        <f>2!N657</f>
        <v>15690720</v>
      </c>
      <c r="D12" s="493">
        <f>2!N659</f>
        <v>857200</v>
      </c>
      <c r="E12" s="499" t="s">
        <v>651</v>
      </c>
    </row>
    <row r="13" spans="1:5" ht="31.5" customHeight="1" thickBot="1">
      <c r="A13" s="496"/>
      <c r="B13" s="500" t="s">
        <v>97</v>
      </c>
      <c r="C13" s="498">
        <f>C12+C3</f>
        <v>67188804</v>
      </c>
      <c r="D13" s="498">
        <f>SUM(D5:D12)</f>
        <v>3926832</v>
      </c>
      <c r="E13" s="49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4"/>
  <sheetViews>
    <sheetView zoomScalePageLayoutView="0" workbookViewId="0" topLeftCell="A23">
      <selection activeCell="F24" sqref="F24"/>
    </sheetView>
  </sheetViews>
  <sheetFormatPr defaultColWidth="9.00390625" defaultRowHeight="12.75"/>
  <cols>
    <col min="1" max="1" width="7.625" style="199" bestFit="1" customWidth="1"/>
    <col min="2" max="2" width="5.625" style="284" customWidth="1"/>
    <col min="3" max="3" width="7.75390625" style="284" customWidth="1"/>
    <col min="4" max="4" width="4.875" style="284" customWidth="1"/>
    <col min="5" max="5" width="18.25390625" style="284" customWidth="1"/>
    <col min="6" max="6" width="12.00390625" style="284" customWidth="1"/>
    <col min="7" max="7" width="12.375" style="284" customWidth="1"/>
    <col min="8" max="8" width="10.125" style="284" customWidth="1"/>
    <col min="9" max="9" width="11.25390625" style="284" bestFit="1" customWidth="1"/>
    <col min="10" max="10" width="9.125" style="284" customWidth="1"/>
    <col min="11" max="11" width="11.625" style="284" customWidth="1"/>
    <col min="12" max="12" width="10.125" style="224" bestFit="1" customWidth="1"/>
    <col min="13" max="13" width="9.00390625" style="284" customWidth="1"/>
    <col min="14" max="14" width="6.00390625" style="284" customWidth="1"/>
    <col min="15" max="15" width="16.75390625" style="284" customWidth="1"/>
    <col min="16" max="16384" width="9.125" style="284" customWidth="1"/>
  </cols>
  <sheetData>
    <row r="1" spans="2:15" ht="15.75">
      <c r="B1" s="582" t="s">
        <v>738</v>
      </c>
      <c r="C1" s="582"/>
      <c r="D1" s="582"/>
      <c r="E1" s="582"/>
      <c r="F1" s="582"/>
      <c r="G1" s="582"/>
      <c r="H1" s="582"/>
      <c r="I1" s="582"/>
      <c r="J1" s="582"/>
      <c r="K1" s="582"/>
      <c r="L1" s="582"/>
      <c r="M1" s="582"/>
      <c r="N1" s="582"/>
      <c r="O1" s="582"/>
    </row>
    <row r="2" spans="2:15" ht="10.5" customHeight="1">
      <c r="B2" s="12"/>
      <c r="C2" s="12"/>
      <c r="D2" s="12"/>
      <c r="E2" s="12"/>
      <c r="F2" s="12"/>
      <c r="G2" s="12"/>
      <c r="H2" s="12"/>
      <c r="I2" s="12"/>
      <c r="J2" s="12"/>
      <c r="K2" s="12"/>
      <c r="L2" s="221"/>
      <c r="M2" s="12"/>
      <c r="N2" s="12"/>
      <c r="O2" s="8" t="s">
        <v>172</v>
      </c>
    </row>
    <row r="3" spans="1:15" s="35" customFormat="1" ht="19.5" customHeight="1">
      <c r="A3" s="589" t="s">
        <v>47</v>
      </c>
      <c r="B3" s="583" t="s">
        <v>133</v>
      </c>
      <c r="C3" s="584" t="s">
        <v>171</v>
      </c>
      <c r="D3" s="594" t="s">
        <v>262</v>
      </c>
      <c r="E3" s="585" t="s">
        <v>247</v>
      </c>
      <c r="F3" s="585" t="s">
        <v>688</v>
      </c>
      <c r="G3" s="585" t="s">
        <v>202</v>
      </c>
      <c r="H3" s="585"/>
      <c r="I3" s="585"/>
      <c r="J3" s="585"/>
      <c r="K3" s="585"/>
      <c r="L3" s="585"/>
      <c r="M3" s="585"/>
      <c r="N3" s="14"/>
      <c r="O3" s="585" t="s">
        <v>263</v>
      </c>
    </row>
    <row r="4" spans="1:15" s="35" customFormat="1" ht="19.5" customHeight="1">
      <c r="A4" s="590"/>
      <c r="B4" s="583"/>
      <c r="C4" s="584"/>
      <c r="D4" s="594"/>
      <c r="E4" s="585"/>
      <c r="F4" s="585"/>
      <c r="G4" s="585" t="s">
        <v>671</v>
      </c>
      <c r="H4" s="585" t="s">
        <v>312</v>
      </c>
      <c r="I4" s="585"/>
      <c r="J4" s="585"/>
      <c r="K4" s="585"/>
      <c r="L4" s="586">
        <v>2010</v>
      </c>
      <c r="M4" s="585">
        <v>2011</v>
      </c>
      <c r="N4" s="576" t="s">
        <v>739</v>
      </c>
      <c r="O4" s="585"/>
    </row>
    <row r="5" spans="1:15" s="35" customFormat="1" ht="48" customHeight="1">
      <c r="A5" s="590"/>
      <c r="B5" s="583"/>
      <c r="C5" s="584"/>
      <c r="D5" s="594"/>
      <c r="E5" s="585"/>
      <c r="F5" s="585"/>
      <c r="G5" s="585"/>
      <c r="H5" s="585" t="s">
        <v>264</v>
      </c>
      <c r="I5" s="585" t="s">
        <v>736</v>
      </c>
      <c r="J5" s="586" t="s">
        <v>572</v>
      </c>
      <c r="K5" s="586" t="s">
        <v>246</v>
      </c>
      <c r="L5" s="586"/>
      <c r="M5" s="585"/>
      <c r="N5" s="577"/>
      <c r="O5" s="585"/>
    </row>
    <row r="6" spans="1:15" s="35" customFormat="1" ht="19.5" customHeight="1">
      <c r="A6" s="590"/>
      <c r="B6" s="583"/>
      <c r="C6" s="584"/>
      <c r="D6" s="594"/>
      <c r="E6" s="585"/>
      <c r="F6" s="585"/>
      <c r="G6" s="585"/>
      <c r="H6" s="585"/>
      <c r="I6" s="585"/>
      <c r="J6" s="586"/>
      <c r="K6" s="586"/>
      <c r="L6" s="586"/>
      <c r="M6" s="585"/>
      <c r="N6" s="577"/>
      <c r="O6" s="585"/>
    </row>
    <row r="7" spans="1:15" s="35" customFormat="1" ht="36" customHeight="1">
      <c r="A7" s="591"/>
      <c r="B7" s="583"/>
      <c r="C7" s="584"/>
      <c r="D7" s="594"/>
      <c r="E7" s="585"/>
      <c r="F7" s="585"/>
      <c r="G7" s="585"/>
      <c r="H7" s="585"/>
      <c r="I7" s="585"/>
      <c r="J7" s="586"/>
      <c r="K7" s="586"/>
      <c r="L7" s="586"/>
      <c r="M7" s="585"/>
      <c r="N7" s="578"/>
      <c r="O7" s="585"/>
    </row>
    <row r="8" spans="1:15" ht="7.5" customHeight="1">
      <c r="A8" s="295">
        <v>1</v>
      </c>
      <c r="B8" s="232">
        <v>2</v>
      </c>
      <c r="C8" s="16">
        <v>3</v>
      </c>
      <c r="D8" s="16">
        <v>4</v>
      </c>
      <c r="E8" s="16">
        <v>5</v>
      </c>
      <c r="F8" s="16">
        <v>6</v>
      </c>
      <c r="G8" s="219">
        <v>7</v>
      </c>
      <c r="H8" s="16">
        <v>8</v>
      </c>
      <c r="I8" s="16">
        <v>9</v>
      </c>
      <c r="J8" s="16">
        <v>10</v>
      </c>
      <c r="K8" s="16">
        <v>11</v>
      </c>
      <c r="L8" s="222">
        <v>12</v>
      </c>
      <c r="M8" s="16">
        <v>13</v>
      </c>
      <c r="N8" s="16"/>
      <c r="O8" s="16">
        <v>15</v>
      </c>
    </row>
    <row r="9" spans="1:15" s="230" customFormat="1" ht="123.75">
      <c r="A9" s="295">
        <v>1</v>
      </c>
      <c r="B9" s="234">
        <v>600</v>
      </c>
      <c r="C9" s="228">
        <v>60014</v>
      </c>
      <c r="D9" s="228"/>
      <c r="E9" s="456" t="s">
        <v>39</v>
      </c>
      <c r="F9" s="231">
        <f>SUM(F11:F23)</f>
        <v>23780000</v>
      </c>
      <c r="G9" s="231">
        <f aca="true" t="shared" si="0" ref="G9:N9">SUM(G11:G23)</f>
        <v>13000000</v>
      </c>
      <c r="H9" s="231">
        <f t="shared" si="0"/>
        <v>1380000</v>
      </c>
      <c r="I9" s="231">
        <f t="shared" si="0"/>
        <v>11620000</v>
      </c>
      <c r="J9" s="231">
        <f t="shared" si="0"/>
        <v>0</v>
      </c>
      <c r="K9" s="231">
        <f t="shared" si="0"/>
        <v>0</v>
      </c>
      <c r="L9" s="231">
        <f t="shared" si="0"/>
        <v>4120000</v>
      </c>
      <c r="M9" s="514">
        <f t="shared" si="0"/>
        <v>6160000</v>
      </c>
      <c r="N9" s="231">
        <f t="shared" si="0"/>
        <v>0</v>
      </c>
      <c r="O9" s="283" t="s">
        <v>29</v>
      </c>
    </row>
    <row r="10" spans="1:15" s="230" customFormat="1" ht="14.25">
      <c r="A10" s="295"/>
      <c r="B10" s="234"/>
      <c r="C10" s="228"/>
      <c r="D10" s="228"/>
      <c r="E10" s="228" t="s">
        <v>680</v>
      </c>
      <c r="F10" s="228"/>
      <c r="G10" s="229"/>
      <c r="H10" s="228"/>
      <c r="I10" s="228"/>
      <c r="J10" s="228"/>
      <c r="K10" s="228"/>
      <c r="L10" s="222"/>
      <c r="M10" s="228"/>
      <c r="N10" s="228"/>
      <c r="O10" s="228"/>
    </row>
    <row r="11" spans="1:15" ht="12.75">
      <c r="A11" s="295"/>
      <c r="B11" s="233"/>
      <c r="C11" s="283"/>
      <c r="D11" s="218"/>
      <c r="E11" s="90"/>
      <c r="F11" s="146"/>
      <c r="G11" s="285"/>
      <c r="H11" s="16"/>
      <c r="I11" s="16"/>
      <c r="J11" s="16"/>
      <c r="K11" s="16"/>
      <c r="L11" s="223"/>
      <c r="M11" s="146"/>
      <c r="N11" s="146"/>
      <c r="O11" s="286" t="s">
        <v>28</v>
      </c>
    </row>
    <row r="12" spans="1:15" ht="60">
      <c r="A12" s="295"/>
      <c r="B12" s="233" t="s">
        <v>686</v>
      </c>
      <c r="C12" s="283" t="s">
        <v>28</v>
      </c>
      <c r="D12" s="218">
        <v>605</v>
      </c>
      <c r="E12" s="90" t="s">
        <v>32</v>
      </c>
      <c r="F12" s="146">
        <f aca="true" t="shared" si="1" ref="F12:F35">G12+L12+M12</f>
        <v>1500000</v>
      </c>
      <c r="G12" s="285">
        <f>SUM(H12:K12)</f>
        <v>1500000</v>
      </c>
      <c r="H12" s="16">
        <v>150000</v>
      </c>
      <c r="I12" s="16">
        <f>750000+600000</f>
        <v>1350000</v>
      </c>
      <c r="J12" s="16"/>
      <c r="K12" s="16"/>
      <c r="L12" s="223"/>
      <c r="M12" s="146"/>
      <c r="N12" s="146"/>
      <c r="O12" s="286" t="s">
        <v>28</v>
      </c>
    </row>
    <row r="13" spans="1:15" ht="60">
      <c r="A13" s="295"/>
      <c r="B13" s="458" t="s">
        <v>28</v>
      </c>
      <c r="C13" s="283" t="s">
        <v>28</v>
      </c>
      <c r="D13" s="218">
        <v>605</v>
      </c>
      <c r="E13" s="90" t="s">
        <v>672</v>
      </c>
      <c r="F13" s="146">
        <f t="shared" si="1"/>
        <v>2000000</v>
      </c>
      <c r="G13" s="285">
        <f>SUM(H13:K13)</f>
        <v>2000000</v>
      </c>
      <c r="H13" s="16">
        <v>200000</v>
      </c>
      <c r="I13" s="16">
        <v>1800000</v>
      </c>
      <c r="J13" s="16"/>
      <c r="K13" s="16"/>
      <c r="L13" s="223"/>
      <c r="M13" s="146"/>
      <c r="N13" s="146"/>
      <c r="O13" s="22" t="s">
        <v>28</v>
      </c>
    </row>
    <row r="14" spans="1:15" ht="60">
      <c r="A14" s="295"/>
      <c r="B14" s="458" t="s">
        <v>28</v>
      </c>
      <c r="C14" s="283" t="s">
        <v>28</v>
      </c>
      <c r="D14" s="218">
        <v>605</v>
      </c>
      <c r="E14" s="90" t="s">
        <v>33</v>
      </c>
      <c r="F14" s="146">
        <f t="shared" si="1"/>
        <v>2200000</v>
      </c>
      <c r="G14" s="285">
        <f>SUM(H14:K14)</f>
        <v>2200000</v>
      </c>
      <c r="H14" s="16">
        <v>220000</v>
      </c>
      <c r="I14" s="16">
        <v>1980000</v>
      </c>
      <c r="J14" s="16"/>
      <c r="K14" s="16"/>
      <c r="L14" s="223"/>
      <c r="M14" s="146"/>
      <c r="N14" s="146"/>
      <c r="O14" s="22" t="s">
        <v>28</v>
      </c>
    </row>
    <row r="15" spans="1:15" ht="96" customHeight="1">
      <c r="A15" s="295"/>
      <c r="B15" s="458" t="s">
        <v>28</v>
      </c>
      <c r="C15" s="283" t="s">
        <v>28</v>
      </c>
      <c r="D15" s="218">
        <v>605</v>
      </c>
      <c r="E15" s="90" t="s">
        <v>673</v>
      </c>
      <c r="F15" s="146">
        <f t="shared" si="1"/>
        <v>6000000</v>
      </c>
      <c r="G15" s="285">
        <f>SUM(H15:K15)</f>
        <v>6000000</v>
      </c>
      <c r="H15" s="16">
        <v>600000</v>
      </c>
      <c r="I15" s="16">
        <v>5400000</v>
      </c>
      <c r="J15" s="16"/>
      <c r="K15" s="16"/>
      <c r="L15" s="223"/>
      <c r="M15" s="146"/>
      <c r="N15" s="146"/>
      <c r="O15" s="217" t="s">
        <v>28</v>
      </c>
    </row>
    <row r="16" spans="1:15" ht="72">
      <c r="A16" s="295"/>
      <c r="B16" s="458" t="s">
        <v>28</v>
      </c>
      <c r="C16" s="283" t="s">
        <v>28</v>
      </c>
      <c r="D16" s="218">
        <v>605</v>
      </c>
      <c r="E16" s="90" t="s">
        <v>674</v>
      </c>
      <c r="F16" s="146">
        <f t="shared" si="1"/>
        <v>600000</v>
      </c>
      <c r="G16" s="285">
        <f>SUM(H16:K16)</f>
        <v>600000</v>
      </c>
      <c r="H16" s="16">
        <v>60000</v>
      </c>
      <c r="I16" s="16">
        <v>540000</v>
      </c>
      <c r="J16" s="16"/>
      <c r="K16" s="16"/>
      <c r="L16" s="223"/>
      <c r="M16" s="146"/>
      <c r="N16" s="146"/>
      <c r="O16" s="22" t="s">
        <v>28</v>
      </c>
    </row>
    <row r="17" spans="1:15" ht="62.25" customHeight="1">
      <c r="A17" s="295"/>
      <c r="B17" s="459">
        <v>600</v>
      </c>
      <c r="C17" s="283">
        <v>60014</v>
      </c>
      <c r="D17" s="218">
        <v>605</v>
      </c>
      <c r="E17" s="90" t="s">
        <v>386</v>
      </c>
      <c r="F17" s="146">
        <f t="shared" si="1"/>
        <v>3120000</v>
      </c>
      <c r="G17" s="285">
        <f aca="true" t="shared" si="2" ref="G17:G23">SUM(H17:K17)</f>
        <v>0</v>
      </c>
      <c r="H17" s="446"/>
      <c r="I17" s="446"/>
      <c r="J17" s="446">
        <v>0</v>
      </c>
      <c r="K17" s="446">
        <v>0</v>
      </c>
      <c r="L17" s="471">
        <f>1248000+312000+1560000</f>
        <v>3120000</v>
      </c>
      <c r="M17" s="446"/>
      <c r="N17" s="446"/>
      <c r="O17" s="286" t="s">
        <v>28</v>
      </c>
    </row>
    <row r="18" spans="1:15" ht="72">
      <c r="A18" s="295"/>
      <c r="B18" s="458" t="s">
        <v>28</v>
      </c>
      <c r="C18" s="283" t="s">
        <v>28</v>
      </c>
      <c r="D18" s="218">
        <v>605</v>
      </c>
      <c r="E18" s="90" t="s">
        <v>675</v>
      </c>
      <c r="F18" s="146">
        <f t="shared" si="1"/>
        <v>600000</v>
      </c>
      <c r="G18" s="285">
        <f t="shared" si="2"/>
        <v>0</v>
      </c>
      <c r="H18" s="16"/>
      <c r="I18" s="16"/>
      <c r="J18" s="16"/>
      <c r="K18" s="16"/>
      <c r="L18" s="223">
        <v>600000</v>
      </c>
      <c r="M18" s="146"/>
      <c r="N18" s="146"/>
      <c r="O18" s="22" t="s">
        <v>28</v>
      </c>
    </row>
    <row r="19" spans="1:15" ht="48">
      <c r="A19" s="295"/>
      <c r="B19" s="458" t="s">
        <v>28</v>
      </c>
      <c r="C19" s="283" t="s">
        <v>28</v>
      </c>
      <c r="D19" s="218">
        <v>605</v>
      </c>
      <c r="E19" s="90" t="s">
        <v>34</v>
      </c>
      <c r="F19" s="146">
        <f t="shared" si="1"/>
        <v>400000</v>
      </c>
      <c r="G19" s="285">
        <f t="shared" si="2"/>
        <v>0</v>
      </c>
      <c r="H19" s="16"/>
      <c r="I19" s="16"/>
      <c r="J19" s="16"/>
      <c r="K19" s="16"/>
      <c r="L19" s="223">
        <v>400000</v>
      </c>
      <c r="M19" s="146"/>
      <c r="N19" s="146"/>
      <c r="O19" s="22" t="s">
        <v>28</v>
      </c>
    </row>
    <row r="20" spans="1:15" ht="60">
      <c r="A20" s="295"/>
      <c r="B20" s="458" t="s">
        <v>28</v>
      </c>
      <c r="C20" s="283" t="s">
        <v>28</v>
      </c>
      <c r="D20" s="218">
        <v>605</v>
      </c>
      <c r="E20" s="90" t="s">
        <v>385</v>
      </c>
      <c r="F20" s="146">
        <f t="shared" si="1"/>
        <v>4460000</v>
      </c>
      <c r="G20" s="285">
        <f t="shared" si="2"/>
        <v>0</v>
      </c>
      <c r="H20" s="16"/>
      <c r="I20" s="16"/>
      <c r="J20" s="16"/>
      <c r="K20" s="16"/>
      <c r="L20" s="223"/>
      <c r="M20" s="146">
        <v>4460000</v>
      </c>
      <c r="N20" s="146"/>
      <c r="O20" s="22" t="s">
        <v>28</v>
      </c>
    </row>
    <row r="21" spans="1:15" ht="62.25" customHeight="1">
      <c r="A21" s="295"/>
      <c r="B21" s="459" t="s">
        <v>28</v>
      </c>
      <c r="C21" s="283" t="s">
        <v>28</v>
      </c>
      <c r="D21" s="218">
        <v>605</v>
      </c>
      <c r="E21" s="90" t="s">
        <v>676</v>
      </c>
      <c r="F21" s="146">
        <f>G21+L21+M21</f>
        <v>1700000</v>
      </c>
      <c r="G21" s="285">
        <f t="shared" si="2"/>
        <v>0</v>
      </c>
      <c r="H21" s="446"/>
      <c r="I21" s="446"/>
      <c r="J21" s="446">
        <v>0</v>
      </c>
      <c r="K21" s="446">
        <v>0</v>
      </c>
      <c r="L21" s="471">
        <v>0</v>
      </c>
      <c r="M21" s="446">
        <v>1700000</v>
      </c>
      <c r="N21" s="446"/>
      <c r="O21" s="22" t="s">
        <v>28</v>
      </c>
    </row>
    <row r="22" spans="1:15" ht="62.25" customHeight="1">
      <c r="A22" s="295"/>
      <c r="B22" s="516" t="s">
        <v>746</v>
      </c>
      <c r="C22" s="17" t="s">
        <v>746</v>
      </c>
      <c r="D22" s="218" t="s">
        <v>746</v>
      </c>
      <c r="E22" s="515" t="s">
        <v>745</v>
      </c>
      <c r="F22" s="146">
        <f>G22+L22+M22</f>
        <v>200000</v>
      </c>
      <c r="G22" s="285">
        <f t="shared" si="2"/>
        <v>200000</v>
      </c>
      <c r="H22" s="446">
        <v>50000</v>
      </c>
      <c r="I22" s="446">
        <v>150000</v>
      </c>
      <c r="J22" s="446"/>
      <c r="K22" s="446"/>
      <c r="L22" s="471"/>
      <c r="M22" s="446"/>
      <c r="N22" s="446"/>
      <c r="O22" s="22" t="s">
        <v>746</v>
      </c>
    </row>
    <row r="23" spans="1:15" ht="101.25">
      <c r="A23" s="295"/>
      <c r="B23" s="459" t="s">
        <v>28</v>
      </c>
      <c r="C23" s="283" t="s">
        <v>28</v>
      </c>
      <c r="D23" s="218">
        <v>605</v>
      </c>
      <c r="E23" s="456" t="s">
        <v>744</v>
      </c>
      <c r="F23" s="146">
        <f>G23+L23+M23+500000</f>
        <v>1000000</v>
      </c>
      <c r="G23" s="285">
        <f t="shared" si="2"/>
        <v>500000</v>
      </c>
      <c r="H23" s="446">
        <v>100000</v>
      </c>
      <c r="I23" s="446">
        <v>400000</v>
      </c>
      <c r="J23" s="446">
        <v>0</v>
      </c>
      <c r="K23" s="446">
        <v>0</v>
      </c>
      <c r="L23" s="471">
        <v>0</v>
      </c>
      <c r="M23" s="446"/>
      <c r="N23" s="446"/>
      <c r="O23" s="22" t="s">
        <v>28</v>
      </c>
    </row>
    <row r="24" spans="1:15" ht="78" customHeight="1">
      <c r="A24" s="295">
        <v>2</v>
      </c>
      <c r="B24" s="459" t="s">
        <v>28</v>
      </c>
      <c r="C24" s="283" t="s">
        <v>28</v>
      </c>
      <c r="D24" s="218">
        <v>605</v>
      </c>
      <c r="E24" s="90" t="s">
        <v>361</v>
      </c>
      <c r="F24" s="146">
        <f t="shared" si="1"/>
        <v>20519074</v>
      </c>
      <c r="G24" s="285">
        <f>SUM(H24:K24)</f>
        <v>850000</v>
      </c>
      <c r="H24" s="446">
        <f>2!N42+2!N41</f>
        <v>850000</v>
      </c>
      <c r="I24" s="446"/>
      <c r="J24" s="446"/>
      <c r="K24" s="446"/>
      <c r="L24" s="446">
        <v>9942036</v>
      </c>
      <c r="M24" s="471">
        <v>9727038</v>
      </c>
      <c r="N24" s="471"/>
      <c r="O24" s="283" t="s">
        <v>547</v>
      </c>
    </row>
    <row r="25" spans="1:15" ht="78" customHeight="1">
      <c r="A25" s="295">
        <v>3</v>
      </c>
      <c r="B25" s="459" t="s">
        <v>28</v>
      </c>
      <c r="C25" s="283" t="s">
        <v>28</v>
      </c>
      <c r="D25" s="218">
        <v>605</v>
      </c>
      <c r="E25" s="90" t="s">
        <v>741</v>
      </c>
      <c r="F25" s="146"/>
      <c r="G25" s="285">
        <f>SUM(H25:K25)</f>
        <v>250000</v>
      </c>
      <c r="H25" s="446">
        <v>250000</v>
      </c>
      <c r="I25" s="446"/>
      <c r="J25" s="446"/>
      <c r="K25" s="446"/>
      <c r="L25" s="446"/>
      <c r="M25" s="471"/>
      <c r="N25" s="471"/>
      <c r="O25" s="283" t="s">
        <v>547</v>
      </c>
    </row>
    <row r="26" spans="1:15" ht="178.5">
      <c r="A26" s="295">
        <v>4</v>
      </c>
      <c r="B26" s="468">
        <v>700</v>
      </c>
      <c r="C26" s="469">
        <v>70005</v>
      </c>
      <c r="D26" s="472">
        <v>6050</v>
      </c>
      <c r="E26" s="461" t="s">
        <v>685</v>
      </c>
      <c r="F26" s="146">
        <f t="shared" si="1"/>
        <v>80000</v>
      </c>
      <c r="G26" s="285">
        <f>SUM(H26:K26)</f>
        <v>80000</v>
      </c>
      <c r="H26" s="446">
        <f>2!N54</f>
        <v>80000</v>
      </c>
      <c r="I26" s="446"/>
      <c r="J26" s="424"/>
      <c r="K26" s="446"/>
      <c r="L26" s="471"/>
      <c r="M26" s="446"/>
      <c r="N26" s="446"/>
      <c r="O26" s="457" t="s">
        <v>548</v>
      </c>
    </row>
    <row r="27" spans="1:15" ht="70.5" customHeight="1">
      <c r="A27" s="295">
        <v>5</v>
      </c>
      <c r="B27" s="473">
        <v>750</v>
      </c>
      <c r="C27" s="457">
        <v>75020</v>
      </c>
      <c r="D27" s="283">
        <v>606</v>
      </c>
      <c r="E27" s="88" t="s">
        <v>679</v>
      </c>
      <c r="F27" s="146">
        <f t="shared" si="1"/>
        <v>42000</v>
      </c>
      <c r="G27" s="285">
        <f aca="true" t="shared" si="3" ref="G27:G39">SUM(H27:K27)</f>
        <v>42000</v>
      </c>
      <c r="H27" s="446">
        <f>2!N144</f>
        <v>42000</v>
      </c>
      <c r="I27" s="446"/>
      <c r="J27" s="424"/>
      <c r="K27" s="446"/>
      <c r="L27" s="471"/>
      <c r="M27" s="446"/>
      <c r="N27" s="446"/>
      <c r="O27" s="457" t="s">
        <v>548</v>
      </c>
    </row>
    <row r="28" spans="1:15" ht="72">
      <c r="A28" s="295">
        <v>6</v>
      </c>
      <c r="B28" s="468">
        <v>750</v>
      </c>
      <c r="C28" s="469">
        <v>75020</v>
      </c>
      <c r="D28" s="286">
        <v>605</v>
      </c>
      <c r="E28" s="463" t="s">
        <v>692</v>
      </c>
      <c r="F28" s="146">
        <f t="shared" si="1"/>
        <v>132000</v>
      </c>
      <c r="G28" s="285">
        <f t="shared" si="3"/>
        <v>132000</v>
      </c>
      <c r="H28" s="446">
        <f>2!N143</f>
        <v>132000</v>
      </c>
      <c r="I28" s="446"/>
      <c r="J28" s="424"/>
      <c r="K28" s="446"/>
      <c r="L28" s="471"/>
      <c r="M28" s="446"/>
      <c r="N28" s="446"/>
      <c r="O28" s="457" t="s">
        <v>548</v>
      </c>
    </row>
    <row r="29" spans="1:15" ht="72">
      <c r="A29" s="295">
        <v>7</v>
      </c>
      <c r="B29" s="468">
        <v>750</v>
      </c>
      <c r="C29" s="469">
        <v>75020</v>
      </c>
      <c r="D29" s="286">
        <v>605</v>
      </c>
      <c r="E29" s="463" t="s">
        <v>697</v>
      </c>
      <c r="F29" s="146">
        <f t="shared" si="1"/>
        <v>19520</v>
      </c>
      <c r="G29" s="285">
        <f>SUM(H29:K29)</f>
        <v>19520</v>
      </c>
      <c r="H29" s="446">
        <v>19520</v>
      </c>
      <c r="I29" s="446"/>
      <c r="J29" s="424"/>
      <c r="K29" s="446"/>
      <c r="L29" s="471"/>
      <c r="M29" s="446"/>
      <c r="N29" s="446"/>
      <c r="O29" s="457" t="s">
        <v>548</v>
      </c>
    </row>
    <row r="30" spans="1:15" ht="70.5" customHeight="1">
      <c r="A30" s="295">
        <v>8</v>
      </c>
      <c r="B30" s="459">
        <v>758</v>
      </c>
      <c r="C30" s="147">
        <v>75818</v>
      </c>
      <c r="D30" s="283">
        <v>680</v>
      </c>
      <c r="E30" s="462" t="s">
        <v>31</v>
      </c>
      <c r="F30" s="474">
        <f t="shared" si="1"/>
        <v>200000</v>
      </c>
      <c r="G30" s="285">
        <f t="shared" si="3"/>
        <v>200000</v>
      </c>
      <c r="H30" s="446">
        <f>2!N182</f>
        <v>200000</v>
      </c>
      <c r="I30" s="446"/>
      <c r="J30" s="424"/>
      <c r="K30" s="446"/>
      <c r="L30" s="475"/>
      <c r="M30" s="446"/>
      <c r="N30" s="446"/>
      <c r="O30" s="457" t="s">
        <v>548</v>
      </c>
    </row>
    <row r="31" spans="1:15" ht="168.75">
      <c r="A31" s="464" t="s">
        <v>742</v>
      </c>
      <c r="B31" s="459">
        <v>801</v>
      </c>
      <c r="C31" s="283">
        <v>80130</v>
      </c>
      <c r="D31" s="283">
        <v>605</v>
      </c>
      <c r="E31" s="465" t="s">
        <v>687</v>
      </c>
      <c r="F31" s="146">
        <f t="shared" si="1"/>
        <v>4800000</v>
      </c>
      <c r="G31" s="285">
        <f>SUM(H31:K31)</f>
        <v>300000</v>
      </c>
      <c r="H31" s="446">
        <v>300000</v>
      </c>
      <c r="I31" s="446"/>
      <c r="J31" s="424"/>
      <c r="K31" s="446"/>
      <c r="L31" s="471">
        <v>4500000</v>
      </c>
      <c r="M31" s="446"/>
      <c r="N31" s="446"/>
      <c r="O31" s="457" t="s">
        <v>548</v>
      </c>
    </row>
    <row r="32" spans="1:15" ht="78.75">
      <c r="A32" s="295">
        <v>10</v>
      </c>
      <c r="B32" s="459">
        <v>801</v>
      </c>
      <c r="C32" s="283">
        <v>80130</v>
      </c>
      <c r="D32" s="283">
        <v>605</v>
      </c>
      <c r="E32" s="509" t="s">
        <v>734</v>
      </c>
      <c r="F32" s="474">
        <f t="shared" si="1"/>
        <v>230000</v>
      </c>
      <c r="G32" s="285">
        <f t="shared" si="3"/>
        <v>230000</v>
      </c>
      <c r="H32" s="446"/>
      <c r="I32" s="446">
        <v>230000</v>
      </c>
      <c r="J32" s="424"/>
      <c r="K32" s="446"/>
      <c r="L32" s="475"/>
      <c r="M32" s="446"/>
      <c r="N32" s="446"/>
      <c r="O32" s="510" t="s">
        <v>735</v>
      </c>
    </row>
    <row r="33" spans="1:15" ht="78.75">
      <c r="A33" s="511" t="s">
        <v>754</v>
      </c>
      <c r="B33" s="459">
        <v>801</v>
      </c>
      <c r="C33" s="283">
        <v>80130</v>
      </c>
      <c r="D33" s="283">
        <v>605</v>
      </c>
      <c r="E33" s="465" t="s">
        <v>737</v>
      </c>
      <c r="F33" s="146">
        <f>G33+L33+M33</f>
        <v>122000</v>
      </c>
      <c r="G33" s="285">
        <f>SUM(H33:K33)</f>
        <v>0</v>
      </c>
      <c r="H33" s="446"/>
      <c r="I33" s="446"/>
      <c r="J33" s="424"/>
      <c r="K33" s="446"/>
      <c r="L33" s="471"/>
      <c r="M33" s="446">
        <v>122000</v>
      </c>
      <c r="N33" s="512">
        <v>5978000</v>
      </c>
      <c r="O33" s="457" t="s">
        <v>548</v>
      </c>
    </row>
    <row r="34" spans="1:15" ht="25.5">
      <c r="A34" s="511" t="s">
        <v>755</v>
      </c>
      <c r="B34" s="459">
        <v>853</v>
      </c>
      <c r="C34" s="283">
        <v>85395</v>
      </c>
      <c r="D34" s="283"/>
      <c r="E34" s="465" t="s">
        <v>756</v>
      </c>
      <c r="F34" s="146">
        <f>G34+L34+M34</f>
        <v>7200</v>
      </c>
      <c r="G34" s="285">
        <f>SUM(H34:K34)</f>
        <v>7200</v>
      </c>
      <c r="H34" s="446">
        <v>7200</v>
      </c>
      <c r="I34" s="446"/>
      <c r="J34" s="424"/>
      <c r="K34" s="446"/>
      <c r="L34" s="471"/>
      <c r="M34" s="446"/>
      <c r="N34" s="512"/>
      <c r="O34" s="457" t="s">
        <v>548</v>
      </c>
    </row>
    <row r="35" spans="1:15" ht="165.75">
      <c r="A35" s="295"/>
      <c r="B35" s="466" t="s">
        <v>677</v>
      </c>
      <c r="C35" s="147">
        <v>85201</v>
      </c>
      <c r="D35" s="283">
        <v>605</v>
      </c>
      <c r="E35" s="467" t="s">
        <v>684</v>
      </c>
      <c r="F35" s="146">
        <f t="shared" si="1"/>
        <v>760000</v>
      </c>
      <c r="G35" s="285">
        <f>SUM(H35:K35)</f>
        <v>760000</v>
      </c>
      <c r="H35" s="446">
        <v>530000</v>
      </c>
      <c r="I35" s="446"/>
      <c r="J35" s="424">
        <v>230000</v>
      </c>
      <c r="K35" s="446"/>
      <c r="L35" s="471"/>
      <c r="M35" s="446"/>
      <c r="N35" s="446"/>
      <c r="O35" s="457" t="s">
        <v>548</v>
      </c>
    </row>
    <row r="36" spans="1:15" ht="70.5" customHeight="1">
      <c r="A36" s="295"/>
      <c r="B36" s="466" t="s">
        <v>677</v>
      </c>
      <c r="C36" s="147">
        <v>85202</v>
      </c>
      <c r="D36" s="283">
        <v>605</v>
      </c>
      <c r="E36" s="462" t="s">
        <v>698</v>
      </c>
      <c r="F36" s="474">
        <f>G36+L36+M36-200000</f>
        <v>1720000</v>
      </c>
      <c r="G36" s="285">
        <f t="shared" si="3"/>
        <v>300000</v>
      </c>
      <c r="H36" s="446">
        <v>50000</v>
      </c>
      <c r="I36" s="446"/>
      <c r="J36" s="424">
        <v>250000</v>
      </c>
      <c r="K36" s="446"/>
      <c r="L36" s="475">
        <v>1620000</v>
      </c>
      <c r="M36" s="446"/>
      <c r="N36" s="446"/>
      <c r="O36" s="457" t="s">
        <v>617</v>
      </c>
    </row>
    <row r="37" spans="1:15" ht="33.75">
      <c r="A37" s="295"/>
      <c r="B37" s="468"/>
      <c r="C37" s="587" t="s">
        <v>601</v>
      </c>
      <c r="D37" s="588"/>
      <c r="E37" s="465" t="s">
        <v>699</v>
      </c>
      <c r="F37" s="146">
        <f aca="true" t="shared" si="4" ref="F37:F42">G37+L37+M37</f>
        <v>150000</v>
      </c>
      <c r="G37" s="285">
        <f t="shared" si="3"/>
        <v>150000</v>
      </c>
      <c r="H37" s="446"/>
      <c r="I37" s="446"/>
      <c r="J37" s="424">
        <v>150000</v>
      </c>
      <c r="K37" s="446"/>
      <c r="L37" s="471"/>
      <c r="M37" s="446"/>
      <c r="N37" s="446"/>
      <c r="O37" s="457" t="s">
        <v>548</v>
      </c>
    </row>
    <row r="38" spans="1:15" ht="102">
      <c r="A38" s="295"/>
      <c r="B38" s="468"/>
      <c r="C38" s="595" t="s">
        <v>601</v>
      </c>
      <c r="D38" s="596"/>
      <c r="E38" s="470" t="s">
        <v>683</v>
      </c>
      <c r="F38" s="146">
        <f t="shared" si="4"/>
        <v>150000</v>
      </c>
      <c r="G38" s="285">
        <f t="shared" si="3"/>
        <v>150000</v>
      </c>
      <c r="H38" s="446"/>
      <c r="I38" s="446"/>
      <c r="J38" s="424">
        <v>150000</v>
      </c>
      <c r="K38" s="446"/>
      <c r="L38" s="471"/>
      <c r="M38" s="446"/>
      <c r="N38" s="446"/>
      <c r="O38" s="457" t="s">
        <v>548</v>
      </c>
    </row>
    <row r="39" spans="1:15" ht="99" customHeight="1">
      <c r="A39" s="295"/>
      <c r="B39" s="468"/>
      <c r="C39" s="595" t="s">
        <v>601</v>
      </c>
      <c r="D39" s="596"/>
      <c r="E39" s="467" t="s">
        <v>682</v>
      </c>
      <c r="F39" s="146">
        <f t="shared" si="4"/>
        <v>60000</v>
      </c>
      <c r="G39" s="285">
        <f t="shared" si="3"/>
        <v>60000</v>
      </c>
      <c r="H39" s="446"/>
      <c r="I39" s="446"/>
      <c r="J39" s="424">
        <v>60000</v>
      </c>
      <c r="K39" s="446"/>
      <c r="L39" s="471"/>
      <c r="M39" s="446"/>
      <c r="N39" s="446"/>
      <c r="O39" s="457" t="s">
        <v>548</v>
      </c>
    </row>
    <row r="40" spans="1:15" ht="63.75">
      <c r="A40" s="295"/>
      <c r="B40" s="468"/>
      <c r="C40" s="595" t="s">
        <v>601</v>
      </c>
      <c r="D40" s="596"/>
      <c r="E40" s="461" t="s">
        <v>743</v>
      </c>
      <c r="F40" s="146">
        <f t="shared" si="4"/>
        <v>155000</v>
      </c>
      <c r="G40" s="285">
        <f>SUM(H40:K40)</f>
        <v>155000</v>
      </c>
      <c r="H40" s="446"/>
      <c r="I40" s="446"/>
      <c r="J40" s="424">
        <v>155000</v>
      </c>
      <c r="K40" s="446"/>
      <c r="L40" s="471"/>
      <c r="M40" s="446"/>
      <c r="N40" s="446"/>
      <c r="O40" s="457" t="s">
        <v>548</v>
      </c>
    </row>
    <row r="41" spans="1:15" ht="72">
      <c r="A41" s="295"/>
      <c r="B41" s="468"/>
      <c r="C41" s="597" t="s">
        <v>573</v>
      </c>
      <c r="D41" s="598"/>
      <c r="E41" s="463" t="s">
        <v>696</v>
      </c>
      <c r="F41" s="146">
        <f t="shared" si="4"/>
        <v>30500</v>
      </c>
      <c r="G41" s="285">
        <f>SUM(H41:K41)</f>
        <v>30500</v>
      </c>
      <c r="H41" s="446"/>
      <c r="I41" s="446"/>
      <c r="J41" s="424">
        <f>30500</f>
        <v>30500</v>
      </c>
      <c r="K41" s="446"/>
      <c r="L41" s="471"/>
      <c r="M41" s="446"/>
      <c r="N41" s="446"/>
      <c r="O41" s="457" t="s">
        <v>548</v>
      </c>
    </row>
    <row r="42" spans="1:15" ht="89.25" customHeight="1">
      <c r="A42" s="295"/>
      <c r="B42" s="283"/>
      <c r="C42" s="597" t="s">
        <v>573</v>
      </c>
      <c r="D42" s="598"/>
      <c r="E42" s="462" t="s">
        <v>740</v>
      </c>
      <c r="F42" s="474">
        <f t="shared" si="4"/>
        <v>130000</v>
      </c>
      <c r="G42" s="285">
        <f>SUM(H42:K42)</f>
        <v>130000</v>
      </c>
      <c r="H42" s="446"/>
      <c r="I42" s="446"/>
      <c r="J42" s="424">
        <f>50000+80000</f>
        <v>130000</v>
      </c>
      <c r="K42" s="446"/>
      <c r="L42" s="475"/>
      <c r="M42" s="446"/>
      <c r="N42" s="446"/>
      <c r="O42" s="457" t="s">
        <v>548</v>
      </c>
    </row>
    <row r="43" spans="1:15" ht="22.5" customHeight="1">
      <c r="A43" s="295"/>
      <c r="B43" s="592" t="s">
        <v>46</v>
      </c>
      <c r="C43" s="593"/>
      <c r="D43" s="593"/>
      <c r="E43" s="593"/>
      <c r="F43" s="446">
        <f>SUM(F11:F42)</f>
        <v>53087294</v>
      </c>
      <c r="G43" s="446">
        <f>SUM(G11:G42)</f>
        <v>16846220</v>
      </c>
      <c r="H43" s="446">
        <f aca="true" t="shared" si="5" ref="H43:N43">SUM(H11:H42)</f>
        <v>3840720</v>
      </c>
      <c r="I43" s="446">
        <f t="shared" si="5"/>
        <v>11850000</v>
      </c>
      <c r="J43" s="446">
        <f t="shared" si="5"/>
        <v>1155500</v>
      </c>
      <c r="K43" s="446">
        <f t="shared" si="5"/>
        <v>0</v>
      </c>
      <c r="L43" s="446">
        <f t="shared" si="5"/>
        <v>20182036</v>
      </c>
      <c r="M43" s="513">
        <f t="shared" si="5"/>
        <v>16009038</v>
      </c>
      <c r="N43" s="513">
        <f t="shared" si="5"/>
        <v>5978000</v>
      </c>
      <c r="O43" s="54" t="s">
        <v>178</v>
      </c>
    </row>
    <row r="44" spans="1:15" ht="42.75" customHeight="1">
      <c r="A44" s="579" t="s">
        <v>681</v>
      </c>
      <c r="B44" s="580"/>
      <c r="C44" s="580"/>
      <c r="D44" s="580"/>
      <c r="E44" s="581"/>
      <c r="F44" s="283"/>
      <c r="G44" s="110">
        <f>G43-J43</f>
        <v>15690720</v>
      </c>
      <c r="H44" s="283"/>
      <c r="I44" s="283"/>
      <c r="J44" s="283"/>
      <c r="K44" s="283"/>
      <c r="L44" s="455"/>
      <c r="M44" s="283"/>
      <c r="N44" s="283"/>
      <c r="O44" s="283"/>
    </row>
  </sheetData>
  <sheetProtection/>
  <mergeCells count="26">
    <mergeCell ref="F3:F7"/>
    <mergeCell ref="H4:K4"/>
    <mergeCell ref="H5:H7"/>
    <mergeCell ref="I5:I7"/>
    <mergeCell ref="J5:J7"/>
    <mergeCell ref="K5:K7"/>
    <mergeCell ref="M4:M7"/>
    <mergeCell ref="C37:D37"/>
    <mergeCell ref="A3:A7"/>
    <mergeCell ref="B43:E43"/>
    <mergeCell ref="D3:D7"/>
    <mergeCell ref="C40:D40"/>
    <mergeCell ref="C42:D42"/>
    <mergeCell ref="C39:D39"/>
    <mergeCell ref="C38:D38"/>
    <mergeCell ref="C41:D41"/>
    <mergeCell ref="N4:N7"/>
    <mergeCell ref="A44:E44"/>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L40"/>
  <sheetViews>
    <sheetView zoomScalePageLayoutView="0" workbookViewId="0" topLeftCell="A15">
      <selection activeCell="F18" sqref="F18"/>
    </sheetView>
  </sheetViews>
  <sheetFormatPr defaultColWidth="9.00390625" defaultRowHeight="12.75"/>
  <cols>
    <col min="1" max="1" width="7.625" style="284" bestFit="1" customWidth="1"/>
    <col min="2" max="2" width="6.875" style="284" customWidth="1"/>
    <col min="3" max="3" width="7.75390625" style="284" customWidth="1"/>
    <col min="4" max="4" width="6.25390625" style="227" customWidth="1"/>
    <col min="5" max="5" width="17.875" style="284" customWidth="1"/>
    <col min="6" max="6" width="12.00390625" style="395" customWidth="1"/>
    <col min="7" max="7" width="12.75390625" style="395" customWidth="1"/>
    <col min="8" max="8" width="10.125" style="395" customWidth="1"/>
    <col min="9" max="9" width="11.25390625" style="395" bestFit="1" customWidth="1"/>
    <col min="10" max="10" width="13.125" style="395" customWidth="1"/>
    <col min="11" max="11" width="11.125" style="395" customWidth="1"/>
    <col min="12" max="12" width="22.625" style="284" customWidth="1"/>
    <col min="13" max="16384" width="9.125" style="284" customWidth="1"/>
  </cols>
  <sheetData>
    <row r="1" spans="3:12" ht="18">
      <c r="C1" s="12"/>
      <c r="D1" s="225"/>
      <c r="E1" s="12"/>
      <c r="F1" s="220" t="s">
        <v>689</v>
      </c>
      <c r="G1" s="12"/>
      <c r="H1" s="12"/>
      <c r="I1" s="12"/>
      <c r="J1" s="12"/>
      <c r="K1" s="12"/>
      <c r="L1" s="12"/>
    </row>
    <row r="2" spans="2:12" ht="10.5" customHeight="1">
      <c r="B2" s="12"/>
      <c r="C2" s="12"/>
      <c r="D2" s="225"/>
      <c r="E2" s="12"/>
      <c r="F2" s="89"/>
      <c r="G2" s="89"/>
      <c r="H2" s="89"/>
      <c r="I2" s="89"/>
      <c r="J2" s="89"/>
      <c r="K2" s="89"/>
      <c r="L2" s="8" t="s">
        <v>172</v>
      </c>
    </row>
    <row r="3" spans="1:12" s="35" customFormat="1" ht="12.75">
      <c r="A3" s="602" t="s">
        <v>47</v>
      </c>
      <c r="B3" s="599" t="s">
        <v>133</v>
      </c>
      <c r="C3" s="594" t="s">
        <v>171</v>
      </c>
      <c r="D3" s="601" t="s">
        <v>262</v>
      </c>
      <c r="E3" s="585" t="s">
        <v>265</v>
      </c>
      <c r="F3" s="600" t="s">
        <v>26</v>
      </c>
      <c r="G3" s="600" t="s">
        <v>690</v>
      </c>
      <c r="H3" s="600"/>
      <c r="I3" s="600"/>
      <c r="J3" s="600"/>
      <c r="K3" s="600"/>
      <c r="L3" s="585" t="s">
        <v>263</v>
      </c>
    </row>
    <row r="4" spans="1:12" s="35" customFormat="1" ht="12.75">
      <c r="A4" s="603"/>
      <c r="B4" s="599"/>
      <c r="C4" s="594"/>
      <c r="D4" s="601"/>
      <c r="E4" s="585"/>
      <c r="F4" s="600"/>
      <c r="G4" s="600" t="s">
        <v>691</v>
      </c>
      <c r="H4" s="600" t="s">
        <v>312</v>
      </c>
      <c r="I4" s="600"/>
      <c r="J4" s="600"/>
      <c r="K4" s="600"/>
      <c r="L4" s="585"/>
    </row>
    <row r="5" spans="1:12" s="35" customFormat="1" ht="12.75" customHeight="1">
      <c r="A5" s="603"/>
      <c r="B5" s="599"/>
      <c r="C5" s="594"/>
      <c r="D5" s="601"/>
      <c r="E5" s="585"/>
      <c r="F5" s="600"/>
      <c r="G5" s="600"/>
      <c r="H5" s="600" t="s">
        <v>264</v>
      </c>
      <c r="I5" s="585" t="s">
        <v>736</v>
      </c>
      <c r="J5" s="600" t="s">
        <v>38</v>
      </c>
      <c r="K5" s="605" t="s">
        <v>246</v>
      </c>
      <c r="L5" s="585"/>
    </row>
    <row r="6" spans="1:12" s="35" customFormat="1" ht="12.75">
      <c r="A6" s="603"/>
      <c r="B6" s="599"/>
      <c r="C6" s="594"/>
      <c r="D6" s="601"/>
      <c r="E6" s="585"/>
      <c r="F6" s="600"/>
      <c r="G6" s="600"/>
      <c r="H6" s="600"/>
      <c r="I6" s="585"/>
      <c r="J6" s="600"/>
      <c r="K6" s="605"/>
      <c r="L6" s="585"/>
    </row>
    <row r="7" spans="1:12" s="35" customFormat="1" ht="91.5" customHeight="1">
      <c r="A7" s="604"/>
      <c r="B7" s="599"/>
      <c r="C7" s="594"/>
      <c r="D7" s="601"/>
      <c r="E7" s="585"/>
      <c r="F7" s="600"/>
      <c r="G7" s="600"/>
      <c r="H7" s="600"/>
      <c r="I7" s="585"/>
      <c r="J7" s="600"/>
      <c r="K7" s="605"/>
      <c r="L7" s="585"/>
    </row>
    <row r="8" spans="1:12" ht="12.75">
      <c r="A8" s="235">
        <v>1</v>
      </c>
      <c r="B8" s="232">
        <v>2</v>
      </c>
      <c r="C8" s="16">
        <v>3</v>
      </c>
      <c r="D8" s="16">
        <v>4</v>
      </c>
      <c r="E8" s="16">
        <v>5</v>
      </c>
      <c r="F8" s="87">
        <v>6</v>
      </c>
      <c r="G8" s="216">
        <v>7</v>
      </c>
      <c r="H8" s="87">
        <v>8</v>
      </c>
      <c r="I8" s="87">
        <v>9</v>
      </c>
      <c r="J8" s="87">
        <v>10</v>
      </c>
      <c r="K8" s="87">
        <v>11</v>
      </c>
      <c r="L8" s="16">
        <v>12</v>
      </c>
    </row>
    <row r="9" spans="1:12" ht="157.5">
      <c r="A9" s="283">
        <v>1</v>
      </c>
      <c r="B9" s="232"/>
      <c r="C9" s="16"/>
      <c r="D9" s="16"/>
      <c r="E9" s="456" t="s">
        <v>41</v>
      </c>
      <c r="F9" s="231">
        <f aca="true" t="shared" si="0" ref="F9:K9">SUM(F11:F17)</f>
        <v>13500000</v>
      </c>
      <c r="G9" s="231">
        <f t="shared" si="0"/>
        <v>13000000</v>
      </c>
      <c r="H9" s="231">
        <f t="shared" si="0"/>
        <v>1380000</v>
      </c>
      <c r="I9" s="231">
        <f t="shared" si="0"/>
        <v>11620000</v>
      </c>
      <c r="J9" s="231">
        <f t="shared" si="0"/>
        <v>0</v>
      </c>
      <c r="K9" s="231">
        <f t="shared" si="0"/>
        <v>0</v>
      </c>
      <c r="L9" s="457" t="s">
        <v>29</v>
      </c>
    </row>
    <row r="10" spans="1:12" ht="12.75">
      <c r="A10" s="283"/>
      <c r="B10" s="232"/>
      <c r="C10" s="16"/>
      <c r="D10" s="16"/>
      <c r="E10" s="64" t="s">
        <v>40</v>
      </c>
      <c r="F10" s="87"/>
      <c r="G10" s="216"/>
      <c r="H10" s="87"/>
      <c r="I10" s="87"/>
      <c r="J10" s="87"/>
      <c r="K10" s="87"/>
      <c r="L10" s="16"/>
    </row>
    <row r="11" spans="1:12" ht="60">
      <c r="A11" s="295"/>
      <c r="B11" s="233">
        <v>600</v>
      </c>
      <c r="C11" s="283">
        <v>60014</v>
      </c>
      <c r="D11" s="218">
        <v>605</v>
      </c>
      <c r="E11" s="90" t="s">
        <v>32</v>
      </c>
      <c r="F11" s="146">
        <f aca="true" t="shared" si="1" ref="F11:F16">G11</f>
        <v>1500000</v>
      </c>
      <c r="G11" s="216">
        <f aca="true" t="shared" si="2" ref="G11:G24">SUM(H11:K11)</f>
        <v>1500000</v>
      </c>
      <c r="H11" s="16">
        <v>150000</v>
      </c>
      <c r="I11" s="16">
        <f>750000+600000</f>
        <v>1350000</v>
      </c>
      <c r="J11" s="87"/>
      <c r="K11" s="87"/>
      <c r="L11" s="283" t="s">
        <v>28</v>
      </c>
    </row>
    <row r="12" spans="1:12" ht="60">
      <c r="A12" s="295"/>
      <c r="B12" s="458" t="s">
        <v>28</v>
      </c>
      <c r="C12" s="283" t="s">
        <v>28</v>
      </c>
      <c r="D12" s="218">
        <v>605</v>
      </c>
      <c r="E12" s="90" t="s">
        <v>672</v>
      </c>
      <c r="F12" s="146">
        <f t="shared" si="1"/>
        <v>2000000</v>
      </c>
      <c r="G12" s="216">
        <f t="shared" si="2"/>
        <v>2000000</v>
      </c>
      <c r="H12" s="16">
        <v>200000</v>
      </c>
      <c r="I12" s="16">
        <v>1800000</v>
      </c>
      <c r="J12" s="87"/>
      <c r="K12" s="87"/>
      <c r="L12" s="217" t="s">
        <v>28</v>
      </c>
    </row>
    <row r="13" spans="1:12" ht="60">
      <c r="A13" s="295"/>
      <c r="B13" s="458" t="s">
        <v>28</v>
      </c>
      <c r="C13" s="283" t="s">
        <v>28</v>
      </c>
      <c r="D13" s="218">
        <v>605</v>
      </c>
      <c r="E13" s="90" t="s">
        <v>33</v>
      </c>
      <c r="F13" s="146">
        <f t="shared" si="1"/>
        <v>2200000</v>
      </c>
      <c r="G13" s="236">
        <f t="shared" si="2"/>
        <v>2200000</v>
      </c>
      <c r="H13" s="16">
        <v>220000</v>
      </c>
      <c r="I13" s="16">
        <v>1980000</v>
      </c>
      <c r="J13" s="87"/>
      <c r="K13" s="87"/>
      <c r="L13" s="217"/>
    </row>
    <row r="14" spans="1:12" ht="120">
      <c r="A14" s="295"/>
      <c r="B14" s="458" t="s">
        <v>28</v>
      </c>
      <c r="C14" s="283" t="s">
        <v>28</v>
      </c>
      <c r="D14" s="218">
        <v>605</v>
      </c>
      <c r="E14" s="90" t="s">
        <v>673</v>
      </c>
      <c r="F14" s="146">
        <f t="shared" si="1"/>
        <v>6000000</v>
      </c>
      <c r="G14" s="236">
        <f t="shared" si="2"/>
        <v>6000000</v>
      </c>
      <c r="H14" s="16">
        <v>600000</v>
      </c>
      <c r="I14" s="16">
        <v>5400000</v>
      </c>
      <c r="J14" s="87"/>
      <c r="K14" s="87"/>
      <c r="L14" s="22" t="s">
        <v>28</v>
      </c>
    </row>
    <row r="15" spans="1:12" ht="72">
      <c r="A15" s="295"/>
      <c r="B15" s="458" t="s">
        <v>28</v>
      </c>
      <c r="C15" s="283" t="s">
        <v>28</v>
      </c>
      <c r="D15" s="218">
        <v>605</v>
      </c>
      <c r="E15" s="90" t="s">
        <v>674</v>
      </c>
      <c r="F15" s="146">
        <f t="shared" si="1"/>
        <v>600000</v>
      </c>
      <c r="G15" s="236">
        <f t="shared" si="2"/>
        <v>600000</v>
      </c>
      <c r="H15" s="16">
        <v>60000</v>
      </c>
      <c r="I15" s="16">
        <v>540000</v>
      </c>
      <c r="J15" s="87"/>
      <c r="K15" s="87"/>
      <c r="L15" s="22" t="s">
        <v>28</v>
      </c>
    </row>
    <row r="16" spans="1:12" ht="101.25">
      <c r="A16" s="295"/>
      <c r="B16" s="458" t="s">
        <v>28</v>
      </c>
      <c r="C16" s="283" t="s">
        <v>28</v>
      </c>
      <c r="D16" s="218">
        <v>605</v>
      </c>
      <c r="E16" s="456" t="str">
        <f>3!E22</f>
        <v>Przebudowa   drogi  nr  2006 - Rozgarty -Górsk wraz  z  budową  zatoki  parkingowej  dla  obsługi   ruchu  turystycznego   w  miejscu  pamięci   Ks.  J.Popiełuszki   w  miejscowości  Górsk  </v>
      </c>
      <c r="F16" s="146">
        <f t="shared" si="1"/>
        <v>200000</v>
      </c>
      <c r="G16" s="236">
        <f>SUM(H16:K16)</f>
        <v>200000</v>
      </c>
      <c r="H16" s="87">
        <f>3!H22</f>
        <v>50000</v>
      </c>
      <c r="I16" s="87">
        <f>3!I22</f>
        <v>150000</v>
      </c>
      <c r="J16" s="87"/>
      <c r="K16" s="87"/>
      <c r="L16" s="22" t="s">
        <v>28</v>
      </c>
    </row>
    <row r="17" spans="1:12" ht="101.25">
      <c r="A17" s="295"/>
      <c r="B17" s="458" t="s">
        <v>28</v>
      </c>
      <c r="C17" s="283" t="s">
        <v>28</v>
      </c>
      <c r="D17" s="218">
        <v>605</v>
      </c>
      <c r="E17" s="456" t="str">
        <f>3!E23</f>
        <v>Przebudowa mostu drogowego  na  drodze  powiatowej    nr  2005 Łubianka  Czarne  Błoto   w  m. Zamek  Bierzgłowski  w  km  5+247  na  rzece  Struga  Toruńska   wraz  z  dojazdami </v>
      </c>
      <c r="F17" s="146">
        <f>G17+500000</f>
        <v>1000000</v>
      </c>
      <c r="G17" s="236">
        <f t="shared" si="2"/>
        <v>500000</v>
      </c>
      <c r="H17" s="87">
        <f>3!H23</f>
        <v>100000</v>
      </c>
      <c r="I17" s="87">
        <f>3!I23</f>
        <v>400000</v>
      </c>
      <c r="J17" s="87"/>
      <c r="K17" s="87"/>
      <c r="L17" s="22" t="s">
        <v>28</v>
      </c>
    </row>
    <row r="18" spans="1:12" ht="12.75">
      <c r="A18" s="283">
        <v>2</v>
      </c>
      <c r="B18" s="459"/>
      <c r="C18" s="283"/>
      <c r="D18" s="460">
        <v>605</v>
      </c>
      <c r="E18" s="90" t="str">
        <f>3!E25</f>
        <v>Budowa  chodników </v>
      </c>
      <c r="F18" s="146"/>
      <c r="G18" s="285">
        <f>SUM(H18:K18)</f>
        <v>250000</v>
      </c>
      <c r="H18" s="446">
        <f>3!H25</f>
        <v>250000</v>
      </c>
      <c r="I18" s="446"/>
      <c r="J18" s="446"/>
      <c r="K18" s="446"/>
      <c r="L18" s="22" t="s">
        <v>28</v>
      </c>
    </row>
    <row r="19" spans="1:12" ht="72">
      <c r="A19" s="283">
        <v>3</v>
      </c>
      <c r="B19" s="459"/>
      <c r="C19" s="283"/>
      <c r="D19" s="460" t="s">
        <v>30</v>
      </c>
      <c r="E19" s="90" t="s">
        <v>361</v>
      </c>
      <c r="F19" s="146">
        <v>21121250</v>
      </c>
      <c r="G19" s="285">
        <f t="shared" si="2"/>
        <v>850000</v>
      </c>
      <c r="H19" s="446">
        <f>3!H24</f>
        <v>850000</v>
      </c>
      <c r="I19" s="446"/>
      <c r="J19" s="446"/>
      <c r="K19" s="446"/>
      <c r="L19" s="22" t="s">
        <v>28</v>
      </c>
    </row>
    <row r="20" spans="1:12" ht="191.25">
      <c r="A20" s="283">
        <v>4</v>
      </c>
      <c r="B20" s="459">
        <v>700</v>
      </c>
      <c r="C20" s="283">
        <v>70005</v>
      </c>
      <c r="D20" s="226">
        <v>6060</v>
      </c>
      <c r="E20" s="461" t="str">
        <f>3!E26</f>
        <v>Opracowanie  projektu  budowlanego  pomieszczeń części  budynków  zlokalizowanych  przy  ul. Hallera   w  Chełmży  na  potrzeby  szkoły   Muzycznej (  wg  koncepcji  opracowanej   w  roku   2008   )-SZ.  MUZYCZNA  W  CHEŁMŻY .</v>
      </c>
      <c r="F20" s="446">
        <f>G20</f>
        <v>80000</v>
      </c>
      <c r="G20" s="285">
        <f t="shared" si="2"/>
        <v>80000</v>
      </c>
      <c r="H20" s="446">
        <f>3!H26</f>
        <v>80000</v>
      </c>
      <c r="I20" s="446"/>
      <c r="J20" s="446"/>
      <c r="K20" s="446"/>
      <c r="L20" s="457" t="s">
        <v>548</v>
      </c>
    </row>
    <row r="21" spans="1:12" ht="33.75">
      <c r="A21" s="283">
        <v>5</v>
      </c>
      <c r="B21" s="459">
        <v>750</v>
      </c>
      <c r="C21" s="283">
        <v>75020</v>
      </c>
      <c r="D21" s="235">
        <v>6050</v>
      </c>
      <c r="E21" s="462" t="s">
        <v>48</v>
      </c>
      <c r="F21" s="446">
        <f>SUM(G21)</f>
        <v>42000</v>
      </c>
      <c r="G21" s="285">
        <f t="shared" si="2"/>
        <v>42000</v>
      </c>
      <c r="H21" s="446">
        <f>3!G27</f>
        <v>42000</v>
      </c>
      <c r="I21" s="446"/>
      <c r="J21" s="424"/>
      <c r="K21" s="446"/>
      <c r="L21" s="457" t="s">
        <v>548</v>
      </c>
    </row>
    <row r="22" spans="1:12" ht="97.5" customHeight="1">
      <c r="A22" s="283">
        <v>6</v>
      </c>
      <c r="B22" s="459">
        <v>750</v>
      </c>
      <c r="C22" s="283">
        <v>75020</v>
      </c>
      <c r="D22" s="226">
        <v>6050</v>
      </c>
      <c r="E22" s="463" t="s">
        <v>695</v>
      </c>
      <c r="F22" s="446">
        <f>SUM(G22)</f>
        <v>132000</v>
      </c>
      <c r="G22" s="285">
        <f t="shared" si="2"/>
        <v>132000</v>
      </c>
      <c r="H22" s="446">
        <f>3!G28</f>
        <v>132000</v>
      </c>
      <c r="I22" s="446"/>
      <c r="J22" s="424"/>
      <c r="K22" s="446"/>
      <c r="L22" s="457" t="s">
        <v>548</v>
      </c>
    </row>
    <row r="23" spans="1:12" ht="97.5" customHeight="1">
      <c r="A23" s="283">
        <v>7</v>
      </c>
      <c r="B23" s="459">
        <v>852</v>
      </c>
      <c r="C23" s="283">
        <v>85218</v>
      </c>
      <c r="D23" s="226">
        <v>6050</v>
      </c>
      <c r="E23" s="463" t="s">
        <v>694</v>
      </c>
      <c r="F23" s="446">
        <f>SUM(G23)</f>
        <v>19520</v>
      </c>
      <c r="G23" s="285">
        <f t="shared" si="2"/>
        <v>19520</v>
      </c>
      <c r="H23" s="446">
        <v>19520</v>
      </c>
      <c r="I23" s="446"/>
      <c r="J23" s="424"/>
      <c r="K23" s="446"/>
      <c r="L23" s="457" t="s">
        <v>548</v>
      </c>
    </row>
    <row r="24" spans="1:12" ht="33.75">
      <c r="A24" s="283">
        <v>8</v>
      </c>
      <c r="B24" s="459">
        <v>758</v>
      </c>
      <c r="C24" s="283">
        <v>75818</v>
      </c>
      <c r="D24" s="235">
        <v>6800</v>
      </c>
      <c r="E24" s="462" t="s">
        <v>12</v>
      </c>
      <c r="F24" s="446">
        <f>SUM(G24)</f>
        <v>200000</v>
      </c>
      <c r="G24" s="285">
        <f t="shared" si="2"/>
        <v>200000</v>
      </c>
      <c r="H24" s="446">
        <f>3!H30</f>
        <v>200000</v>
      </c>
      <c r="I24" s="446"/>
      <c r="J24" s="424"/>
      <c r="K24" s="446"/>
      <c r="L24" s="457" t="s">
        <v>548</v>
      </c>
    </row>
    <row r="25" spans="1:12" ht="191.25">
      <c r="A25" s="464" t="s">
        <v>742</v>
      </c>
      <c r="B25" s="459">
        <v>801</v>
      </c>
      <c r="C25" s="283">
        <v>80130</v>
      </c>
      <c r="D25" s="283">
        <v>6050</v>
      </c>
      <c r="E25" s="465" t="str">
        <f>3!E31</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5" s="446">
        <f>G25</f>
        <v>300000</v>
      </c>
      <c r="G25" s="285">
        <v>300000</v>
      </c>
      <c r="H25" s="446"/>
      <c r="I25" s="446"/>
      <c r="J25" s="424"/>
      <c r="K25" s="446"/>
      <c r="L25" s="457" t="s">
        <v>678</v>
      </c>
    </row>
    <row r="26" spans="1:12" ht="56.25">
      <c r="A26" s="283">
        <v>10</v>
      </c>
      <c r="B26" s="459">
        <v>851</v>
      </c>
      <c r="C26" s="283">
        <v>85111</v>
      </c>
      <c r="D26" s="283">
        <v>6010</v>
      </c>
      <c r="E26" s="462" t="str">
        <f>3!E32</f>
        <v>„Adaptacja  części  pomieszczeń  na   sale   edukacyjne   w  warsztatach  szkolnych „ </v>
      </c>
      <c r="F26" s="446">
        <f>1638000+G26</f>
        <v>1868000</v>
      </c>
      <c r="G26" s="285">
        <f aca="true" t="shared" si="3" ref="G26:G35">SUM(H26:K26)</f>
        <v>230000</v>
      </c>
      <c r="H26" s="446"/>
      <c r="I26" s="446">
        <f>3!I32</f>
        <v>230000</v>
      </c>
      <c r="J26" s="424"/>
      <c r="K26" s="446"/>
      <c r="L26" s="457" t="str">
        <f>3!O32</f>
        <v>Z.SZ. CKU Gronowo</v>
      </c>
    </row>
    <row r="27" spans="1:12" ht="25.5">
      <c r="A27" s="283"/>
      <c r="B27" s="459">
        <v>853</v>
      </c>
      <c r="C27" s="283">
        <v>85395</v>
      </c>
      <c r="D27" s="537" t="s">
        <v>757</v>
      </c>
      <c r="E27" s="465" t="s">
        <v>756</v>
      </c>
      <c r="F27" s="446">
        <f>SUM(G27)</f>
        <v>7200</v>
      </c>
      <c r="G27" s="285">
        <f t="shared" si="3"/>
        <v>7200</v>
      </c>
      <c r="H27" s="446">
        <f>3!H34</f>
        <v>7200</v>
      </c>
      <c r="I27" s="446"/>
      <c r="J27" s="424"/>
      <c r="K27" s="446"/>
      <c r="L27" s="457" t="s">
        <v>548</v>
      </c>
    </row>
    <row r="28" spans="1:12" ht="123.75">
      <c r="A28" s="283"/>
      <c r="B28" s="466" t="s">
        <v>677</v>
      </c>
      <c r="C28" s="147">
        <v>85201</v>
      </c>
      <c r="D28" s="283">
        <v>6050</v>
      </c>
      <c r="E28" s="538" t="str">
        <f>3!E35</f>
        <v>Kontynuacja robót budowlanych w obiektach zlokalizowanych przy ul. Hallera 25 w Chełmży zmierzających do adaptacji budynku dla potrzeb Placówki  Opiekuńczo-  Wychowawczej-  POW  GŁUCHOWO </v>
      </c>
      <c r="F28" s="446">
        <f>856000+G28</f>
        <v>1616000</v>
      </c>
      <c r="G28" s="285">
        <f t="shared" si="3"/>
        <v>760000</v>
      </c>
      <c r="H28" s="446">
        <v>530000</v>
      </c>
      <c r="I28" s="446"/>
      <c r="J28" s="424">
        <v>230000</v>
      </c>
      <c r="K28" s="446"/>
      <c r="L28" s="457" t="s">
        <v>548</v>
      </c>
    </row>
    <row r="29" spans="1:12" ht="56.25">
      <c r="A29" s="295"/>
      <c r="B29" s="466" t="s">
        <v>677</v>
      </c>
      <c r="C29" s="147">
        <v>85202</v>
      </c>
      <c r="D29" s="283">
        <v>605</v>
      </c>
      <c r="E29" s="462" t="s">
        <v>698</v>
      </c>
      <c r="F29" s="446">
        <f>200000+1720000</f>
        <v>1920000</v>
      </c>
      <c r="G29" s="285">
        <f t="shared" si="3"/>
        <v>300000</v>
      </c>
      <c r="H29" s="446">
        <f>3!H36</f>
        <v>50000</v>
      </c>
      <c r="I29" s="446"/>
      <c r="J29" s="424">
        <v>250000</v>
      </c>
      <c r="K29" s="446"/>
      <c r="L29" s="457" t="s">
        <v>618</v>
      </c>
    </row>
    <row r="30" spans="1:12" ht="33.75">
      <c r="A30" s="295"/>
      <c r="B30" s="468"/>
      <c r="C30" s="587" t="s">
        <v>601</v>
      </c>
      <c r="D30" s="588"/>
      <c r="E30" s="465" t="str">
        <f>3!E37</f>
        <v>Modernizacja  oczyszczalni ścieków  -  Z.SZ.  CKU  GRONOWO</v>
      </c>
      <c r="F30" s="446">
        <f>SUM(G30)</f>
        <v>150000</v>
      </c>
      <c r="G30" s="285">
        <f t="shared" si="3"/>
        <v>150000</v>
      </c>
      <c r="H30" s="446"/>
      <c r="I30" s="446"/>
      <c r="J30" s="424">
        <v>150000</v>
      </c>
      <c r="K30" s="446"/>
      <c r="L30" s="457" t="s">
        <v>548</v>
      </c>
    </row>
    <row r="31" spans="1:12" ht="102">
      <c r="A31" s="295"/>
      <c r="B31" s="468"/>
      <c r="C31" s="469" t="s">
        <v>573</v>
      </c>
      <c r="D31" s="469"/>
      <c r="E31" s="470" t="str">
        <f>3!E38</f>
        <v>Termomodernizacja budynków warsztatów (ocieplenie ścian i połaci dachu, wymiana okien)- Z.SZ.  CKU  GRONOWO</v>
      </c>
      <c r="F31" s="446">
        <f>G31</f>
        <v>150000</v>
      </c>
      <c r="G31" s="285">
        <f t="shared" si="3"/>
        <v>150000</v>
      </c>
      <c r="H31" s="446"/>
      <c r="I31" s="446"/>
      <c r="J31" s="424">
        <f>3!J37</f>
        <v>150000</v>
      </c>
      <c r="K31" s="446"/>
      <c r="L31" s="457" t="s">
        <v>548</v>
      </c>
    </row>
    <row r="32" spans="1:12" ht="76.5">
      <c r="A32" s="283"/>
      <c r="B32" s="283"/>
      <c r="C32" s="595" t="s">
        <v>601</v>
      </c>
      <c r="D32" s="596"/>
      <c r="E32" s="467" t="str">
        <f>3!E39</f>
        <v>Przełożenie pokrycia dachu na segmencie "A" budynku -  DPS   WIELKA  NIESZAWKA </v>
      </c>
      <c r="F32" s="446">
        <f>SUM(G32)</f>
        <v>60000</v>
      </c>
      <c r="G32" s="285">
        <f t="shared" si="3"/>
        <v>60000</v>
      </c>
      <c r="H32" s="446"/>
      <c r="I32" s="446"/>
      <c r="J32" s="424">
        <v>60000</v>
      </c>
      <c r="K32" s="446"/>
      <c r="L32" s="457" t="s">
        <v>548</v>
      </c>
    </row>
    <row r="33" spans="1:12" ht="89.25">
      <c r="A33" s="295"/>
      <c r="B33" s="468"/>
      <c r="C33" s="595" t="s">
        <v>601</v>
      </c>
      <c r="D33" s="596"/>
      <c r="E33" s="470" t="str">
        <f>3!E40</f>
        <v>Poprawa  bezpieczeństwa  na   drogach   publicznych  poprzez wybudowanie   dróg  rowerowych</v>
      </c>
      <c r="F33" s="446">
        <f>SUM(G33)</f>
        <v>155000</v>
      </c>
      <c r="G33" s="285">
        <f t="shared" si="3"/>
        <v>155000</v>
      </c>
      <c r="H33" s="446"/>
      <c r="I33" s="446"/>
      <c r="J33" s="424">
        <f>3!J40</f>
        <v>155000</v>
      </c>
      <c r="K33" s="446"/>
      <c r="L33" s="457" t="s">
        <v>548</v>
      </c>
    </row>
    <row r="34" spans="1:12" ht="72">
      <c r="A34" s="295"/>
      <c r="B34" s="468"/>
      <c r="C34" s="597" t="s">
        <v>573</v>
      </c>
      <c r="D34" s="598"/>
      <c r="E34" s="463" t="s">
        <v>693</v>
      </c>
      <c r="F34" s="446"/>
      <c r="G34" s="285">
        <f t="shared" si="3"/>
        <v>30500</v>
      </c>
      <c r="H34" s="446"/>
      <c r="I34" s="446"/>
      <c r="J34" s="424">
        <v>30500</v>
      </c>
      <c r="K34" s="446"/>
      <c r="L34" s="457"/>
    </row>
    <row r="35" spans="1:12" ht="54" customHeight="1">
      <c r="A35" s="283"/>
      <c r="B35" s="283"/>
      <c r="C35" s="597" t="s">
        <v>117</v>
      </c>
      <c r="D35" s="598"/>
      <c r="E35" s="462" t="str">
        <f>3!E42</f>
        <v>Regały  przesuwne   dla  potrzeb   zasobu   geodezyjnego,skaner,ksero,inne</v>
      </c>
      <c r="F35" s="446">
        <f>SUM(G35)</f>
        <v>130000</v>
      </c>
      <c r="G35" s="285">
        <f t="shared" si="3"/>
        <v>130000</v>
      </c>
      <c r="H35" s="446"/>
      <c r="I35" s="446"/>
      <c r="J35" s="424">
        <f>3!J42</f>
        <v>130000</v>
      </c>
      <c r="K35" s="446"/>
      <c r="L35" s="457" t="s">
        <v>548</v>
      </c>
    </row>
    <row r="36" spans="1:12" ht="16.5" customHeight="1">
      <c r="A36" s="283"/>
      <c r="B36" s="592" t="s">
        <v>46</v>
      </c>
      <c r="C36" s="593"/>
      <c r="D36" s="593"/>
      <c r="E36" s="593"/>
      <c r="F36" s="446">
        <f>SUM(F11:F35)</f>
        <v>41450970</v>
      </c>
      <c r="G36" s="446">
        <f>SUM(G11:G35)</f>
        <v>16846220</v>
      </c>
      <c r="H36" s="446">
        <f>SUM(H11:H35)</f>
        <v>3540720</v>
      </c>
      <c r="I36" s="446">
        <f>SUM(I11:I35)</f>
        <v>11850000</v>
      </c>
      <c r="J36" s="446">
        <f>SUM(J11:J35)</f>
        <v>1155500</v>
      </c>
      <c r="K36" s="446">
        <f>SUM(K20:K33)</f>
        <v>0</v>
      </c>
      <c r="L36" s="54" t="s">
        <v>178</v>
      </c>
    </row>
    <row r="37" spans="1:12" ht="27" customHeight="1">
      <c r="A37" s="579" t="s">
        <v>681</v>
      </c>
      <c r="B37" s="580"/>
      <c r="C37" s="580"/>
      <c r="D37" s="580"/>
      <c r="E37" s="581"/>
      <c r="F37" s="446"/>
      <c r="G37" s="110">
        <f>G36-J36</f>
        <v>15690720</v>
      </c>
      <c r="H37" s="446"/>
      <c r="I37" s="446"/>
      <c r="J37" s="446"/>
      <c r="K37" s="446"/>
      <c r="L37" s="283"/>
    </row>
    <row r="38" spans="6:11" ht="12.75">
      <c r="F38" s="284"/>
      <c r="G38" s="284"/>
      <c r="H38" s="284"/>
      <c r="I38" s="284"/>
      <c r="J38" s="284"/>
      <c r="K38" s="284"/>
    </row>
    <row r="39" spans="6:11" ht="12.75">
      <c r="F39" s="284"/>
      <c r="G39" s="284"/>
      <c r="H39" s="284"/>
      <c r="I39" s="284"/>
      <c r="J39" s="284"/>
      <c r="K39" s="284"/>
    </row>
    <row r="40" spans="6:11" ht="12.75">
      <c r="F40" s="284"/>
      <c r="G40" s="284"/>
      <c r="H40" s="284"/>
      <c r="I40" s="284"/>
      <c r="J40" s="284"/>
      <c r="K40" s="284"/>
    </row>
  </sheetData>
  <sheetProtection/>
  <mergeCells count="21">
    <mergeCell ref="C34:D34"/>
    <mergeCell ref="J5:J7"/>
    <mergeCell ref="A37:E37"/>
    <mergeCell ref="B36:E36"/>
    <mergeCell ref="A3:A7"/>
    <mergeCell ref="C30:D30"/>
    <mergeCell ref="C35:D35"/>
    <mergeCell ref="K5:K7"/>
    <mergeCell ref="G3:K3"/>
    <mergeCell ref="E3:E7"/>
    <mergeCell ref="C33:D33"/>
    <mergeCell ref="I5:I7"/>
    <mergeCell ref="B3:B7"/>
    <mergeCell ref="C3:C7"/>
    <mergeCell ref="H5:H7"/>
    <mergeCell ref="C32:D32"/>
    <mergeCell ref="L3:L7"/>
    <mergeCell ref="G4:G7"/>
    <mergeCell ref="D3:D7"/>
    <mergeCell ref="F3:F7"/>
    <mergeCell ref="H4:K4"/>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B1:T221"/>
  <sheetViews>
    <sheetView zoomScalePageLayoutView="0" workbookViewId="0" topLeftCell="D167">
      <selection activeCell="D171" sqref="D171:R174"/>
    </sheetView>
  </sheetViews>
  <sheetFormatPr defaultColWidth="10.25390625" defaultRowHeight="12.75"/>
  <cols>
    <col min="1" max="1" width="10.25390625" style="10" customWidth="1"/>
    <col min="2" max="2" width="3.625" style="10" bestFit="1" customWidth="1"/>
    <col min="3" max="3" width="19.75390625" style="312" customWidth="1"/>
    <col min="4" max="4" width="7.125" style="10" customWidth="1"/>
    <col min="5" max="5" width="10.625" style="10" customWidth="1"/>
    <col min="6" max="6" width="9.875" style="10" customWidth="1"/>
    <col min="7" max="8" width="10.125" style="10" bestFit="1" customWidth="1"/>
    <col min="9" max="9" width="9.00390625" style="10" customWidth="1"/>
    <col min="10" max="10" width="8.625" style="10" customWidth="1"/>
    <col min="11" max="11" width="7.625" style="10" customWidth="1"/>
    <col min="12" max="12" width="8.375" style="10" customWidth="1"/>
    <col min="13" max="13" width="9.75390625" style="10" customWidth="1"/>
    <col min="14" max="14" width="11.75390625" style="10" customWidth="1"/>
    <col min="15" max="15" width="10.375" style="10" customWidth="1"/>
    <col min="16" max="16" width="6.25390625" style="10" customWidth="1"/>
    <col min="17" max="17" width="5.00390625" style="10" customWidth="1"/>
    <col min="18" max="18" width="8.75390625" style="10" bestFit="1" customWidth="1"/>
    <col min="19" max="16384" width="10.25390625" style="10" customWidth="1"/>
  </cols>
  <sheetData>
    <row r="1" spans="2:18" ht="12.75">
      <c r="B1" s="615" t="s">
        <v>248</v>
      </c>
      <c r="C1" s="615"/>
      <c r="D1" s="615"/>
      <c r="E1" s="615"/>
      <c r="F1" s="615"/>
      <c r="G1" s="615"/>
      <c r="H1" s="615"/>
      <c r="I1" s="615"/>
      <c r="J1" s="615"/>
      <c r="K1" s="615"/>
      <c r="L1" s="615"/>
      <c r="M1" s="615"/>
      <c r="N1" s="615"/>
      <c r="O1" s="615"/>
      <c r="P1" s="615"/>
      <c r="Q1" s="615"/>
      <c r="R1" s="615"/>
    </row>
    <row r="3" spans="2:18" ht="11.25">
      <c r="B3" s="616" t="s">
        <v>190</v>
      </c>
      <c r="C3" s="617" t="s">
        <v>203</v>
      </c>
      <c r="D3" s="618" t="s">
        <v>204</v>
      </c>
      <c r="E3" s="617" t="s">
        <v>313</v>
      </c>
      <c r="F3" s="617" t="s">
        <v>252</v>
      </c>
      <c r="G3" s="616" t="s">
        <v>137</v>
      </c>
      <c r="H3" s="616"/>
      <c r="I3" s="616" t="s">
        <v>202</v>
      </c>
      <c r="J3" s="616"/>
      <c r="K3" s="616"/>
      <c r="L3" s="616"/>
      <c r="M3" s="616"/>
      <c r="N3" s="616"/>
      <c r="O3" s="616"/>
      <c r="P3" s="616"/>
      <c r="Q3" s="616"/>
      <c r="R3" s="616"/>
    </row>
    <row r="4" spans="2:18" ht="11.25">
      <c r="B4" s="616"/>
      <c r="C4" s="617"/>
      <c r="D4" s="618"/>
      <c r="E4" s="617"/>
      <c r="F4" s="617"/>
      <c r="G4" s="617" t="s">
        <v>249</v>
      </c>
      <c r="H4" s="617" t="s">
        <v>250</v>
      </c>
      <c r="I4" s="616">
        <v>2009</v>
      </c>
      <c r="J4" s="616"/>
      <c r="K4" s="616"/>
      <c r="L4" s="616"/>
      <c r="M4" s="616"/>
      <c r="N4" s="616"/>
      <c r="O4" s="616"/>
      <c r="P4" s="616"/>
      <c r="Q4" s="616"/>
      <c r="R4" s="616"/>
    </row>
    <row r="5" spans="2:18" ht="11.25">
      <c r="B5" s="616"/>
      <c r="C5" s="617"/>
      <c r="D5" s="618"/>
      <c r="E5" s="617"/>
      <c r="F5" s="617"/>
      <c r="G5" s="617"/>
      <c r="H5" s="617"/>
      <c r="I5" s="617" t="s">
        <v>206</v>
      </c>
      <c r="J5" s="616" t="s">
        <v>207</v>
      </c>
      <c r="K5" s="616"/>
      <c r="L5" s="616"/>
      <c r="M5" s="616"/>
      <c r="N5" s="616"/>
      <c r="O5" s="616"/>
      <c r="P5" s="616"/>
      <c r="Q5" s="616"/>
      <c r="R5" s="616"/>
    </row>
    <row r="6" spans="2:18" ht="14.25" customHeight="1">
      <c r="B6" s="616"/>
      <c r="C6" s="617"/>
      <c r="D6" s="618"/>
      <c r="E6" s="617"/>
      <c r="F6" s="617"/>
      <c r="G6" s="617"/>
      <c r="H6" s="617"/>
      <c r="I6" s="617"/>
      <c r="J6" s="616" t="s">
        <v>208</v>
      </c>
      <c r="K6" s="616"/>
      <c r="L6" s="616"/>
      <c r="M6" s="616"/>
      <c r="N6" s="616" t="s">
        <v>205</v>
      </c>
      <c r="O6" s="616"/>
      <c r="P6" s="616"/>
      <c r="Q6" s="616"/>
      <c r="R6" s="616"/>
    </row>
    <row r="7" spans="2:18" ht="12.75" customHeight="1">
      <c r="B7" s="616"/>
      <c r="C7" s="617"/>
      <c r="D7" s="618"/>
      <c r="E7" s="617"/>
      <c r="F7" s="617"/>
      <c r="G7" s="617"/>
      <c r="H7" s="617"/>
      <c r="I7" s="617"/>
      <c r="J7" s="617" t="s">
        <v>209</v>
      </c>
      <c r="K7" s="616" t="s">
        <v>210</v>
      </c>
      <c r="L7" s="616"/>
      <c r="M7" s="616"/>
      <c r="N7" s="617" t="s">
        <v>211</v>
      </c>
      <c r="O7" s="617" t="s">
        <v>210</v>
      </c>
      <c r="P7" s="617"/>
      <c r="Q7" s="617"/>
      <c r="R7" s="617"/>
    </row>
    <row r="8" spans="2:18" ht="48" customHeight="1">
      <c r="B8" s="616"/>
      <c r="C8" s="617"/>
      <c r="D8" s="618"/>
      <c r="E8" s="617"/>
      <c r="F8" s="617"/>
      <c r="G8" s="617"/>
      <c r="H8" s="617"/>
      <c r="I8" s="617"/>
      <c r="J8" s="617"/>
      <c r="K8" s="33" t="s">
        <v>251</v>
      </c>
      <c r="L8" s="33" t="s">
        <v>212</v>
      </c>
      <c r="M8" s="33" t="s">
        <v>213</v>
      </c>
      <c r="N8" s="617"/>
      <c r="O8" s="281" t="s">
        <v>214</v>
      </c>
      <c r="P8" s="281" t="s">
        <v>251</v>
      </c>
      <c r="Q8" s="281" t="s">
        <v>212</v>
      </c>
      <c r="R8" s="33" t="s">
        <v>215</v>
      </c>
    </row>
    <row r="9" spans="2:18" ht="12" customHeight="1">
      <c r="B9" s="11">
        <v>1</v>
      </c>
      <c r="C9" s="305">
        <v>2</v>
      </c>
      <c r="D9" s="11">
        <v>3</v>
      </c>
      <c r="E9" s="11">
        <v>4</v>
      </c>
      <c r="F9" s="11">
        <v>5</v>
      </c>
      <c r="G9" s="11">
        <v>6</v>
      </c>
      <c r="H9" s="11">
        <v>7</v>
      </c>
      <c r="I9" s="11">
        <v>8</v>
      </c>
      <c r="J9" s="11">
        <v>9</v>
      </c>
      <c r="K9" s="11">
        <v>10</v>
      </c>
      <c r="L9" s="11">
        <v>11</v>
      </c>
      <c r="M9" s="11">
        <v>12</v>
      </c>
      <c r="N9" s="11">
        <v>13</v>
      </c>
      <c r="O9" s="11">
        <v>14</v>
      </c>
      <c r="P9" s="11">
        <v>15</v>
      </c>
      <c r="Q9" s="11">
        <v>16</v>
      </c>
      <c r="R9" s="11">
        <v>17</v>
      </c>
    </row>
    <row r="10" spans="2:18" s="55" customFormat="1" ht="27.75" customHeight="1">
      <c r="B10" s="41">
        <v>1</v>
      </c>
      <c r="C10" s="306" t="s">
        <v>216</v>
      </c>
      <c r="D10" s="621" t="s">
        <v>178</v>
      </c>
      <c r="E10" s="622"/>
      <c r="F10" s="200">
        <f>F15+F23+F34</f>
        <v>21158450</v>
      </c>
      <c r="G10" s="200">
        <f aca="true" t="shared" si="0" ref="G10:R10">G15+G23+G34</f>
        <v>8884605</v>
      </c>
      <c r="H10" s="200">
        <f t="shared" si="0"/>
        <v>12273845</v>
      </c>
      <c r="I10" s="200">
        <f t="shared" si="0"/>
        <v>1012200</v>
      </c>
      <c r="J10" s="200">
        <f t="shared" si="0"/>
        <v>423180</v>
      </c>
      <c r="K10" s="200">
        <f t="shared" si="0"/>
        <v>0</v>
      </c>
      <c r="L10" s="200">
        <f t="shared" si="0"/>
        <v>0</v>
      </c>
      <c r="M10" s="200">
        <f t="shared" si="0"/>
        <v>423180</v>
      </c>
      <c r="N10" s="200">
        <f t="shared" si="0"/>
        <v>589020</v>
      </c>
      <c r="O10" s="200">
        <f t="shared" si="0"/>
        <v>0</v>
      </c>
      <c r="P10" s="200">
        <f t="shared" si="0"/>
        <v>0</v>
      </c>
      <c r="Q10" s="200">
        <f t="shared" si="0"/>
        <v>0</v>
      </c>
      <c r="R10" s="200">
        <f t="shared" si="0"/>
        <v>589020</v>
      </c>
    </row>
    <row r="11" spans="2:18" ht="15.75" customHeight="1" hidden="1">
      <c r="B11" s="620" t="s">
        <v>217</v>
      </c>
      <c r="C11" s="307" t="s">
        <v>218</v>
      </c>
      <c r="D11" s="619" t="s">
        <v>42</v>
      </c>
      <c r="E11" s="619"/>
      <c r="F11" s="619"/>
      <c r="G11" s="619"/>
      <c r="H11" s="619"/>
      <c r="I11" s="619"/>
      <c r="J11" s="619"/>
      <c r="K11" s="619"/>
      <c r="L11" s="619"/>
      <c r="M11" s="619"/>
      <c r="N11" s="619"/>
      <c r="O11" s="619"/>
      <c r="P11" s="619"/>
      <c r="Q11" s="619"/>
      <c r="R11" s="619"/>
    </row>
    <row r="12" spans="2:18" ht="12.75" customHeight="1" hidden="1">
      <c r="B12" s="620"/>
      <c r="C12" s="307" t="s">
        <v>219</v>
      </c>
      <c r="D12" s="619"/>
      <c r="E12" s="619"/>
      <c r="F12" s="619"/>
      <c r="G12" s="619"/>
      <c r="H12" s="619"/>
      <c r="I12" s="619"/>
      <c r="J12" s="619"/>
      <c r="K12" s="619"/>
      <c r="L12" s="619"/>
      <c r="M12" s="619"/>
      <c r="N12" s="619"/>
      <c r="O12" s="619"/>
      <c r="P12" s="619"/>
      <c r="Q12" s="619"/>
      <c r="R12" s="619"/>
    </row>
    <row r="13" spans="2:18" ht="12.75" customHeight="1" hidden="1">
      <c r="B13" s="620"/>
      <c r="C13" s="307" t="s">
        <v>220</v>
      </c>
      <c r="D13" s="619"/>
      <c r="E13" s="619"/>
      <c r="F13" s="619"/>
      <c r="G13" s="619"/>
      <c r="H13" s="619"/>
      <c r="I13" s="619"/>
      <c r="J13" s="619"/>
      <c r="K13" s="619"/>
      <c r="L13" s="619"/>
      <c r="M13" s="619"/>
      <c r="N13" s="619"/>
      <c r="O13" s="619"/>
      <c r="P13" s="619"/>
      <c r="Q13" s="619"/>
      <c r="R13" s="619"/>
    </row>
    <row r="14" spans="2:18" ht="68.25" customHeight="1" hidden="1">
      <c r="B14" s="620"/>
      <c r="C14" s="308" t="s">
        <v>221</v>
      </c>
      <c r="D14" s="619" t="s">
        <v>101</v>
      </c>
      <c r="E14" s="619"/>
      <c r="F14" s="619"/>
      <c r="G14" s="619"/>
      <c r="H14" s="619"/>
      <c r="I14" s="619"/>
      <c r="J14" s="619"/>
      <c r="K14" s="619"/>
      <c r="L14" s="619"/>
      <c r="M14" s="619"/>
      <c r="N14" s="619"/>
      <c r="O14" s="619"/>
      <c r="P14" s="619"/>
      <c r="Q14" s="619"/>
      <c r="R14" s="619"/>
    </row>
    <row r="15" spans="2:18" ht="12.75" hidden="1">
      <c r="B15" s="620"/>
      <c r="C15" s="136" t="s">
        <v>222</v>
      </c>
      <c r="D15" s="135"/>
      <c r="E15" s="238" t="s">
        <v>44</v>
      </c>
      <c r="F15" s="237">
        <f>SUM(F18:F21)</f>
        <v>0</v>
      </c>
      <c r="G15" s="237">
        <f aca="true" t="shared" si="1" ref="G15:R15">SUM(G18:G21)</f>
        <v>0</v>
      </c>
      <c r="H15" s="237">
        <f t="shared" si="1"/>
        <v>0</v>
      </c>
      <c r="I15" s="237">
        <f t="shared" si="1"/>
        <v>0</v>
      </c>
      <c r="J15" s="237">
        <f t="shared" si="1"/>
        <v>0</v>
      </c>
      <c r="K15" s="237">
        <f t="shared" si="1"/>
        <v>0</v>
      </c>
      <c r="L15" s="237">
        <f t="shared" si="1"/>
        <v>0</v>
      </c>
      <c r="M15" s="119">
        <f t="shared" si="1"/>
        <v>0</v>
      </c>
      <c r="N15" s="119">
        <f t="shared" si="1"/>
        <v>0</v>
      </c>
      <c r="O15" s="119">
        <f t="shared" si="1"/>
        <v>0</v>
      </c>
      <c r="P15" s="119">
        <f t="shared" si="1"/>
        <v>0</v>
      </c>
      <c r="Q15" s="119">
        <f t="shared" si="1"/>
        <v>0</v>
      </c>
      <c r="R15" s="119">
        <f t="shared" si="1"/>
        <v>0</v>
      </c>
    </row>
    <row r="16" spans="2:18" ht="12.75" hidden="1">
      <c r="B16" s="620"/>
      <c r="C16" s="136"/>
      <c r="D16" s="135"/>
      <c r="E16" s="136"/>
      <c r="F16" s="142">
        <f aca="true" t="shared" si="2" ref="F16:F21">SUM(G16:H16)</f>
        <v>0</v>
      </c>
      <c r="G16" s="137"/>
      <c r="H16" s="137"/>
      <c r="I16" s="135">
        <f aca="true" t="shared" si="3" ref="I16:I21">J16+N16</f>
        <v>0</v>
      </c>
      <c r="J16" s="135">
        <f aca="true" t="shared" si="4" ref="J16:J21">SUM(K16:M16)</f>
        <v>0</v>
      </c>
      <c r="K16" s="135"/>
      <c r="L16" s="135"/>
      <c r="M16" s="137"/>
      <c r="N16" s="135">
        <f>SUM(O16:R16)</f>
        <v>0</v>
      </c>
      <c r="O16" s="135"/>
      <c r="P16" s="135"/>
      <c r="Q16" s="135"/>
      <c r="R16" s="137"/>
    </row>
    <row r="17" spans="2:18" ht="12.75" hidden="1">
      <c r="B17" s="620"/>
      <c r="C17" s="136"/>
      <c r="D17" s="135"/>
      <c r="E17" s="136"/>
      <c r="F17" s="142">
        <f t="shared" si="2"/>
        <v>0</v>
      </c>
      <c r="G17" s="137"/>
      <c r="H17" s="137"/>
      <c r="I17" s="135">
        <f t="shared" si="3"/>
        <v>0</v>
      </c>
      <c r="J17" s="135">
        <f t="shared" si="4"/>
        <v>0</v>
      </c>
      <c r="K17" s="135"/>
      <c r="L17" s="135"/>
      <c r="M17" s="137"/>
      <c r="N17" s="135">
        <f>SUM(O17:R17)</f>
        <v>0</v>
      </c>
      <c r="O17" s="135"/>
      <c r="P17" s="135"/>
      <c r="Q17" s="135"/>
      <c r="R17" s="137"/>
    </row>
    <row r="18" spans="2:18" ht="12.75" hidden="1">
      <c r="B18" s="620"/>
      <c r="C18" s="309" t="s">
        <v>13</v>
      </c>
      <c r="D18" s="240"/>
      <c r="E18" s="240"/>
      <c r="F18" s="241">
        <f t="shared" si="2"/>
        <v>0</v>
      </c>
      <c r="G18" s="242"/>
      <c r="H18" s="242"/>
      <c r="I18" s="239">
        <f t="shared" si="3"/>
        <v>0</v>
      </c>
      <c r="J18" s="239">
        <f t="shared" si="4"/>
        <v>0</v>
      </c>
      <c r="K18" s="240"/>
      <c r="L18" s="240"/>
      <c r="M18" s="243"/>
      <c r="N18" s="239">
        <f>SUM(O18:R18)</f>
        <v>0</v>
      </c>
      <c r="O18" s="240"/>
      <c r="P18" s="240"/>
      <c r="Q18" s="240"/>
      <c r="R18" s="243"/>
    </row>
    <row r="19" spans="2:18" ht="11.25" hidden="1">
      <c r="B19" s="620"/>
      <c r="C19" s="136" t="s">
        <v>188</v>
      </c>
      <c r="D19" s="138"/>
      <c r="E19" s="138"/>
      <c r="F19" s="237">
        <f>SUM(G19:H19)</f>
        <v>0</v>
      </c>
      <c r="G19" s="137"/>
      <c r="H19" s="137"/>
      <c r="I19" s="135">
        <f t="shared" si="3"/>
        <v>0</v>
      </c>
      <c r="J19" s="135">
        <f t="shared" si="4"/>
        <v>0</v>
      </c>
      <c r="K19" s="138"/>
      <c r="L19" s="138"/>
      <c r="M19" s="138"/>
      <c r="N19" s="138"/>
      <c r="O19" s="138"/>
      <c r="P19" s="138"/>
      <c r="Q19" s="138"/>
      <c r="R19" s="138"/>
    </row>
    <row r="20" spans="2:18" ht="11.25" hidden="1">
      <c r="B20" s="620"/>
      <c r="C20" s="136" t="s">
        <v>266</v>
      </c>
      <c r="D20" s="138"/>
      <c r="E20" s="138"/>
      <c r="F20" s="237">
        <f t="shared" si="2"/>
        <v>0</v>
      </c>
      <c r="G20" s="137"/>
      <c r="H20" s="137"/>
      <c r="I20" s="135">
        <f t="shared" si="3"/>
        <v>0</v>
      </c>
      <c r="J20" s="135">
        <f t="shared" si="4"/>
        <v>0</v>
      </c>
      <c r="K20" s="138"/>
      <c r="L20" s="135"/>
      <c r="M20" s="138"/>
      <c r="N20" s="138"/>
      <c r="O20" s="135"/>
      <c r="P20" s="138"/>
      <c r="Q20" s="138"/>
      <c r="R20" s="138"/>
    </row>
    <row r="21" spans="2:18" ht="11.25" hidden="1">
      <c r="B21" s="620"/>
      <c r="C21" s="136" t="s">
        <v>43</v>
      </c>
      <c r="D21" s="138"/>
      <c r="E21" s="138"/>
      <c r="F21" s="237">
        <f t="shared" si="2"/>
        <v>0</v>
      </c>
      <c r="G21" s="137"/>
      <c r="H21" s="137"/>
      <c r="I21" s="135">
        <f t="shared" si="3"/>
        <v>0</v>
      </c>
      <c r="J21" s="135">
        <f t="shared" si="4"/>
        <v>0</v>
      </c>
      <c r="K21" s="138"/>
      <c r="L21" s="135"/>
      <c r="M21" s="138"/>
      <c r="N21" s="138"/>
      <c r="O21" s="135"/>
      <c r="P21" s="138"/>
      <c r="Q21" s="138"/>
      <c r="R21" s="138"/>
    </row>
    <row r="22" spans="2:18" ht="40.5" customHeight="1">
      <c r="B22" s="288"/>
      <c r="C22" s="308" t="s">
        <v>221</v>
      </c>
      <c r="D22" s="619" t="s">
        <v>607</v>
      </c>
      <c r="E22" s="619"/>
      <c r="F22" s="619"/>
      <c r="G22" s="619"/>
      <c r="H22" s="619"/>
      <c r="I22" s="619"/>
      <c r="J22" s="619"/>
      <c r="K22" s="619"/>
      <c r="L22" s="619"/>
      <c r="M22" s="619"/>
      <c r="N22" s="619"/>
      <c r="O22" s="619"/>
      <c r="P22" s="619"/>
      <c r="Q22" s="619"/>
      <c r="R22" s="619"/>
    </row>
    <row r="23" spans="2:18" ht="11.25">
      <c r="B23" s="288"/>
      <c r="C23" s="136" t="s">
        <v>222</v>
      </c>
      <c r="D23" s="135"/>
      <c r="E23" s="238" t="s">
        <v>44</v>
      </c>
      <c r="F23" s="237">
        <f>SUM(F24:F29)-F25</f>
        <v>21151250</v>
      </c>
      <c r="G23" s="237">
        <f aca="true" t="shared" si="5" ref="G23:R23">SUM(G24:G29)-G25</f>
        <v>8883525</v>
      </c>
      <c r="H23" s="237">
        <f t="shared" si="5"/>
        <v>12267725</v>
      </c>
      <c r="I23" s="237">
        <f t="shared" si="5"/>
        <v>1005000</v>
      </c>
      <c r="J23" s="237">
        <f t="shared" si="5"/>
        <v>422100</v>
      </c>
      <c r="K23" s="237">
        <f t="shared" si="5"/>
        <v>0</v>
      </c>
      <c r="L23" s="237">
        <f t="shared" si="5"/>
        <v>0</v>
      </c>
      <c r="M23" s="237">
        <f t="shared" si="5"/>
        <v>422100</v>
      </c>
      <c r="N23" s="237">
        <f t="shared" si="5"/>
        <v>582900</v>
      </c>
      <c r="O23" s="237">
        <f t="shared" si="5"/>
        <v>0</v>
      </c>
      <c r="P23" s="237">
        <f t="shared" si="5"/>
        <v>0</v>
      </c>
      <c r="Q23" s="237">
        <f t="shared" si="5"/>
        <v>0</v>
      </c>
      <c r="R23" s="237">
        <f t="shared" si="5"/>
        <v>582900</v>
      </c>
    </row>
    <row r="24" spans="2:18" ht="12.75">
      <c r="B24" s="288"/>
      <c r="C24" s="136">
        <v>2008</v>
      </c>
      <c r="D24" s="135"/>
      <c r="E24" s="136"/>
      <c r="F24" s="142">
        <f aca="true" t="shared" si="6" ref="F24:F29">SUM(G24:H24)</f>
        <v>477176</v>
      </c>
      <c r="G24" s="137">
        <v>200414</v>
      </c>
      <c r="H24" s="137">
        <v>276762</v>
      </c>
      <c r="I24" s="135">
        <f aca="true" t="shared" si="7" ref="I24:I29">J24+N24</f>
        <v>0</v>
      </c>
      <c r="J24" s="135">
        <f aca="true" t="shared" si="8" ref="J24:J29">SUM(K24:M24)</f>
        <v>0</v>
      </c>
      <c r="K24" s="135"/>
      <c r="L24" s="135"/>
      <c r="M24" s="137"/>
      <c r="N24" s="135">
        <f>SUM(O24:R24)</f>
        <v>0</v>
      </c>
      <c r="O24" s="135"/>
      <c r="P24" s="135"/>
      <c r="Q24" s="135"/>
      <c r="R24" s="137"/>
    </row>
    <row r="25" spans="2:18" s="482" customFormat="1" ht="23.25" customHeight="1">
      <c r="B25" s="476"/>
      <c r="C25" s="477">
        <v>2009</v>
      </c>
      <c r="D25" s="478"/>
      <c r="E25" s="478"/>
      <c r="F25" s="479">
        <f t="shared" si="6"/>
        <v>1005000</v>
      </c>
      <c r="G25" s="480">
        <f>G27</f>
        <v>422100</v>
      </c>
      <c r="H25" s="480">
        <f>SUM(H26:H27)</f>
        <v>582900</v>
      </c>
      <c r="I25" s="481">
        <f t="shared" si="7"/>
        <v>1005000</v>
      </c>
      <c r="J25" s="481">
        <f t="shared" si="8"/>
        <v>422100</v>
      </c>
      <c r="K25" s="480">
        <f>SUM(K26:K27)</f>
        <v>0</v>
      </c>
      <c r="L25" s="480">
        <f>SUM(L26:L27)</f>
        <v>0</v>
      </c>
      <c r="M25" s="480">
        <f>SUM(M26:M27)</f>
        <v>422100</v>
      </c>
      <c r="N25" s="481">
        <f>SUM(O25:R25)</f>
        <v>582900</v>
      </c>
      <c r="O25" s="480">
        <f>SUM(O26:O27)</f>
        <v>0</v>
      </c>
      <c r="P25" s="480">
        <f>SUM(P26:P27)</f>
        <v>0</v>
      </c>
      <c r="Q25" s="480">
        <f>SUM(Q26:Q27)</f>
        <v>0</v>
      </c>
      <c r="R25" s="480">
        <f>SUM(R26:R27)</f>
        <v>582900</v>
      </c>
    </row>
    <row r="26" spans="2:18" s="482" customFormat="1" ht="12.75">
      <c r="B26" s="476"/>
      <c r="C26" s="477"/>
      <c r="D26" s="478"/>
      <c r="E26" s="478">
        <v>6058</v>
      </c>
      <c r="F26" s="479">
        <f t="shared" si="6"/>
        <v>582900</v>
      </c>
      <c r="G26" s="480"/>
      <c r="H26" s="480">
        <f>I26</f>
        <v>582900</v>
      </c>
      <c r="I26" s="481">
        <f t="shared" si="7"/>
        <v>582900</v>
      </c>
      <c r="J26" s="481">
        <f t="shared" si="8"/>
        <v>0</v>
      </c>
      <c r="K26" s="480">
        <f>SUM(K27:K28)</f>
        <v>0</v>
      </c>
      <c r="L26" s="480">
        <f>SUM(L27:L28)</f>
        <v>0</v>
      </c>
      <c r="M26" s="483"/>
      <c r="N26" s="481">
        <f>SUM(O26:R26)</f>
        <v>582900</v>
      </c>
      <c r="O26" s="480">
        <f>SUM(O27:O28)</f>
        <v>0</v>
      </c>
      <c r="P26" s="480">
        <f>SUM(P27:P28)</f>
        <v>0</v>
      </c>
      <c r="Q26" s="480">
        <f>SUM(Q27:Q28)</f>
        <v>0</v>
      </c>
      <c r="R26" s="483">
        <v>582900</v>
      </c>
    </row>
    <row r="27" spans="2:18" s="482" customFormat="1" ht="12.75">
      <c r="B27" s="476"/>
      <c r="C27" s="477"/>
      <c r="D27" s="478"/>
      <c r="E27" s="478">
        <v>6059</v>
      </c>
      <c r="F27" s="479">
        <f t="shared" si="6"/>
        <v>422100</v>
      </c>
      <c r="G27" s="480">
        <f>I27</f>
        <v>422100</v>
      </c>
      <c r="H27" s="480"/>
      <c r="I27" s="481">
        <f t="shared" si="7"/>
        <v>422100</v>
      </c>
      <c r="J27" s="481">
        <f t="shared" si="8"/>
        <v>422100</v>
      </c>
      <c r="K27" s="478"/>
      <c r="L27" s="478"/>
      <c r="M27" s="483">
        <v>422100</v>
      </c>
      <c r="N27" s="481">
        <f>SUM(O27:R27)</f>
        <v>0</v>
      </c>
      <c r="O27" s="478"/>
      <c r="P27" s="478"/>
      <c r="Q27" s="478"/>
      <c r="R27" s="483"/>
    </row>
    <row r="28" spans="2:18" s="482" customFormat="1" ht="11.25">
      <c r="B28" s="476"/>
      <c r="C28" s="477">
        <v>2010</v>
      </c>
      <c r="D28" s="478"/>
      <c r="E28" s="478"/>
      <c r="F28" s="484">
        <f t="shared" si="6"/>
        <v>9942036</v>
      </c>
      <c r="G28" s="480">
        <v>4175655</v>
      </c>
      <c r="H28" s="480">
        <v>5766381</v>
      </c>
      <c r="I28" s="481">
        <f t="shared" si="7"/>
        <v>0</v>
      </c>
      <c r="J28" s="481">
        <f t="shared" si="8"/>
        <v>0</v>
      </c>
      <c r="K28" s="478"/>
      <c r="L28" s="478"/>
      <c r="M28" s="478"/>
      <c r="N28" s="481"/>
      <c r="O28" s="478"/>
      <c r="P28" s="478"/>
      <c r="Q28" s="478"/>
      <c r="R28" s="478"/>
    </row>
    <row r="29" spans="2:18" s="482" customFormat="1" ht="11.25">
      <c r="B29" s="476"/>
      <c r="C29" s="477">
        <v>2011</v>
      </c>
      <c r="D29" s="478"/>
      <c r="E29" s="478"/>
      <c r="F29" s="484">
        <f t="shared" si="6"/>
        <v>9727038</v>
      </c>
      <c r="G29" s="480">
        <v>4085356</v>
      </c>
      <c r="H29" s="480">
        <v>5641682</v>
      </c>
      <c r="I29" s="481">
        <f t="shared" si="7"/>
        <v>0</v>
      </c>
      <c r="J29" s="481">
        <f t="shared" si="8"/>
        <v>0</v>
      </c>
      <c r="K29" s="478"/>
      <c r="L29" s="481"/>
      <c r="M29" s="478"/>
      <c r="N29" s="481"/>
      <c r="O29" s="481"/>
      <c r="P29" s="478"/>
      <c r="Q29" s="478"/>
      <c r="R29" s="478"/>
    </row>
    <row r="30" spans="2:18" s="140" customFormat="1" ht="11.25" customHeight="1">
      <c r="B30" s="296" t="s">
        <v>750</v>
      </c>
      <c r="C30" s="310" t="s">
        <v>218</v>
      </c>
      <c r="D30" s="606" t="s">
        <v>751</v>
      </c>
      <c r="E30" s="607"/>
      <c r="F30" s="607"/>
      <c r="G30" s="607"/>
      <c r="H30" s="607"/>
      <c r="I30" s="607"/>
      <c r="J30" s="607"/>
      <c r="K30" s="607"/>
      <c r="L30" s="607"/>
      <c r="M30" s="607"/>
      <c r="N30" s="607"/>
      <c r="O30" s="607"/>
      <c r="P30" s="607"/>
      <c r="Q30" s="607"/>
      <c r="R30" s="608"/>
    </row>
    <row r="31" spans="2:18" s="140" customFormat="1" ht="11.25" customHeight="1">
      <c r="B31" s="296"/>
      <c r="C31" s="307" t="s">
        <v>219</v>
      </c>
      <c r="D31" s="609"/>
      <c r="E31" s="610"/>
      <c r="F31" s="610"/>
      <c r="G31" s="610"/>
      <c r="H31" s="610"/>
      <c r="I31" s="610"/>
      <c r="J31" s="610"/>
      <c r="K31" s="610"/>
      <c r="L31" s="610"/>
      <c r="M31" s="610"/>
      <c r="N31" s="610"/>
      <c r="O31" s="610"/>
      <c r="P31" s="610"/>
      <c r="Q31" s="610"/>
      <c r="R31" s="611"/>
    </row>
    <row r="32" spans="2:18" s="140" customFormat="1" ht="11.25" customHeight="1">
      <c r="B32" s="296"/>
      <c r="C32" s="307" t="s">
        <v>220</v>
      </c>
      <c r="D32" s="609"/>
      <c r="E32" s="610"/>
      <c r="F32" s="610"/>
      <c r="G32" s="610"/>
      <c r="H32" s="610"/>
      <c r="I32" s="610"/>
      <c r="J32" s="610"/>
      <c r="K32" s="610"/>
      <c r="L32" s="610"/>
      <c r="M32" s="610"/>
      <c r="N32" s="610"/>
      <c r="O32" s="610"/>
      <c r="P32" s="610"/>
      <c r="Q32" s="610"/>
      <c r="R32" s="611"/>
    </row>
    <row r="33" spans="2:18" s="140" customFormat="1" ht="11.25" customHeight="1">
      <c r="B33" s="296"/>
      <c r="C33" s="308" t="s">
        <v>221</v>
      </c>
      <c r="D33" s="612"/>
      <c r="E33" s="613"/>
      <c r="F33" s="613"/>
      <c r="G33" s="613"/>
      <c r="H33" s="613"/>
      <c r="I33" s="613"/>
      <c r="J33" s="613"/>
      <c r="K33" s="613"/>
      <c r="L33" s="613"/>
      <c r="M33" s="613"/>
      <c r="N33" s="613"/>
      <c r="O33" s="613"/>
      <c r="P33" s="613"/>
      <c r="Q33" s="613"/>
      <c r="R33" s="614"/>
    </row>
    <row r="34" spans="2:18" s="140" customFormat="1" ht="12.75">
      <c r="B34" s="296"/>
      <c r="C34" s="311" t="s">
        <v>222</v>
      </c>
      <c r="D34" s="34"/>
      <c r="E34" s="143" t="s">
        <v>752</v>
      </c>
      <c r="F34" s="142">
        <f>F35+F36</f>
        <v>7200</v>
      </c>
      <c r="G34" s="142">
        <f aca="true" t="shared" si="9" ref="G34:R34">G35+G36</f>
        <v>1080</v>
      </c>
      <c r="H34" s="142">
        <f t="shared" si="9"/>
        <v>6120</v>
      </c>
      <c r="I34" s="142">
        <f t="shared" si="9"/>
        <v>7200</v>
      </c>
      <c r="J34" s="142">
        <f t="shared" si="9"/>
        <v>1080</v>
      </c>
      <c r="K34" s="142">
        <f t="shared" si="9"/>
        <v>0</v>
      </c>
      <c r="L34" s="142">
        <f t="shared" si="9"/>
        <v>0</v>
      </c>
      <c r="M34" s="142">
        <f t="shared" si="9"/>
        <v>1080</v>
      </c>
      <c r="N34" s="142">
        <f t="shared" si="9"/>
        <v>6120</v>
      </c>
      <c r="O34" s="142">
        <f t="shared" si="9"/>
        <v>0</v>
      </c>
      <c r="P34" s="142">
        <f t="shared" si="9"/>
        <v>0</v>
      </c>
      <c r="Q34" s="142">
        <f t="shared" si="9"/>
        <v>0</v>
      </c>
      <c r="R34" s="142">
        <f t="shared" si="9"/>
        <v>6120</v>
      </c>
    </row>
    <row r="35" spans="2:18" s="482" customFormat="1" ht="12.75">
      <c r="B35" s="476"/>
      <c r="C35" s="477"/>
      <c r="D35" s="478"/>
      <c r="E35" s="478">
        <v>6068</v>
      </c>
      <c r="F35" s="479">
        <f>SUM(G35:H35)</f>
        <v>6120</v>
      </c>
      <c r="G35" s="480"/>
      <c r="H35" s="480">
        <f>I35</f>
        <v>6120</v>
      </c>
      <c r="I35" s="481">
        <f>J35+N35</f>
        <v>6120</v>
      </c>
      <c r="J35" s="481">
        <f>SUM(K35:M35)</f>
        <v>0</v>
      </c>
      <c r="K35" s="480">
        <f>SUM(K36:K36)</f>
        <v>0</v>
      </c>
      <c r="L35" s="480">
        <f>SUM(L36:L36)</f>
        <v>0</v>
      </c>
      <c r="M35" s="483"/>
      <c r="N35" s="481">
        <f>SUM(O35:R35)</f>
        <v>6120</v>
      </c>
      <c r="O35" s="480">
        <f>SUM(O36:O36)</f>
        <v>0</v>
      </c>
      <c r="P35" s="480">
        <f>SUM(P36:P36)</f>
        <v>0</v>
      </c>
      <c r="Q35" s="480">
        <f>SUM(Q36:Q36)</f>
        <v>0</v>
      </c>
      <c r="R35" s="483">
        <v>6120</v>
      </c>
    </row>
    <row r="36" spans="2:18" s="482" customFormat="1" ht="12.75">
      <c r="B36" s="521"/>
      <c r="C36" s="477"/>
      <c r="D36" s="478"/>
      <c r="E36" s="478">
        <v>6069</v>
      </c>
      <c r="F36" s="479">
        <f>SUM(G36:H36)</f>
        <v>1080</v>
      </c>
      <c r="G36" s="480">
        <f>I36</f>
        <v>1080</v>
      </c>
      <c r="H36" s="480"/>
      <c r="I36" s="481">
        <f>J36+N36</f>
        <v>1080</v>
      </c>
      <c r="J36" s="481">
        <f>SUM(K36:M36)</f>
        <v>1080</v>
      </c>
      <c r="K36" s="478"/>
      <c r="L36" s="478"/>
      <c r="M36" s="483">
        <v>1080</v>
      </c>
      <c r="N36" s="481">
        <f>SUM(O36:R36)</f>
        <v>0</v>
      </c>
      <c r="O36" s="478"/>
      <c r="P36" s="478"/>
      <c r="Q36" s="478"/>
      <c r="R36" s="483"/>
    </row>
    <row r="37" spans="2:18" s="525" customFormat="1" ht="11.25">
      <c r="B37" s="526"/>
      <c r="C37" s="527"/>
      <c r="D37" s="528"/>
      <c r="E37" s="528"/>
      <c r="F37" s="529"/>
      <c r="G37" s="530"/>
      <c r="H37" s="530"/>
      <c r="K37" s="528"/>
      <c r="M37" s="528"/>
      <c r="P37" s="528"/>
      <c r="Q37" s="528"/>
      <c r="R37" s="528"/>
    </row>
    <row r="38" spans="2:18" s="140" customFormat="1" ht="11.25">
      <c r="B38" s="531"/>
      <c r="C38" s="532"/>
      <c r="D38" s="533"/>
      <c r="E38" s="533"/>
      <c r="F38" s="534"/>
      <c r="G38" s="485"/>
      <c r="H38" s="485"/>
      <c r="K38" s="533"/>
      <c r="M38" s="533"/>
      <c r="N38" s="533"/>
      <c r="P38" s="533"/>
      <c r="Q38" s="533"/>
      <c r="R38" s="533"/>
    </row>
    <row r="39" spans="2:18" s="55" customFormat="1" ht="27" customHeight="1">
      <c r="B39" s="522">
        <v>2</v>
      </c>
      <c r="C39" s="523" t="s">
        <v>225</v>
      </c>
      <c r="D39" s="624" t="s">
        <v>178</v>
      </c>
      <c r="E39" s="625"/>
      <c r="F39" s="524">
        <f>F44+F62+F88+F108+F151+F131+F175+F198</f>
        <v>4780194</v>
      </c>
      <c r="G39" s="524">
        <f aca="true" t="shared" si="10" ref="G39:R39">G44+G62+G88+G108+G151+G131+G175+G198</f>
        <v>681338</v>
      </c>
      <c r="H39" s="524">
        <f t="shared" si="10"/>
        <v>4068834</v>
      </c>
      <c r="I39" s="524">
        <f t="shared" si="10"/>
        <v>3069632</v>
      </c>
      <c r="J39" s="524">
        <f t="shared" si="10"/>
        <v>439829</v>
      </c>
      <c r="K39" s="524">
        <f t="shared" si="10"/>
        <v>0</v>
      </c>
      <c r="L39" s="524">
        <f t="shared" si="10"/>
        <v>0</v>
      </c>
      <c r="M39" s="524">
        <f t="shared" si="10"/>
        <v>439829</v>
      </c>
      <c r="N39" s="524">
        <f t="shared" si="10"/>
        <v>2629803</v>
      </c>
      <c r="O39" s="524">
        <f t="shared" si="10"/>
        <v>0</v>
      </c>
      <c r="P39" s="524">
        <f t="shared" si="10"/>
        <v>0</v>
      </c>
      <c r="Q39" s="524">
        <f t="shared" si="10"/>
        <v>0</v>
      </c>
      <c r="R39" s="524">
        <f t="shared" si="10"/>
        <v>2629803</v>
      </c>
    </row>
    <row r="40" spans="2:18" ht="15.75" customHeight="1">
      <c r="B40" s="620" t="s">
        <v>226</v>
      </c>
      <c r="C40" s="310" t="s">
        <v>218</v>
      </c>
      <c r="D40" s="606" t="s">
        <v>82</v>
      </c>
      <c r="E40" s="607"/>
      <c r="F40" s="607"/>
      <c r="G40" s="607"/>
      <c r="H40" s="607"/>
      <c r="I40" s="607"/>
      <c r="J40" s="607"/>
      <c r="K40" s="607"/>
      <c r="L40" s="607"/>
      <c r="M40" s="607"/>
      <c r="N40" s="607"/>
      <c r="O40" s="607"/>
      <c r="P40" s="607"/>
      <c r="Q40" s="607"/>
      <c r="R40" s="608"/>
    </row>
    <row r="41" spans="2:18" ht="12.75" customHeight="1">
      <c r="B41" s="620"/>
      <c r="C41" s="307" t="s">
        <v>219</v>
      </c>
      <c r="D41" s="609"/>
      <c r="E41" s="610"/>
      <c r="F41" s="610"/>
      <c r="G41" s="610"/>
      <c r="H41" s="610"/>
      <c r="I41" s="610"/>
      <c r="J41" s="610"/>
      <c r="K41" s="610"/>
      <c r="L41" s="610"/>
      <c r="M41" s="610"/>
      <c r="N41" s="610"/>
      <c r="O41" s="610"/>
      <c r="P41" s="610"/>
      <c r="Q41" s="610"/>
      <c r="R41" s="611"/>
    </row>
    <row r="42" spans="2:18" ht="12.75" customHeight="1">
      <c r="B42" s="620"/>
      <c r="C42" s="307" t="s">
        <v>220</v>
      </c>
      <c r="D42" s="609"/>
      <c r="E42" s="610"/>
      <c r="F42" s="610"/>
      <c r="G42" s="610"/>
      <c r="H42" s="610"/>
      <c r="I42" s="610"/>
      <c r="J42" s="610"/>
      <c r="K42" s="610"/>
      <c r="L42" s="610"/>
      <c r="M42" s="610"/>
      <c r="N42" s="610"/>
      <c r="O42" s="610"/>
      <c r="P42" s="610"/>
      <c r="Q42" s="610"/>
      <c r="R42" s="611"/>
    </row>
    <row r="43" spans="2:18" ht="12.75" customHeight="1">
      <c r="B43" s="620"/>
      <c r="C43" s="308" t="s">
        <v>221</v>
      </c>
      <c r="D43" s="612"/>
      <c r="E43" s="613"/>
      <c r="F43" s="613"/>
      <c r="G43" s="613"/>
      <c r="H43" s="613"/>
      <c r="I43" s="613"/>
      <c r="J43" s="613"/>
      <c r="K43" s="613"/>
      <c r="L43" s="613"/>
      <c r="M43" s="613"/>
      <c r="N43" s="613"/>
      <c r="O43" s="613"/>
      <c r="P43" s="613"/>
      <c r="Q43" s="613"/>
      <c r="R43" s="614"/>
    </row>
    <row r="44" spans="2:18" s="141" customFormat="1" ht="12.75">
      <c r="B44" s="620"/>
      <c r="C44" s="311" t="s">
        <v>222</v>
      </c>
      <c r="D44" s="34"/>
      <c r="E44" s="143" t="s">
        <v>366</v>
      </c>
      <c r="F44" s="142">
        <f>F52+F53</f>
        <v>200240</v>
      </c>
      <c r="G44" s="142">
        <f aca="true" t="shared" si="11" ref="G44:R44">G52+G53</f>
        <v>30036</v>
      </c>
      <c r="H44" s="142">
        <f t="shared" si="11"/>
        <v>170204</v>
      </c>
      <c r="I44" s="142">
        <f t="shared" si="11"/>
        <v>17020</v>
      </c>
      <c r="J44" s="142">
        <f t="shared" si="11"/>
        <v>0</v>
      </c>
      <c r="K44" s="142">
        <f t="shared" si="11"/>
        <v>0</v>
      </c>
      <c r="L44" s="142">
        <f t="shared" si="11"/>
        <v>0</v>
      </c>
      <c r="M44" s="142">
        <f t="shared" si="11"/>
        <v>0</v>
      </c>
      <c r="N44" s="142">
        <f t="shared" si="11"/>
        <v>17020</v>
      </c>
      <c r="O44" s="142">
        <f t="shared" si="11"/>
        <v>0</v>
      </c>
      <c r="P44" s="142">
        <f t="shared" si="11"/>
        <v>0</v>
      </c>
      <c r="Q44" s="142">
        <f t="shared" si="11"/>
        <v>0</v>
      </c>
      <c r="R44" s="282">
        <f t="shared" si="11"/>
        <v>17020</v>
      </c>
    </row>
    <row r="45" spans="2:18" s="141" customFormat="1" ht="12.75" hidden="1">
      <c r="B45" s="620"/>
      <c r="C45" s="270" t="s">
        <v>83</v>
      </c>
      <c r="D45" s="34"/>
      <c r="E45" s="143" t="s">
        <v>91</v>
      </c>
      <c r="F45" s="142"/>
      <c r="G45" s="142"/>
      <c r="H45" s="142"/>
      <c r="I45" s="142"/>
      <c r="J45" s="142"/>
      <c r="K45" s="142"/>
      <c r="L45" s="142"/>
      <c r="M45" s="142"/>
      <c r="N45" s="142"/>
      <c r="O45" s="142"/>
      <c r="P45" s="142"/>
      <c r="Q45" s="142"/>
      <c r="R45" s="119">
        <f>2!G511</f>
        <v>0</v>
      </c>
    </row>
    <row r="46" spans="2:18" s="141" customFormat="1" ht="22.5" hidden="1">
      <c r="B46" s="620"/>
      <c r="C46" s="270" t="s">
        <v>84</v>
      </c>
      <c r="D46" s="34"/>
      <c r="E46" s="143" t="s">
        <v>92</v>
      </c>
      <c r="F46" s="142"/>
      <c r="G46" s="142"/>
      <c r="H46" s="142"/>
      <c r="I46" s="142"/>
      <c r="J46" s="142"/>
      <c r="K46" s="142"/>
      <c r="L46" s="142"/>
      <c r="M46" s="142"/>
      <c r="N46" s="142"/>
      <c r="O46" s="142"/>
      <c r="P46" s="142"/>
      <c r="Q46" s="142"/>
      <c r="R46" s="119"/>
    </row>
    <row r="47" spans="2:18" s="141" customFormat="1" ht="12.75" hidden="1">
      <c r="B47" s="620"/>
      <c r="C47" s="270" t="s">
        <v>85</v>
      </c>
      <c r="D47" s="34"/>
      <c r="E47" s="143" t="s">
        <v>93</v>
      </c>
      <c r="F47" s="142"/>
      <c r="G47" s="142"/>
      <c r="H47" s="142"/>
      <c r="I47" s="142"/>
      <c r="J47" s="142"/>
      <c r="K47" s="142"/>
      <c r="L47" s="142"/>
      <c r="M47" s="142"/>
      <c r="N47" s="142"/>
      <c r="O47" s="142"/>
      <c r="P47" s="142"/>
      <c r="Q47" s="142"/>
      <c r="R47" s="119"/>
    </row>
    <row r="48" spans="2:18" s="141" customFormat="1" ht="22.5" hidden="1">
      <c r="B48" s="620"/>
      <c r="C48" s="270" t="s">
        <v>86</v>
      </c>
      <c r="D48" s="34"/>
      <c r="E48" s="143" t="s">
        <v>94</v>
      </c>
      <c r="F48" s="142"/>
      <c r="G48" s="142"/>
      <c r="H48" s="142"/>
      <c r="I48" s="142"/>
      <c r="J48" s="142"/>
      <c r="K48" s="142"/>
      <c r="L48" s="142"/>
      <c r="M48" s="142"/>
      <c r="N48" s="142"/>
      <c r="O48" s="142"/>
      <c r="P48" s="142"/>
      <c r="Q48" s="142"/>
      <c r="R48" s="119"/>
    </row>
    <row r="49" spans="2:18" s="141" customFormat="1" ht="22.5" hidden="1">
      <c r="B49" s="620"/>
      <c r="C49" s="136" t="s">
        <v>612</v>
      </c>
      <c r="D49" s="34"/>
      <c r="E49" s="143" t="s">
        <v>611</v>
      </c>
      <c r="F49" s="142"/>
      <c r="G49" s="142"/>
      <c r="H49" s="142"/>
      <c r="I49" s="142"/>
      <c r="J49" s="142"/>
      <c r="K49" s="142"/>
      <c r="L49" s="142"/>
      <c r="M49" s="142"/>
      <c r="N49" s="142"/>
      <c r="O49" s="142"/>
      <c r="P49" s="142"/>
      <c r="Q49" s="142"/>
      <c r="R49" s="119"/>
    </row>
    <row r="50" spans="2:18" s="141" customFormat="1" ht="33.75" hidden="1">
      <c r="B50" s="620"/>
      <c r="C50" s="270" t="s">
        <v>87</v>
      </c>
      <c r="D50" s="34"/>
      <c r="E50" s="143" t="s">
        <v>95</v>
      </c>
      <c r="F50" s="142"/>
      <c r="G50" s="142"/>
      <c r="H50" s="142"/>
      <c r="I50" s="142"/>
      <c r="J50" s="142"/>
      <c r="K50" s="142"/>
      <c r="L50" s="142"/>
      <c r="M50" s="142"/>
      <c r="N50" s="142"/>
      <c r="O50" s="142"/>
      <c r="P50" s="142"/>
      <c r="Q50" s="142"/>
      <c r="R50" s="119">
        <f>2!L537</f>
        <v>0</v>
      </c>
    </row>
    <row r="51" spans="2:18" s="141" customFormat="1" ht="12.75" hidden="1">
      <c r="B51" s="620"/>
      <c r="C51" s="311"/>
      <c r="D51" s="34"/>
      <c r="E51" s="143"/>
      <c r="F51" s="142"/>
      <c r="G51" s="139"/>
      <c r="H51" s="139"/>
      <c r="I51" s="135"/>
      <c r="J51" s="34"/>
      <c r="K51" s="139"/>
      <c r="L51" s="139"/>
      <c r="M51" s="139"/>
      <c r="N51" s="34"/>
      <c r="O51" s="139"/>
      <c r="P51" s="139"/>
      <c r="Q51" s="139"/>
      <c r="R51" s="139"/>
    </row>
    <row r="52" spans="2:18" s="140" customFormat="1" ht="12.75">
      <c r="B52" s="620"/>
      <c r="C52" s="136" t="s">
        <v>13</v>
      </c>
      <c r="D52" s="138"/>
      <c r="E52" s="138"/>
      <c r="F52" s="137">
        <f>G52+H52</f>
        <v>180216</v>
      </c>
      <c r="G52" s="137">
        <v>27032</v>
      </c>
      <c r="H52" s="137">
        <v>153184</v>
      </c>
      <c r="I52" s="137">
        <f aca="true" t="shared" si="12" ref="I52:I57">J52+N52</f>
        <v>0</v>
      </c>
      <c r="J52" s="137">
        <f>K52+L52+M52</f>
        <v>0</v>
      </c>
      <c r="K52" s="137"/>
      <c r="L52" s="137"/>
      <c r="M52" s="137"/>
      <c r="N52" s="142"/>
      <c r="O52" s="137"/>
      <c r="P52" s="137"/>
      <c r="Q52" s="137"/>
      <c r="R52" s="137">
        <f>SUM(R45:R50)</f>
        <v>0</v>
      </c>
    </row>
    <row r="53" spans="2:18" s="140" customFormat="1" ht="12.75">
      <c r="B53" s="620"/>
      <c r="C53" s="136" t="s">
        <v>188</v>
      </c>
      <c r="D53" s="138"/>
      <c r="E53" s="138"/>
      <c r="F53" s="137">
        <f>G53+H53</f>
        <v>20024</v>
      </c>
      <c r="G53" s="135">
        <v>3004</v>
      </c>
      <c r="H53" s="142">
        <f>N53</f>
        <v>17020</v>
      </c>
      <c r="I53" s="137">
        <f t="shared" si="12"/>
        <v>17020</v>
      </c>
      <c r="J53" s="137">
        <f>K53+L53+M53</f>
        <v>0</v>
      </c>
      <c r="K53" s="138"/>
      <c r="L53" s="138"/>
      <c r="M53" s="269"/>
      <c r="N53" s="142">
        <f>SUM(O53:R53)</f>
        <v>17020</v>
      </c>
      <c r="O53" s="138"/>
      <c r="P53" s="138"/>
      <c r="Q53" s="138"/>
      <c r="R53" s="269">
        <f>SUM(R54:R57)</f>
        <v>17020</v>
      </c>
    </row>
    <row r="54" spans="2:18" s="141" customFormat="1" ht="22.5">
      <c r="B54" s="620"/>
      <c r="C54" s="136" t="s">
        <v>700</v>
      </c>
      <c r="D54" s="34"/>
      <c r="E54" s="143">
        <v>4048</v>
      </c>
      <c r="F54" s="142"/>
      <c r="G54" s="142"/>
      <c r="H54" s="142">
        <f>N54</f>
        <v>6120</v>
      </c>
      <c r="I54" s="137">
        <f t="shared" si="12"/>
        <v>6120</v>
      </c>
      <c r="J54" s="137">
        <f>K54+L54+M54</f>
        <v>0</v>
      </c>
      <c r="K54" s="142"/>
      <c r="L54" s="142"/>
      <c r="M54" s="142"/>
      <c r="N54" s="142">
        <f>SUM(O54:R54)</f>
        <v>6120</v>
      </c>
      <c r="O54" s="142"/>
      <c r="P54" s="142"/>
      <c r="Q54" s="142"/>
      <c r="R54" s="119">
        <f>2!H513</f>
        <v>6120</v>
      </c>
    </row>
    <row r="55" spans="2:18" s="141" customFormat="1" ht="22.5">
      <c r="B55" s="620"/>
      <c r="C55" s="270" t="s">
        <v>84</v>
      </c>
      <c r="D55" s="34"/>
      <c r="E55" s="143">
        <v>4118</v>
      </c>
      <c r="F55" s="142"/>
      <c r="G55" s="142"/>
      <c r="H55" s="142">
        <f>N55</f>
        <v>925</v>
      </c>
      <c r="I55" s="137">
        <f t="shared" si="12"/>
        <v>925</v>
      </c>
      <c r="J55" s="137">
        <f>K55+L55+M55</f>
        <v>0</v>
      </c>
      <c r="K55" s="142"/>
      <c r="L55" s="142"/>
      <c r="M55" s="142"/>
      <c r="N55" s="142">
        <f>SUM(O55:R55)</f>
        <v>925</v>
      </c>
      <c r="O55" s="142"/>
      <c r="P55" s="142"/>
      <c r="Q55" s="142"/>
      <c r="R55" s="119">
        <f>2!I515</f>
        <v>925</v>
      </c>
    </row>
    <row r="56" spans="2:18" s="141" customFormat="1" ht="12.75">
      <c r="B56" s="620"/>
      <c r="C56" s="270" t="s">
        <v>85</v>
      </c>
      <c r="D56" s="34"/>
      <c r="E56" s="143">
        <v>4128</v>
      </c>
      <c r="F56" s="142"/>
      <c r="G56" s="142"/>
      <c r="H56" s="142">
        <f>N56</f>
        <v>155</v>
      </c>
      <c r="I56" s="137">
        <f t="shared" si="12"/>
        <v>155</v>
      </c>
      <c r="J56" s="142"/>
      <c r="K56" s="142"/>
      <c r="L56" s="142"/>
      <c r="M56" s="142"/>
      <c r="N56" s="142">
        <f>SUM(O56:R56)</f>
        <v>155</v>
      </c>
      <c r="O56" s="142"/>
      <c r="P56" s="142"/>
      <c r="Q56" s="142"/>
      <c r="R56" s="119">
        <f>2!I517</f>
        <v>155</v>
      </c>
    </row>
    <row r="57" spans="2:18" s="141" customFormat="1" ht="12.75">
      <c r="B57" s="620"/>
      <c r="C57" s="136" t="s">
        <v>709</v>
      </c>
      <c r="D57" s="34"/>
      <c r="E57" s="143">
        <v>4308</v>
      </c>
      <c r="F57" s="142"/>
      <c r="G57" s="142"/>
      <c r="H57" s="142">
        <f>N57</f>
        <v>9820</v>
      </c>
      <c r="I57" s="137">
        <f t="shared" si="12"/>
        <v>9820</v>
      </c>
      <c r="J57" s="137">
        <f>K57+L57+M57</f>
        <v>0</v>
      </c>
      <c r="K57" s="142"/>
      <c r="L57" s="142"/>
      <c r="M57" s="142"/>
      <c r="N57" s="142">
        <f>SUM(O57:R57)</f>
        <v>9820</v>
      </c>
      <c r="O57" s="142"/>
      <c r="P57" s="142"/>
      <c r="Q57" s="142"/>
      <c r="R57" s="119">
        <f>2!L525</f>
        <v>9820</v>
      </c>
    </row>
    <row r="58" spans="2:18" s="140" customFormat="1" ht="21.75" customHeight="1">
      <c r="B58" s="296" t="s">
        <v>227</v>
      </c>
      <c r="C58" s="310" t="s">
        <v>218</v>
      </c>
      <c r="D58" s="606" t="s">
        <v>362</v>
      </c>
      <c r="E58" s="607"/>
      <c r="F58" s="607"/>
      <c r="G58" s="607"/>
      <c r="H58" s="607"/>
      <c r="I58" s="607"/>
      <c r="J58" s="607"/>
      <c r="K58" s="607"/>
      <c r="L58" s="607"/>
      <c r="M58" s="607"/>
      <c r="N58" s="607"/>
      <c r="O58" s="607"/>
      <c r="P58" s="607"/>
      <c r="Q58" s="607"/>
      <c r="R58" s="608"/>
    </row>
    <row r="59" spans="2:18" s="140" customFormat="1" ht="11.25" customHeight="1">
      <c r="B59" s="296"/>
      <c r="C59" s="307" t="s">
        <v>219</v>
      </c>
      <c r="D59" s="609"/>
      <c r="E59" s="610"/>
      <c r="F59" s="610"/>
      <c r="G59" s="610"/>
      <c r="H59" s="610"/>
      <c r="I59" s="610"/>
      <c r="J59" s="610"/>
      <c r="K59" s="610"/>
      <c r="L59" s="610"/>
      <c r="M59" s="610"/>
      <c r="N59" s="610"/>
      <c r="O59" s="610"/>
      <c r="P59" s="610"/>
      <c r="Q59" s="610"/>
      <c r="R59" s="611"/>
    </row>
    <row r="60" spans="2:18" s="140" customFormat="1" ht="11.25" customHeight="1">
      <c r="B60" s="296"/>
      <c r="C60" s="307" t="s">
        <v>220</v>
      </c>
      <c r="D60" s="609"/>
      <c r="E60" s="610"/>
      <c r="F60" s="610"/>
      <c r="G60" s="610"/>
      <c r="H60" s="610"/>
      <c r="I60" s="610"/>
      <c r="J60" s="610"/>
      <c r="K60" s="610"/>
      <c r="L60" s="610"/>
      <c r="M60" s="610"/>
      <c r="N60" s="610"/>
      <c r="O60" s="610"/>
      <c r="P60" s="610"/>
      <c r="Q60" s="610"/>
      <c r="R60" s="611"/>
    </row>
    <row r="61" spans="2:18" s="140" customFormat="1" ht="11.25" customHeight="1">
      <c r="B61" s="296"/>
      <c r="C61" s="308" t="s">
        <v>221</v>
      </c>
      <c r="D61" s="612"/>
      <c r="E61" s="613"/>
      <c r="F61" s="613"/>
      <c r="G61" s="613"/>
      <c r="H61" s="613"/>
      <c r="I61" s="613"/>
      <c r="J61" s="613"/>
      <c r="K61" s="613"/>
      <c r="L61" s="613"/>
      <c r="M61" s="613"/>
      <c r="N61" s="613"/>
      <c r="O61" s="613"/>
      <c r="P61" s="613"/>
      <c r="Q61" s="613"/>
      <c r="R61" s="614"/>
    </row>
    <row r="62" spans="2:18" s="140" customFormat="1" ht="12.75">
      <c r="B62" s="296"/>
      <c r="C62" s="311" t="s">
        <v>222</v>
      </c>
      <c r="D62" s="34"/>
      <c r="E62" s="143" t="s">
        <v>365</v>
      </c>
      <c r="F62" s="142">
        <f>F81+F82</f>
        <v>2000000</v>
      </c>
      <c r="G62" s="142">
        <f aca="true" t="shared" si="13" ref="G62:R62">G81+G82</f>
        <v>300000</v>
      </c>
      <c r="H62" s="142">
        <f t="shared" si="13"/>
        <v>1700000</v>
      </c>
      <c r="I62" s="142">
        <f t="shared" si="13"/>
        <v>985936</v>
      </c>
      <c r="J62" s="142">
        <f t="shared" si="13"/>
        <v>147891</v>
      </c>
      <c r="K62" s="142">
        <f t="shared" si="13"/>
        <v>0</v>
      </c>
      <c r="L62" s="142">
        <f t="shared" si="13"/>
        <v>0</v>
      </c>
      <c r="M62" s="142">
        <f t="shared" si="13"/>
        <v>147891</v>
      </c>
      <c r="N62" s="142">
        <f t="shared" si="13"/>
        <v>838045</v>
      </c>
      <c r="O62" s="142">
        <f t="shared" si="13"/>
        <v>0</v>
      </c>
      <c r="P62" s="142">
        <f t="shared" si="13"/>
        <v>0</v>
      </c>
      <c r="Q62" s="142">
        <f t="shared" si="13"/>
        <v>0</v>
      </c>
      <c r="R62" s="282">
        <f t="shared" si="13"/>
        <v>838045</v>
      </c>
    </row>
    <row r="63" spans="2:18" s="140" customFormat="1" ht="56.25">
      <c r="B63" s="296"/>
      <c r="C63" s="80" t="s">
        <v>619</v>
      </c>
      <c r="D63" s="34"/>
      <c r="E63" s="293">
        <v>2318</v>
      </c>
      <c r="F63" s="142">
        <f>G63+H63</f>
        <v>1493</v>
      </c>
      <c r="G63" s="142"/>
      <c r="H63" s="282">
        <f>N63</f>
        <v>1493</v>
      </c>
      <c r="I63" s="142">
        <f>J63+N63</f>
        <v>1493</v>
      </c>
      <c r="J63" s="142">
        <f>SUM(K63:M63)</f>
        <v>0</v>
      </c>
      <c r="K63" s="142"/>
      <c r="L63" s="142"/>
      <c r="M63" s="142"/>
      <c r="N63" s="142">
        <f>SUM(O63:R63)</f>
        <v>1493</v>
      </c>
      <c r="O63" s="142"/>
      <c r="P63" s="142"/>
      <c r="Q63" s="142"/>
      <c r="R63" s="282">
        <v>1493</v>
      </c>
    </row>
    <row r="64" spans="2:18" s="140" customFormat="1" ht="56.25">
      <c r="B64" s="296"/>
      <c r="C64" s="80" t="s">
        <v>620</v>
      </c>
      <c r="D64" s="34"/>
      <c r="E64" s="293">
        <v>2319</v>
      </c>
      <c r="F64" s="142">
        <f aca="true" t="shared" si="14" ref="F64:F80">G64+H64</f>
        <v>264</v>
      </c>
      <c r="G64" s="142">
        <f>I64</f>
        <v>264</v>
      </c>
      <c r="H64" s="282">
        <f>R64</f>
        <v>0</v>
      </c>
      <c r="I64" s="142">
        <f aca="true" t="shared" si="15" ref="I64:I80">J64+N64</f>
        <v>264</v>
      </c>
      <c r="J64" s="142">
        <f aca="true" t="shared" si="16" ref="J64:J80">SUM(K64:M64)</f>
        <v>264</v>
      </c>
      <c r="K64" s="142"/>
      <c r="L64" s="142"/>
      <c r="M64" s="142">
        <v>264</v>
      </c>
      <c r="N64" s="142">
        <f aca="true" t="shared" si="17" ref="N64:N80">SUM(O64:R64)</f>
        <v>0</v>
      </c>
      <c r="O64" s="142"/>
      <c r="P64" s="142"/>
      <c r="Q64" s="142"/>
      <c r="R64" s="282"/>
    </row>
    <row r="65" spans="2:18" s="140" customFormat="1" ht="56.25">
      <c r="B65" s="296"/>
      <c r="C65" s="80" t="s">
        <v>359</v>
      </c>
      <c r="D65" s="34"/>
      <c r="E65" s="293">
        <v>2328</v>
      </c>
      <c r="F65" s="142">
        <f>G65+H65</f>
        <v>732979</v>
      </c>
      <c r="G65" s="142"/>
      <c r="H65" s="282">
        <f>R65</f>
        <v>732979</v>
      </c>
      <c r="I65" s="142">
        <f t="shared" si="15"/>
        <v>732979</v>
      </c>
      <c r="J65" s="142">
        <f t="shared" si="16"/>
        <v>0</v>
      </c>
      <c r="K65" s="142"/>
      <c r="L65" s="142"/>
      <c r="M65" s="142"/>
      <c r="N65" s="142">
        <f t="shared" si="17"/>
        <v>732979</v>
      </c>
      <c r="O65" s="142"/>
      <c r="P65" s="142"/>
      <c r="Q65" s="142"/>
      <c r="R65" s="282">
        <v>732979</v>
      </c>
    </row>
    <row r="66" spans="2:18" s="140" customFormat="1" ht="56.25">
      <c r="B66" s="296"/>
      <c r="C66" s="80" t="s">
        <v>359</v>
      </c>
      <c r="D66" s="34"/>
      <c r="E66" s="293">
        <v>2329</v>
      </c>
      <c r="F66" s="142">
        <f>G66+H66</f>
        <v>129349</v>
      </c>
      <c r="G66" s="142">
        <f>M66</f>
        <v>129349</v>
      </c>
      <c r="H66" s="282"/>
      <c r="I66" s="142">
        <f t="shared" si="15"/>
        <v>129349</v>
      </c>
      <c r="J66" s="142">
        <f t="shared" si="16"/>
        <v>129349</v>
      </c>
      <c r="K66" s="142"/>
      <c r="L66" s="142"/>
      <c r="M66" s="142">
        <v>129349</v>
      </c>
      <c r="N66" s="142">
        <f t="shared" si="17"/>
        <v>0</v>
      </c>
      <c r="O66" s="142"/>
      <c r="P66" s="142"/>
      <c r="Q66" s="142"/>
      <c r="R66" s="282"/>
    </row>
    <row r="67" spans="2:18" s="140" customFormat="1" ht="22.5">
      <c r="B67" s="296"/>
      <c r="C67" s="80" t="s">
        <v>412</v>
      </c>
      <c r="D67" s="34"/>
      <c r="E67" s="290">
        <v>4118</v>
      </c>
      <c r="F67" s="142">
        <f t="shared" si="14"/>
        <v>9526</v>
      </c>
      <c r="G67" s="142"/>
      <c r="H67" s="282">
        <f>R67</f>
        <v>9526</v>
      </c>
      <c r="I67" s="142">
        <f t="shared" si="15"/>
        <v>9526</v>
      </c>
      <c r="J67" s="142">
        <f t="shared" si="16"/>
        <v>0</v>
      </c>
      <c r="K67" s="142"/>
      <c r="L67" s="142"/>
      <c r="M67" s="142"/>
      <c r="N67" s="142">
        <f t="shared" si="17"/>
        <v>9526</v>
      </c>
      <c r="O67" s="142"/>
      <c r="P67" s="142"/>
      <c r="Q67" s="142"/>
      <c r="R67" s="282">
        <v>9526</v>
      </c>
    </row>
    <row r="68" spans="2:18" s="140" customFormat="1" ht="22.5">
      <c r="B68" s="296"/>
      <c r="C68" s="80" t="s">
        <v>412</v>
      </c>
      <c r="D68" s="34"/>
      <c r="E68" s="290">
        <v>4119</v>
      </c>
      <c r="F68" s="142">
        <f t="shared" si="14"/>
        <v>1681</v>
      </c>
      <c r="G68" s="142">
        <f>M68</f>
        <v>1681</v>
      </c>
      <c r="H68" s="282"/>
      <c r="I68" s="142">
        <f t="shared" si="15"/>
        <v>1681</v>
      </c>
      <c r="J68" s="142">
        <f t="shared" si="16"/>
        <v>1681</v>
      </c>
      <c r="K68" s="142"/>
      <c r="L68" s="142"/>
      <c r="M68" s="142">
        <v>1681</v>
      </c>
      <c r="N68" s="142">
        <f t="shared" si="17"/>
        <v>0</v>
      </c>
      <c r="O68" s="142"/>
      <c r="P68" s="142"/>
      <c r="Q68" s="142"/>
      <c r="R68" s="282"/>
    </row>
    <row r="69" spans="2:18" s="140" customFormat="1" ht="12.75">
      <c r="B69" s="296"/>
      <c r="C69" s="80" t="s">
        <v>414</v>
      </c>
      <c r="D69" s="34"/>
      <c r="E69" s="290">
        <v>4128</v>
      </c>
      <c r="F69" s="142">
        <f t="shared" si="14"/>
        <v>1536</v>
      </c>
      <c r="G69" s="142"/>
      <c r="H69" s="282">
        <f>R69</f>
        <v>1536</v>
      </c>
      <c r="I69" s="142">
        <f t="shared" si="15"/>
        <v>1536</v>
      </c>
      <c r="J69" s="142">
        <f t="shared" si="16"/>
        <v>0</v>
      </c>
      <c r="K69" s="142"/>
      <c r="L69" s="142"/>
      <c r="M69" s="142"/>
      <c r="N69" s="142">
        <f t="shared" si="17"/>
        <v>1536</v>
      </c>
      <c r="O69" s="142"/>
      <c r="P69" s="142"/>
      <c r="Q69" s="142"/>
      <c r="R69" s="282">
        <v>1536</v>
      </c>
    </row>
    <row r="70" spans="2:18" s="140" customFormat="1" ht="12.75">
      <c r="B70" s="296"/>
      <c r="C70" s="80" t="s">
        <v>414</v>
      </c>
      <c r="D70" s="34"/>
      <c r="E70" s="290">
        <v>4129</v>
      </c>
      <c r="F70" s="142">
        <f t="shared" si="14"/>
        <v>271</v>
      </c>
      <c r="G70" s="142">
        <f>M70</f>
        <v>271</v>
      </c>
      <c r="H70" s="282"/>
      <c r="I70" s="142">
        <f t="shared" si="15"/>
        <v>271</v>
      </c>
      <c r="J70" s="142">
        <f t="shared" si="16"/>
        <v>271</v>
      </c>
      <c r="K70" s="142"/>
      <c r="L70" s="142"/>
      <c r="M70" s="142">
        <v>271</v>
      </c>
      <c r="N70" s="142">
        <f t="shared" si="17"/>
        <v>0</v>
      </c>
      <c r="O70" s="142"/>
      <c r="P70" s="142"/>
      <c r="Q70" s="142"/>
      <c r="R70" s="282"/>
    </row>
    <row r="71" spans="2:18" s="140" customFormat="1" ht="22.5">
      <c r="B71" s="296"/>
      <c r="C71" s="80" t="s">
        <v>371</v>
      </c>
      <c r="D71" s="34"/>
      <c r="E71" s="290">
        <v>4178</v>
      </c>
      <c r="F71" s="142">
        <f t="shared" si="14"/>
        <v>62714</v>
      </c>
      <c r="G71" s="142"/>
      <c r="H71" s="282">
        <f>N71</f>
        <v>62714</v>
      </c>
      <c r="I71" s="142">
        <f t="shared" si="15"/>
        <v>62714</v>
      </c>
      <c r="J71" s="142">
        <f t="shared" si="16"/>
        <v>0</v>
      </c>
      <c r="K71" s="142"/>
      <c r="L71" s="142"/>
      <c r="M71" s="142"/>
      <c r="N71" s="142">
        <f t="shared" si="17"/>
        <v>62714</v>
      </c>
      <c r="O71" s="142"/>
      <c r="P71" s="142"/>
      <c r="Q71" s="142"/>
      <c r="R71" s="282">
        <v>62714</v>
      </c>
    </row>
    <row r="72" spans="2:18" s="140" customFormat="1" ht="22.5">
      <c r="B72" s="296"/>
      <c r="C72" s="80" t="s">
        <v>371</v>
      </c>
      <c r="D72" s="34"/>
      <c r="E72" s="290">
        <v>4179</v>
      </c>
      <c r="F72" s="142">
        <f t="shared" si="14"/>
        <v>11067</v>
      </c>
      <c r="G72" s="142">
        <f>J72</f>
        <v>11067</v>
      </c>
      <c r="H72" s="282"/>
      <c r="I72" s="142">
        <f t="shared" si="15"/>
        <v>11067</v>
      </c>
      <c r="J72" s="142">
        <f t="shared" si="16"/>
        <v>11067</v>
      </c>
      <c r="K72" s="142"/>
      <c r="L72" s="142"/>
      <c r="M72" s="142">
        <v>11067</v>
      </c>
      <c r="N72" s="142">
        <f t="shared" si="17"/>
        <v>0</v>
      </c>
      <c r="O72" s="142"/>
      <c r="P72" s="142"/>
      <c r="Q72" s="142"/>
      <c r="R72" s="282"/>
    </row>
    <row r="73" spans="2:18" s="140" customFormat="1" ht="22.5">
      <c r="B73" s="296"/>
      <c r="C73" s="80" t="s">
        <v>337</v>
      </c>
      <c r="D73" s="34"/>
      <c r="E73" s="290">
        <v>4218</v>
      </c>
      <c r="F73" s="142">
        <f t="shared" si="14"/>
        <v>2729</v>
      </c>
      <c r="G73" s="142"/>
      <c r="H73" s="282">
        <f>N73</f>
        <v>2729</v>
      </c>
      <c r="I73" s="142">
        <f t="shared" si="15"/>
        <v>2729</v>
      </c>
      <c r="J73" s="142">
        <f t="shared" si="16"/>
        <v>0</v>
      </c>
      <c r="K73" s="142"/>
      <c r="L73" s="142"/>
      <c r="M73" s="142"/>
      <c r="N73" s="142">
        <f t="shared" si="17"/>
        <v>2729</v>
      </c>
      <c r="O73" s="142"/>
      <c r="P73" s="142"/>
      <c r="Q73" s="142"/>
      <c r="R73" s="282">
        <v>2729</v>
      </c>
    </row>
    <row r="74" spans="2:18" s="140" customFormat="1" ht="22.5">
      <c r="B74" s="296"/>
      <c r="C74" s="80" t="s">
        <v>337</v>
      </c>
      <c r="D74" s="34"/>
      <c r="E74" s="290">
        <v>4219</v>
      </c>
      <c r="F74" s="142">
        <f t="shared" si="14"/>
        <v>482</v>
      </c>
      <c r="G74" s="142">
        <f>I74</f>
        <v>482</v>
      </c>
      <c r="H74" s="282"/>
      <c r="I74" s="142">
        <f t="shared" si="15"/>
        <v>482</v>
      </c>
      <c r="J74" s="142">
        <f t="shared" si="16"/>
        <v>482</v>
      </c>
      <c r="K74" s="142"/>
      <c r="L74" s="142"/>
      <c r="M74" s="142">
        <v>482</v>
      </c>
      <c r="N74" s="142">
        <f t="shared" si="17"/>
        <v>0</v>
      </c>
      <c r="O74" s="142"/>
      <c r="P74" s="142"/>
      <c r="Q74" s="142"/>
      <c r="R74" s="282"/>
    </row>
    <row r="75" spans="2:18" s="140" customFormat="1" ht="12.75">
      <c r="B75" s="296"/>
      <c r="C75" s="80" t="s">
        <v>320</v>
      </c>
      <c r="D75" s="34"/>
      <c r="E75" s="290">
        <v>4308</v>
      </c>
      <c r="F75" s="142">
        <f t="shared" si="14"/>
        <v>23668</v>
      </c>
      <c r="G75" s="142"/>
      <c r="H75" s="282">
        <f>N75</f>
        <v>23668</v>
      </c>
      <c r="I75" s="142">
        <f t="shared" si="15"/>
        <v>23668</v>
      </c>
      <c r="J75" s="142">
        <f t="shared" si="16"/>
        <v>0</v>
      </c>
      <c r="K75" s="142"/>
      <c r="L75" s="142"/>
      <c r="M75" s="142"/>
      <c r="N75" s="142">
        <f t="shared" si="17"/>
        <v>23668</v>
      </c>
      <c r="O75" s="142"/>
      <c r="P75" s="142"/>
      <c r="Q75" s="142"/>
      <c r="R75" s="282">
        <v>23668</v>
      </c>
    </row>
    <row r="76" spans="2:18" s="140" customFormat="1" ht="12.75">
      <c r="B76" s="296"/>
      <c r="C76" s="80" t="s">
        <v>320</v>
      </c>
      <c r="D76" s="34"/>
      <c r="E76" s="290">
        <v>4309</v>
      </c>
      <c r="F76" s="142">
        <f t="shared" si="14"/>
        <v>4177</v>
      </c>
      <c r="G76" s="142">
        <f>I76</f>
        <v>4177</v>
      </c>
      <c r="H76" s="282"/>
      <c r="I76" s="142">
        <f t="shared" si="15"/>
        <v>4177</v>
      </c>
      <c r="J76" s="142">
        <f t="shared" si="16"/>
        <v>4177</v>
      </c>
      <c r="K76" s="142"/>
      <c r="L76" s="142"/>
      <c r="M76" s="142">
        <v>4177</v>
      </c>
      <c r="N76" s="142">
        <f t="shared" si="17"/>
        <v>0</v>
      </c>
      <c r="O76" s="142"/>
      <c r="P76" s="142"/>
      <c r="Q76" s="142"/>
      <c r="R76" s="282"/>
    </row>
    <row r="77" spans="2:18" s="140" customFormat="1" ht="45">
      <c r="B77" s="296"/>
      <c r="C77" s="80" t="s">
        <v>374</v>
      </c>
      <c r="D77" s="34"/>
      <c r="E77" s="290">
        <v>4748</v>
      </c>
      <c r="F77" s="142">
        <f t="shared" si="14"/>
        <v>1275</v>
      </c>
      <c r="G77" s="142"/>
      <c r="H77" s="282">
        <f>N77</f>
        <v>1275</v>
      </c>
      <c r="I77" s="142">
        <f t="shared" si="15"/>
        <v>1275</v>
      </c>
      <c r="J77" s="142">
        <f t="shared" si="16"/>
        <v>0</v>
      </c>
      <c r="K77" s="142"/>
      <c r="L77" s="142"/>
      <c r="M77" s="142"/>
      <c r="N77" s="142">
        <f t="shared" si="17"/>
        <v>1275</v>
      </c>
      <c r="O77" s="142"/>
      <c r="P77" s="142"/>
      <c r="Q77" s="142"/>
      <c r="R77" s="282">
        <v>1275</v>
      </c>
    </row>
    <row r="78" spans="2:18" s="140" customFormat="1" ht="45">
      <c r="B78" s="296"/>
      <c r="C78" s="80" t="s">
        <v>374</v>
      </c>
      <c r="D78" s="34"/>
      <c r="E78" s="290">
        <v>4749</v>
      </c>
      <c r="F78" s="142">
        <f t="shared" si="14"/>
        <v>225</v>
      </c>
      <c r="G78" s="142">
        <f>I78</f>
        <v>225</v>
      </c>
      <c r="H78" s="282"/>
      <c r="I78" s="142">
        <f t="shared" si="15"/>
        <v>225</v>
      </c>
      <c r="J78" s="142">
        <f t="shared" si="16"/>
        <v>225</v>
      </c>
      <c r="K78" s="142"/>
      <c r="L78" s="142"/>
      <c r="M78" s="142">
        <v>225</v>
      </c>
      <c r="N78" s="142">
        <f t="shared" si="17"/>
        <v>0</v>
      </c>
      <c r="O78" s="142"/>
      <c r="P78" s="142"/>
      <c r="Q78" s="142"/>
      <c r="R78" s="282"/>
    </row>
    <row r="79" spans="2:18" s="140" customFormat="1" ht="33.75">
      <c r="B79" s="296"/>
      <c r="C79" s="80" t="s">
        <v>417</v>
      </c>
      <c r="D79" s="34"/>
      <c r="E79" s="290">
        <v>4758</v>
      </c>
      <c r="F79" s="142">
        <f t="shared" si="14"/>
        <v>2125</v>
      </c>
      <c r="G79" s="142"/>
      <c r="H79" s="282">
        <f>N79</f>
        <v>2125</v>
      </c>
      <c r="I79" s="142">
        <f t="shared" si="15"/>
        <v>2125</v>
      </c>
      <c r="J79" s="142">
        <f t="shared" si="16"/>
        <v>0</v>
      </c>
      <c r="K79" s="142"/>
      <c r="L79" s="142"/>
      <c r="M79" s="142"/>
      <c r="N79" s="142">
        <f t="shared" si="17"/>
        <v>2125</v>
      </c>
      <c r="O79" s="142"/>
      <c r="P79" s="142"/>
      <c r="Q79" s="142"/>
      <c r="R79" s="282">
        <v>2125</v>
      </c>
    </row>
    <row r="80" spans="2:18" s="140" customFormat="1" ht="33.75">
      <c r="B80" s="296"/>
      <c r="C80" s="80" t="s">
        <v>417</v>
      </c>
      <c r="D80" s="34"/>
      <c r="E80" s="290">
        <v>4759</v>
      </c>
      <c r="F80" s="142">
        <f t="shared" si="14"/>
        <v>375</v>
      </c>
      <c r="G80" s="142">
        <f>I80</f>
        <v>375</v>
      </c>
      <c r="H80" s="282"/>
      <c r="I80" s="142">
        <f t="shared" si="15"/>
        <v>375</v>
      </c>
      <c r="J80" s="142">
        <f t="shared" si="16"/>
        <v>375</v>
      </c>
      <c r="K80" s="142"/>
      <c r="L80" s="142"/>
      <c r="M80" s="142">
        <v>375</v>
      </c>
      <c r="N80" s="142">
        <f t="shared" si="17"/>
        <v>0</v>
      </c>
      <c r="O80" s="142"/>
      <c r="P80" s="142"/>
      <c r="Q80" s="142"/>
      <c r="R80" s="282"/>
    </row>
    <row r="81" spans="2:20" s="140" customFormat="1" ht="11.25">
      <c r="B81" s="296"/>
      <c r="C81" s="136" t="s">
        <v>702</v>
      </c>
      <c r="D81" s="138"/>
      <c r="E81" s="138"/>
      <c r="F81" s="137">
        <f>G81+H81</f>
        <v>985936</v>
      </c>
      <c r="G81" s="137">
        <f>SUM(G63:G80)</f>
        <v>147891</v>
      </c>
      <c r="H81" s="137">
        <f>SUM(H63:H80)</f>
        <v>838045</v>
      </c>
      <c r="I81" s="137">
        <f>J81+N81</f>
        <v>985936</v>
      </c>
      <c r="J81" s="137">
        <f>SUM(K81:M81)</f>
        <v>147891</v>
      </c>
      <c r="K81" s="137">
        <f>SUM(K63:K80)</f>
        <v>0</v>
      </c>
      <c r="L81" s="137">
        <f>SUM(L63:L80)</f>
        <v>0</v>
      </c>
      <c r="M81" s="137">
        <f>SUM(M63:M80)</f>
        <v>147891</v>
      </c>
      <c r="N81" s="137">
        <f>O81+P81+Q81+R81</f>
        <v>838045</v>
      </c>
      <c r="O81" s="137">
        <f>SUM(O63:O80)</f>
        <v>0</v>
      </c>
      <c r="P81" s="137">
        <f>SUM(P63:P80)</f>
        <v>0</v>
      </c>
      <c r="Q81" s="137">
        <f>SUM(Q63:Q80)</f>
        <v>0</v>
      </c>
      <c r="R81" s="137">
        <f>SUM(R63:R80)</f>
        <v>838045</v>
      </c>
      <c r="T81" s="485"/>
    </row>
    <row r="82" spans="2:18" s="140" customFormat="1" ht="11.25">
      <c r="B82" s="296"/>
      <c r="C82" s="136" t="s">
        <v>701</v>
      </c>
      <c r="D82" s="138"/>
      <c r="E82" s="138"/>
      <c r="F82" s="137">
        <f>G82+H82</f>
        <v>1014064</v>
      </c>
      <c r="G82" s="137">
        <f>150834+1275</f>
        <v>152109</v>
      </c>
      <c r="H82" s="135">
        <f>854730+7225</f>
        <v>861955</v>
      </c>
      <c r="I82" s="137"/>
      <c r="J82" s="137"/>
      <c r="K82" s="138"/>
      <c r="L82" s="138"/>
      <c r="M82" s="269"/>
      <c r="N82" s="137"/>
      <c r="O82" s="138"/>
      <c r="P82" s="138"/>
      <c r="Q82" s="138"/>
      <c r="R82" s="138"/>
    </row>
    <row r="83" spans="2:18" s="140" customFormat="1" ht="11.25">
      <c r="B83" s="296"/>
      <c r="C83" s="136"/>
      <c r="D83" s="138"/>
      <c r="E83" s="138"/>
      <c r="F83" s="137"/>
      <c r="G83" s="137"/>
      <c r="H83" s="135"/>
      <c r="I83" s="137"/>
      <c r="J83" s="137"/>
      <c r="K83" s="138"/>
      <c r="L83" s="138"/>
      <c r="M83" s="269"/>
      <c r="N83" s="137"/>
      <c r="O83" s="138"/>
      <c r="P83" s="138"/>
      <c r="Q83" s="138"/>
      <c r="R83" s="138"/>
    </row>
    <row r="84" spans="2:18" s="140" customFormat="1" ht="11.25" customHeight="1">
      <c r="B84" s="296" t="s">
        <v>284</v>
      </c>
      <c r="C84" s="310" t="s">
        <v>218</v>
      </c>
      <c r="D84" s="606" t="s">
        <v>605</v>
      </c>
      <c r="E84" s="607"/>
      <c r="F84" s="607"/>
      <c r="G84" s="607"/>
      <c r="H84" s="607"/>
      <c r="I84" s="607"/>
      <c r="J84" s="607"/>
      <c r="K84" s="607"/>
      <c r="L84" s="607"/>
      <c r="M84" s="607"/>
      <c r="N84" s="607"/>
      <c r="O84" s="607"/>
      <c r="P84" s="607"/>
      <c r="Q84" s="607"/>
      <c r="R84" s="608"/>
    </row>
    <row r="85" spans="2:18" s="140" customFormat="1" ht="11.25" customHeight="1">
      <c r="B85" s="296"/>
      <c r="C85" s="307" t="s">
        <v>219</v>
      </c>
      <c r="D85" s="609"/>
      <c r="E85" s="610"/>
      <c r="F85" s="610"/>
      <c r="G85" s="610"/>
      <c r="H85" s="610"/>
      <c r="I85" s="610"/>
      <c r="J85" s="610"/>
      <c r="K85" s="610"/>
      <c r="L85" s="610"/>
      <c r="M85" s="610"/>
      <c r="N85" s="610"/>
      <c r="O85" s="610"/>
      <c r="P85" s="610"/>
      <c r="Q85" s="610"/>
      <c r="R85" s="611"/>
    </row>
    <row r="86" spans="2:18" s="140" customFormat="1" ht="11.25" customHeight="1">
      <c r="B86" s="296"/>
      <c r="C86" s="307" t="s">
        <v>220</v>
      </c>
      <c r="D86" s="609"/>
      <c r="E86" s="610"/>
      <c r="F86" s="610"/>
      <c r="G86" s="610"/>
      <c r="H86" s="610"/>
      <c r="I86" s="610"/>
      <c r="J86" s="610"/>
      <c r="K86" s="610"/>
      <c r="L86" s="610"/>
      <c r="M86" s="610"/>
      <c r="N86" s="610"/>
      <c r="O86" s="610"/>
      <c r="P86" s="610"/>
      <c r="Q86" s="610"/>
      <c r="R86" s="611"/>
    </row>
    <row r="87" spans="2:18" s="140" customFormat="1" ht="11.25" customHeight="1">
      <c r="B87" s="296"/>
      <c r="C87" s="308" t="s">
        <v>221</v>
      </c>
      <c r="D87" s="612"/>
      <c r="E87" s="613"/>
      <c r="F87" s="613"/>
      <c r="G87" s="613"/>
      <c r="H87" s="613"/>
      <c r="I87" s="613"/>
      <c r="J87" s="613"/>
      <c r="K87" s="613"/>
      <c r="L87" s="613"/>
      <c r="M87" s="613"/>
      <c r="N87" s="613"/>
      <c r="O87" s="613"/>
      <c r="P87" s="613"/>
      <c r="Q87" s="613"/>
      <c r="R87" s="614"/>
    </row>
    <row r="88" spans="2:18" s="140" customFormat="1" ht="12.75">
      <c r="B88" s="296"/>
      <c r="C88" s="311" t="s">
        <v>222</v>
      </c>
      <c r="D88" s="34"/>
      <c r="E88" s="143" t="s">
        <v>609</v>
      </c>
      <c r="F88" s="142">
        <f>F101+F102+F103</f>
        <v>307445</v>
      </c>
      <c r="G88" s="142">
        <f aca="true" t="shared" si="18" ref="G88:R88">G101+G102+G103</f>
        <v>46117</v>
      </c>
      <c r="H88" s="142">
        <f t="shared" si="18"/>
        <v>261328</v>
      </c>
      <c r="I88" s="142">
        <f t="shared" si="18"/>
        <v>148446</v>
      </c>
      <c r="J88" s="142">
        <f>J101+J102+J103</f>
        <v>22267</v>
      </c>
      <c r="K88" s="142">
        <f t="shared" si="18"/>
        <v>0</v>
      </c>
      <c r="L88" s="142">
        <f t="shared" si="18"/>
        <v>0</v>
      </c>
      <c r="M88" s="142">
        <f t="shared" si="18"/>
        <v>22267</v>
      </c>
      <c r="N88" s="142">
        <f t="shared" si="18"/>
        <v>126179</v>
      </c>
      <c r="O88" s="142">
        <f t="shared" si="18"/>
        <v>0</v>
      </c>
      <c r="P88" s="142">
        <f t="shared" si="18"/>
        <v>0</v>
      </c>
      <c r="Q88" s="142">
        <f t="shared" si="18"/>
        <v>0</v>
      </c>
      <c r="R88" s="142">
        <f t="shared" si="18"/>
        <v>126179</v>
      </c>
    </row>
    <row r="89" spans="2:18" s="140" customFormat="1" ht="22.5">
      <c r="B89" s="296"/>
      <c r="C89" s="80" t="s">
        <v>412</v>
      </c>
      <c r="D89" s="34"/>
      <c r="E89" s="290">
        <v>4118</v>
      </c>
      <c r="F89" s="142">
        <f aca="true" t="shared" si="19" ref="F89:F100">G89+H89</f>
        <v>12207</v>
      </c>
      <c r="G89" s="142">
        <f>J89</f>
        <v>0</v>
      </c>
      <c r="H89" s="282">
        <f>N89</f>
        <v>12207</v>
      </c>
      <c r="I89" s="142">
        <f>J89+N89</f>
        <v>12207</v>
      </c>
      <c r="J89" s="142">
        <f>SUM(K89:M89)</f>
        <v>0</v>
      </c>
      <c r="K89" s="142"/>
      <c r="L89" s="142"/>
      <c r="M89" s="142"/>
      <c r="N89" s="142">
        <f>SUM(O89:R89)</f>
        <v>12207</v>
      </c>
      <c r="O89" s="142"/>
      <c r="P89" s="142"/>
      <c r="Q89" s="142"/>
      <c r="R89" s="282">
        <f>'[1]budżet 2009'!$N$569</f>
        <v>12207</v>
      </c>
    </row>
    <row r="90" spans="2:18" s="140" customFormat="1" ht="22.5">
      <c r="B90" s="296"/>
      <c r="C90" s="80" t="s">
        <v>412</v>
      </c>
      <c r="D90" s="34"/>
      <c r="E90" s="290">
        <v>4119</v>
      </c>
      <c r="F90" s="142">
        <f t="shared" si="19"/>
        <v>2154</v>
      </c>
      <c r="G90" s="142">
        <f aca="true" t="shared" si="20" ref="G90:G100">J90</f>
        <v>2154</v>
      </c>
      <c r="H90" s="282"/>
      <c r="I90" s="142">
        <f aca="true" t="shared" si="21" ref="I90:I100">J90+N90</f>
        <v>2154</v>
      </c>
      <c r="J90" s="142">
        <f aca="true" t="shared" si="22" ref="J90:J100">SUM(K90:M90)</f>
        <v>2154</v>
      </c>
      <c r="K90" s="142"/>
      <c r="L90" s="142"/>
      <c r="M90" s="142">
        <f>'[1]budżet 2009'!$N$570</f>
        <v>2154</v>
      </c>
      <c r="N90" s="142">
        <f aca="true" t="shared" si="23" ref="N90:N100">SUM(O90:R90)</f>
        <v>0</v>
      </c>
      <c r="O90" s="142"/>
      <c r="P90" s="142"/>
      <c r="Q90" s="142"/>
      <c r="R90" s="282"/>
    </row>
    <row r="91" spans="2:18" s="140" customFormat="1" ht="12.75">
      <c r="B91" s="296"/>
      <c r="C91" s="80" t="s">
        <v>414</v>
      </c>
      <c r="D91" s="34"/>
      <c r="E91" s="290">
        <v>4128</v>
      </c>
      <c r="F91" s="142">
        <f t="shared" si="19"/>
        <v>1950</v>
      </c>
      <c r="G91" s="142">
        <f t="shared" si="20"/>
        <v>0</v>
      </c>
      <c r="H91" s="282">
        <f>N91</f>
        <v>1950</v>
      </c>
      <c r="I91" s="142">
        <f t="shared" si="21"/>
        <v>1950</v>
      </c>
      <c r="J91" s="142">
        <f t="shared" si="22"/>
        <v>0</v>
      </c>
      <c r="K91" s="142"/>
      <c r="L91" s="142"/>
      <c r="M91" s="142"/>
      <c r="N91" s="142">
        <f t="shared" si="23"/>
        <v>1950</v>
      </c>
      <c r="O91" s="142"/>
      <c r="P91" s="142"/>
      <c r="Q91" s="142"/>
      <c r="R91" s="282">
        <f>'[1]budżet 2009'!$N$571</f>
        <v>1950</v>
      </c>
    </row>
    <row r="92" spans="2:18" s="140" customFormat="1" ht="12.75">
      <c r="B92" s="296"/>
      <c r="C92" s="80" t="s">
        <v>414</v>
      </c>
      <c r="D92" s="34"/>
      <c r="E92" s="290">
        <v>4129</v>
      </c>
      <c r="F92" s="142">
        <f t="shared" si="19"/>
        <v>344</v>
      </c>
      <c r="G92" s="142">
        <f t="shared" si="20"/>
        <v>344</v>
      </c>
      <c r="H92" s="282"/>
      <c r="I92" s="142">
        <f t="shared" si="21"/>
        <v>344</v>
      </c>
      <c r="J92" s="142">
        <f t="shared" si="22"/>
        <v>344</v>
      </c>
      <c r="K92" s="142"/>
      <c r="L92" s="142"/>
      <c r="M92" s="142">
        <f>'[1]budżet 2009'!$N$572</f>
        <v>344</v>
      </c>
      <c r="N92" s="142">
        <f t="shared" si="23"/>
        <v>0</v>
      </c>
      <c r="O92" s="142"/>
      <c r="P92" s="142"/>
      <c r="Q92" s="142"/>
      <c r="R92" s="282"/>
    </row>
    <row r="93" spans="2:18" s="140" customFormat="1" ht="22.5">
      <c r="B93" s="296"/>
      <c r="C93" s="80" t="s">
        <v>608</v>
      </c>
      <c r="D93" s="34"/>
      <c r="E93" s="290">
        <v>4178</v>
      </c>
      <c r="F93" s="142">
        <f t="shared" si="19"/>
        <v>79575</v>
      </c>
      <c r="G93" s="142">
        <f t="shared" si="20"/>
        <v>0</v>
      </c>
      <c r="H93" s="282">
        <f>N93</f>
        <v>79575</v>
      </c>
      <c r="I93" s="142">
        <f t="shared" si="21"/>
        <v>79575</v>
      </c>
      <c r="J93" s="142">
        <f t="shared" si="22"/>
        <v>0</v>
      </c>
      <c r="K93" s="142"/>
      <c r="L93" s="142"/>
      <c r="M93" s="142"/>
      <c r="N93" s="142">
        <f t="shared" si="23"/>
        <v>79575</v>
      </c>
      <c r="O93" s="142"/>
      <c r="P93" s="142"/>
      <c r="Q93" s="142"/>
      <c r="R93" s="282">
        <f>'[1]budżet 2009'!$N$573</f>
        <v>79575</v>
      </c>
    </row>
    <row r="94" spans="2:18" s="140" customFormat="1" ht="22.5">
      <c r="B94" s="296"/>
      <c r="C94" s="80" t="s">
        <v>608</v>
      </c>
      <c r="D94" s="34"/>
      <c r="E94" s="290">
        <v>4179</v>
      </c>
      <c r="F94" s="142">
        <f t="shared" si="19"/>
        <v>14043</v>
      </c>
      <c r="G94" s="142">
        <f t="shared" si="20"/>
        <v>14043</v>
      </c>
      <c r="H94" s="282"/>
      <c r="I94" s="142">
        <f t="shared" si="21"/>
        <v>14043</v>
      </c>
      <c r="J94" s="142">
        <f t="shared" si="22"/>
        <v>14043</v>
      </c>
      <c r="K94" s="142"/>
      <c r="L94" s="142"/>
      <c r="M94" s="142">
        <f>'[1]budżet 2009'!$N$574</f>
        <v>14043</v>
      </c>
      <c r="N94" s="142">
        <f t="shared" si="23"/>
        <v>0</v>
      </c>
      <c r="O94" s="142"/>
      <c r="P94" s="142"/>
      <c r="Q94" s="142"/>
      <c r="R94" s="282"/>
    </row>
    <row r="95" spans="2:18" s="140" customFormat="1" ht="22.5">
      <c r="B95" s="296"/>
      <c r="C95" s="80" t="s">
        <v>337</v>
      </c>
      <c r="D95" s="34"/>
      <c r="E95" s="290">
        <v>4218</v>
      </c>
      <c r="F95" s="142">
        <f t="shared" si="19"/>
        <v>10409</v>
      </c>
      <c r="G95" s="142">
        <f t="shared" si="20"/>
        <v>0</v>
      </c>
      <c r="H95" s="282">
        <f>N95</f>
        <v>10409</v>
      </c>
      <c r="I95" s="142">
        <f t="shared" si="21"/>
        <v>10409</v>
      </c>
      <c r="J95" s="142">
        <f t="shared" si="22"/>
        <v>0</v>
      </c>
      <c r="K95" s="142"/>
      <c r="L95" s="142"/>
      <c r="M95" s="142"/>
      <c r="N95" s="142">
        <f t="shared" si="23"/>
        <v>10409</v>
      </c>
      <c r="O95" s="142"/>
      <c r="P95" s="142"/>
      <c r="Q95" s="142"/>
      <c r="R95" s="282">
        <f>'[1]budżet 2009'!$N$575</f>
        <v>10409</v>
      </c>
    </row>
    <row r="96" spans="2:18" s="140" customFormat="1" ht="22.5">
      <c r="B96" s="296"/>
      <c r="C96" s="80" t="s">
        <v>337</v>
      </c>
      <c r="D96" s="34"/>
      <c r="E96" s="290">
        <v>4219</v>
      </c>
      <c r="F96" s="142">
        <f t="shared" si="19"/>
        <v>1837</v>
      </c>
      <c r="G96" s="142">
        <f t="shared" si="20"/>
        <v>1837</v>
      </c>
      <c r="H96" s="282"/>
      <c r="I96" s="142">
        <f t="shared" si="21"/>
        <v>1837</v>
      </c>
      <c r="J96" s="142">
        <f t="shared" si="22"/>
        <v>1837</v>
      </c>
      <c r="K96" s="142"/>
      <c r="L96" s="142"/>
      <c r="M96" s="142">
        <f>'[1]budżet 2009'!$N$576</f>
        <v>1837</v>
      </c>
      <c r="N96" s="142">
        <f t="shared" si="23"/>
        <v>0</v>
      </c>
      <c r="O96" s="142"/>
      <c r="P96" s="142"/>
      <c r="Q96" s="142"/>
      <c r="R96" s="282"/>
    </row>
    <row r="97" spans="2:18" s="140" customFormat="1" ht="12.75">
      <c r="B97" s="296"/>
      <c r="C97" s="80" t="s">
        <v>373</v>
      </c>
      <c r="D97" s="34"/>
      <c r="E97" s="290">
        <v>4308</v>
      </c>
      <c r="F97" s="142">
        <f t="shared" si="19"/>
        <v>19549</v>
      </c>
      <c r="G97" s="142">
        <f t="shared" si="20"/>
        <v>0</v>
      </c>
      <c r="H97" s="282">
        <f>N97</f>
        <v>19549</v>
      </c>
      <c r="I97" s="142">
        <f t="shared" si="21"/>
        <v>19549</v>
      </c>
      <c r="J97" s="142">
        <f t="shared" si="22"/>
        <v>0</v>
      </c>
      <c r="K97" s="142"/>
      <c r="L97" s="142"/>
      <c r="M97" s="142"/>
      <c r="N97" s="142">
        <f t="shared" si="23"/>
        <v>19549</v>
      </c>
      <c r="O97" s="142"/>
      <c r="P97" s="142"/>
      <c r="Q97" s="142"/>
      <c r="R97" s="282">
        <f>'[1]budżet 2009'!$N$577</f>
        <v>19549</v>
      </c>
    </row>
    <row r="98" spans="2:18" s="140" customFormat="1" ht="12.75">
      <c r="B98" s="296"/>
      <c r="C98" s="80" t="s">
        <v>373</v>
      </c>
      <c r="D98" s="34"/>
      <c r="E98" s="290">
        <v>4309</v>
      </c>
      <c r="F98" s="142">
        <f t="shared" si="19"/>
        <v>3450</v>
      </c>
      <c r="G98" s="142">
        <f t="shared" si="20"/>
        <v>3450</v>
      </c>
      <c r="H98" s="282"/>
      <c r="I98" s="142">
        <f t="shared" si="21"/>
        <v>3450</v>
      </c>
      <c r="J98" s="142">
        <f t="shared" si="22"/>
        <v>3450</v>
      </c>
      <c r="K98" s="142"/>
      <c r="L98" s="142"/>
      <c r="M98" s="142">
        <f>'[1]budżet 2009'!$N$578</f>
        <v>3450</v>
      </c>
      <c r="N98" s="142">
        <f t="shared" si="23"/>
        <v>0</v>
      </c>
      <c r="O98" s="142"/>
      <c r="P98" s="142"/>
      <c r="Q98" s="142"/>
      <c r="R98" s="282"/>
    </row>
    <row r="99" spans="2:18" s="140" customFormat="1" ht="33.75">
      <c r="B99" s="296"/>
      <c r="C99" s="80" t="s">
        <v>416</v>
      </c>
      <c r="D99" s="34"/>
      <c r="E99" s="290">
        <v>4378</v>
      </c>
      <c r="F99" s="142">
        <f t="shared" si="19"/>
        <v>2489</v>
      </c>
      <c r="G99" s="142">
        <f t="shared" si="20"/>
        <v>0</v>
      </c>
      <c r="H99" s="282">
        <f>N99</f>
        <v>2489</v>
      </c>
      <c r="I99" s="142">
        <f t="shared" si="21"/>
        <v>2489</v>
      </c>
      <c r="J99" s="142">
        <f t="shared" si="22"/>
        <v>0</v>
      </c>
      <c r="K99" s="142"/>
      <c r="L99" s="142"/>
      <c r="M99" s="142"/>
      <c r="N99" s="142">
        <f t="shared" si="23"/>
        <v>2489</v>
      </c>
      <c r="O99" s="142"/>
      <c r="P99" s="142"/>
      <c r="Q99" s="142"/>
      <c r="R99" s="282">
        <f>'[1]budżet 2009'!$N$579</f>
        <v>2489</v>
      </c>
    </row>
    <row r="100" spans="2:18" s="140" customFormat="1" ht="33.75">
      <c r="B100" s="296"/>
      <c r="C100" s="80" t="s">
        <v>416</v>
      </c>
      <c r="D100" s="34"/>
      <c r="E100" s="290">
        <v>4379</v>
      </c>
      <c r="F100" s="142">
        <f t="shared" si="19"/>
        <v>439</v>
      </c>
      <c r="G100" s="142">
        <f t="shared" si="20"/>
        <v>439</v>
      </c>
      <c r="H100" s="282"/>
      <c r="I100" s="142">
        <f t="shared" si="21"/>
        <v>439</v>
      </c>
      <c r="J100" s="142">
        <f t="shared" si="22"/>
        <v>439</v>
      </c>
      <c r="K100" s="142"/>
      <c r="L100" s="142"/>
      <c r="M100" s="142">
        <f>'[1]budżet 2009'!$N$580</f>
        <v>439</v>
      </c>
      <c r="N100" s="142">
        <f t="shared" si="23"/>
        <v>0</v>
      </c>
      <c r="O100" s="142"/>
      <c r="P100" s="142"/>
      <c r="Q100" s="142"/>
      <c r="R100" s="282"/>
    </row>
    <row r="101" spans="2:18" s="140" customFormat="1" ht="11.25">
      <c r="B101" s="296"/>
      <c r="C101" s="136">
        <v>2009</v>
      </c>
      <c r="D101" s="138"/>
      <c r="E101" s="138"/>
      <c r="F101" s="137">
        <f>G101+H101</f>
        <v>148446</v>
      </c>
      <c r="G101" s="137">
        <f>SUM(G89:G100)</f>
        <v>22267</v>
      </c>
      <c r="H101" s="137">
        <f>SUM(H89:H100)</f>
        <v>126179</v>
      </c>
      <c r="I101" s="137">
        <f>J101+N101</f>
        <v>148446</v>
      </c>
      <c r="J101" s="137">
        <f>SUM(K101:M101)</f>
        <v>22267</v>
      </c>
      <c r="K101" s="137">
        <f>SUM(K89:K100)</f>
        <v>0</v>
      </c>
      <c r="L101" s="137">
        <f>SUM(L89:L100)</f>
        <v>0</v>
      </c>
      <c r="M101" s="137">
        <f>SUM(M89:M100)</f>
        <v>22267</v>
      </c>
      <c r="N101" s="137">
        <f>O101+P101+Q101+R101</f>
        <v>126179</v>
      </c>
      <c r="O101" s="137">
        <f>SUM(O89:O100)</f>
        <v>0</v>
      </c>
      <c r="P101" s="137">
        <f>SUM(P89:P100)</f>
        <v>0</v>
      </c>
      <c r="Q101" s="137">
        <f>SUM(Q89:Q100)</f>
        <v>0</v>
      </c>
      <c r="R101" s="137">
        <f>SUM(R89:R100)</f>
        <v>126179</v>
      </c>
    </row>
    <row r="102" spans="2:18" s="140" customFormat="1" ht="11.25">
      <c r="B102" s="296"/>
      <c r="C102" s="136">
        <v>2010</v>
      </c>
      <c r="D102" s="138"/>
      <c r="E102" s="138"/>
      <c r="F102" s="137">
        <f>G102+H102</f>
        <v>110487</v>
      </c>
      <c r="G102" s="137">
        <v>16573</v>
      </c>
      <c r="H102" s="135">
        <v>93914</v>
      </c>
      <c r="I102" s="137"/>
      <c r="J102" s="137"/>
      <c r="K102" s="138"/>
      <c r="L102" s="138"/>
      <c r="M102" s="269"/>
      <c r="N102" s="137"/>
      <c r="O102" s="138"/>
      <c r="P102" s="138"/>
      <c r="Q102" s="138"/>
      <c r="R102" s="138"/>
    </row>
    <row r="103" spans="2:18" s="140" customFormat="1" ht="11.25">
      <c r="B103" s="296"/>
      <c r="C103" s="136">
        <v>2008</v>
      </c>
      <c r="D103" s="138"/>
      <c r="E103" s="138"/>
      <c r="F103" s="137">
        <f>G103+H103</f>
        <v>48512</v>
      </c>
      <c r="G103" s="137">
        <v>7277</v>
      </c>
      <c r="H103" s="135">
        <v>41235</v>
      </c>
      <c r="I103" s="137"/>
      <c r="J103" s="137"/>
      <c r="K103" s="138"/>
      <c r="L103" s="138"/>
      <c r="M103" s="269"/>
      <c r="N103" s="137"/>
      <c r="O103" s="138"/>
      <c r="P103" s="138"/>
      <c r="Q103" s="138"/>
      <c r="R103" s="138"/>
    </row>
    <row r="104" spans="2:18" s="140" customFormat="1" ht="11.25" customHeight="1">
      <c r="B104" s="296" t="s">
        <v>606</v>
      </c>
      <c r="C104" s="310" t="s">
        <v>218</v>
      </c>
      <c r="D104" s="606" t="s">
        <v>703</v>
      </c>
      <c r="E104" s="607"/>
      <c r="F104" s="607"/>
      <c r="G104" s="607"/>
      <c r="H104" s="607"/>
      <c r="I104" s="607"/>
      <c r="J104" s="607"/>
      <c r="K104" s="607"/>
      <c r="L104" s="607"/>
      <c r="M104" s="607"/>
      <c r="N104" s="607"/>
      <c r="O104" s="607"/>
      <c r="P104" s="607"/>
      <c r="Q104" s="607"/>
      <c r="R104" s="608"/>
    </row>
    <row r="105" spans="2:18" s="140" customFormat="1" ht="11.25" customHeight="1">
      <c r="B105" s="296"/>
      <c r="C105" s="307" t="s">
        <v>219</v>
      </c>
      <c r="D105" s="609"/>
      <c r="E105" s="610"/>
      <c r="F105" s="610"/>
      <c r="G105" s="610"/>
      <c r="H105" s="610"/>
      <c r="I105" s="610"/>
      <c r="J105" s="610"/>
      <c r="K105" s="610"/>
      <c r="L105" s="610"/>
      <c r="M105" s="610"/>
      <c r="N105" s="610"/>
      <c r="O105" s="610"/>
      <c r="P105" s="610"/>
      <c r="Q105" s="610"/>
      <c r="R105" s="611"/>
    </row>
    <row r="106" spans="2:18" s="140" customFormat="1" ht="11.25" customHeight="1">
      <c r="B106" s="296"/>
      <c r="C106" s="307" t="s">
        <v>220</v>
      </c>
      <c r="D106" s="609"/>
      <c r="E106" s="610"/>
      <c r="F106" s="610"/>
      <c r="G106" s="610"/>
      <c r="H106" s="610"/>
      <c r="I106" s="610"/>
      <c r="J106" s="610"/>
      <c r="K106" s="610"/>
      <c r="L106" s="610"/>
      <c r="M106" s="610"/>
      <c r="N106" s="610"/>
      <c r="O106" s="610"/>
      <c r="P106" s="610"/>
      <c r="Q106" s="610"/>
      <c r="R106" s="611"/>
    </row>
    <row r="107" spans="2:18" s="140" customFormat="1" ht="11.25" customHeight="1">
      <c r="B107" s="296"/>
      <c r="C107" s="308" t="s">
        <v>221</v>
      </c>
      <c r="D107" s="612"/>
      <c r="E107" s="613"/>
      <c r="F107" s="613"/>
      <c r="G107" s="613"/>
      <c r="H107" s="613"/>
      <c r="I107" s="613"/>
      <c r="J107" s="613"/>
      <c r="K107" s="613"/>
      <c r="L107" s="613"/>
      <c r="M107" s="613"/>
      <c r="N107" s="613"/>
      <c r="O107" s="613"/>
      <c r="P107" s="613"/>
      <c r="Q107" s="613"/>
      <c r="R107" s="614"/>
    </row>
    <row r="108" spans="2:18" s="140" customFormat="1" ht="12.75">
      <c r="B108" s="296"/>
      <c r="C108" s="311" t="s">
        <v>222</v>
      </c>
      <c r="D108" s="34"/>
      <c r="E108" s="143" t="s">
        <v>609</v>
      </c>
      <c r="F108" s="142">
        <f>F125+F126</f>
        <v>229513</v>
      </c>
      <c r="G108" s="142">
        <f aca="true" t="shared" si="24" ref="G108:R108">G125+G126</f>
        <v>34377</v>
      </c>
      <c r="H108" s="142">
        <f t="shared" si="24"/>
        <v>195136</v>
      </c>
      <c r="I108" s="142">
        <f t="shared" si="24"/>
        <v>121078</v>
      </c>
      <c r="J108" s="142">
        <f t="shared" si="24"/>
        <v>18112</v>
      </c>
      <c r="K108" s="142">
        <f t="shared" si="24"/>
        <v>0</v>
      </c>
      <c r="L108" s="142">
        <f t="shared" si="24"/>
        <v>0</v>
      </c>
      <c r="M108" s="142">
        <f t="shared" si="24"/>
        <v>18112</v>
      </c>
      <c r="N108" s="142">
        <f t="shared" si="24"/>
        <v>102966</v>
      </c>
      <c r="O108" s="142">
        <f t="shared" si="24"/>
        <v>0</v>
      </c>
      <c r="P108" s="142">
        <f t="shared" si="24"/>
        <v>0</v>
      </c>
      <c r="Q108" s="142">
        <f t="shared" si="24"/>
        <v>0</v>
      </c>
      <c r="R108" s="282">
        <f t="shared" si="24"/>
        <v>102966</v>
      </c>
    </row>
    <row r="109" spans="2:18" s="140" customFormat="1" ht="22.5">
      <c r="B109" s="296"/>
      <c r="C109" s="80" t="s">
        <v>412</v>
      </c>
      <c r="D109" s="34"/>
      <c r="E109" s="290">
        <v>4118</v>
      </c>
      <c r="F109" s="142">
        <f aca="true" t="shared" si="25" ref="F109:F124">G109+H109</f>
        <v>9708</v>
      </c>
      <c r="G109" s="142">
        <f>J109</f>
        <v>0</v>
      </c>
      <c r="H109" s="282">
        <f>N109</f>
        <v>9708</v>
      </c>
      <c r="I109" s="142"/>
      <c r="J109" s="142">
        <f>SUM(K109:M109)</f>
        <v>0</v>
      </c>
      <c r="K109" s="142"/>
      <c r="L109" s="142"/>
      <c r="M109" s="142"/>
      <c r="N109" s="142">
        <f>SUM(O109:R109)</f>
        <v>9708</v>
      </c>
      <c r="O109" s="142"/>
      <c r="P109" s="142"/>
      <c r="Q109" s="142"/>
      <c r="R109" s="282">
        <f>'[1]budżet 2009'!$N$552</f>
        <v>9708</v>
      </c>
    </row>
    <row r="110" spans="2:18" s="140" customFormat="1" ht="22.5">
      <c r="B110" s="296"/>
      <c r="C110" s="80" t="s">
        <v>412</v>
      </c>
      <c r="D110" s="34"/>
      <c r="E110" s="290">
        <v>4119</v>
      </c>
      <c r="F110" s="142">
        <f t="shared" si="25"/>
        <v>1713</v>
      </c>
      <c r="G110" s="142">
        <f aca="true" t="shared" si="26" ref="G110:G124">J110</f>
        <v>1713</v>
      </c>
      <c r="H110" s="282">
        <f aca="true" t="shared" si="27" ref="H110:H124">N110</f>
        <v>0</v>
      </c>
      <c r="I110" s="142">
        <f>J110+N110</f>
        <v>1713</v>
      </c>
      <c r="J110" s="142">
        <f aca="true" t="shared" si="28" ref="J110:J124">SUM(K110:M110)</f>
        <v>1713</v>
      </c>
      <c r="K110" s="142"/>
      <c r="L110" s="142"/>
      <c r="M110" s="142">
        <f>'[1]budżet 2009'!$N$553</f>
        <v>1713</v>
      </c>
      <c r="N110" s="142">
        <f aca="true" t="shared" si="29" ref="N110:N124">SUM(O110:R110)</f>
        <v>0</v>
      </c>
      <c r="O110" s="142"/>
      <c r="P110" s="142"/>
      <c r="Q110" s="142"/>
      <c r="R110" s="282"/>
    </row>
    <row r="111" spans="2:18" s="140" customFormat="1" ht="12.75">
      <c r="B111" s="296"/>
      <c r="C111" s="80" t="s">
        <v>414</v>
      </c>
      <c r="D111" s="34"/>
      <c r="E111" s="290">
        <v>4128</v>
      </c>
      <c r="F111" s="142">
        <f t="shared" si="25"/>
        <v>1550</v>
      </c>
      <c r="G111" s="142">
        <f t="shared" si="26"/>
        <v>0</v>
      </c>
      <c r="H111" s="282">
        <f t="shared" si="27"/>
        <v>1550</v>
      </c>
      <c r="I111" s="142">
        <f aca="true" t="shared" si="30" ref="I111:I124">J111+N111</f>
        <v>1550</v>
      </c>
      <c r="J111" s="142">
        <f t="shared" si="28"/>
        <v>0</v>
      </c>
      <c r="K111" s="142"/>
      <c r="L111" s="142"/>
      <c r="M111" s="142"/>
      <c r="N111" s="142">
        <f t="shared" si="29"/>
        <v>1550</v>
      </c>
      <c r="O111" s="142"/>
      <c r="P111" s="142"/>
      <c r="Q111" s="142"/>
      <c r="R111" s="282">
        <f>'[1]budżet 2009'!$N$554</f>
        <v>1550</v>
      </c>
    </row>
    <row r="112" spans="2:18" s="140" customFormat="1" ht="12.75">
      <c r="B112" s="296"/>
      <c r="C112" s="80" t="s">
        <v>414</v>
      </c>
      <c r="D112" s="34"/>
      <c r="E112" s="290">
        <v>4129</v>
      </c>
      <c r="F112" s="142">
        <f t="shared" si="25"/>
        <v>274</v>
      </c>
      <c r="G112" s="142">
        <f t="shared" si="26"/>
        <v>274</v>
      </c>
      <c r="H112" s="282">
        <f t="shared" si="27"/>
        <v>0</v>
      </c>
      <c r="I112" s="142">
        <f t="shared" si="30"/>
        <v>274</v>
      </c>
      <c r="J112" s="142">
        <f t="shared" si="28"/>
        <v>274</v>
      </c>
      <c r="K112" s="142"/>
      <c r="L112" s="142"/>
      <c r="M112" s="142">
        <f>'[1]budżet 2009'!$N$555</f>
        <v>274</v>
      </c>
      <c r="N112" s="142">
        <f t="shared" si="29"/>
        <v>0</v>
      </c>
      <c r="O112" s="142"/>
      <c r="P112" s="142"/>
      <c r="Q112" s="142"/>
      <c r="R112" s="282"/>
    </row>
    <row r="113" spans="2:18" s="140" customFormat="1" ht="22.5">
      <c r="B113" s="296"/>
      <c r="C113" s="80" t="s">
        <v>371</v>
      </c>
      <c r="D113" s="34"/>
      <c r="E113" s="290">
        <v>4178</v>
      </c>
      <c r="F113" s="142">
        <f t="shared" si="25"/>
        <v>63284</v>
      </c>
      <c r="G113" s="142">
        <f t="shared" si="26"/>
        <v>0</v>
      </c>
      <c r="H113" s="282">
        <f t="shared" si="27"/>
        <v>63284</v>
      </c>
      <c r="I113" s="142">
        <f t="shared" si="30"/>
        <v>63284</v>
      </c>
      <c r="J113" s="142">
        <f t="shared" si="28"/>
        <v>0</v>
      </c>
      <c r="K113" s="142"/>
      <c r="L113" s="142"/>
      <c r="M113" s="142"/>
      <c r="N113" s="142">
        <f t="shared" si="29"/>
        <v>63284</v>
      </c>
      <c r="O113" s="142"/>
      <c r="P113" s="142"/>
      <c r="Q113" s="142"/>
      <c r="R113" s="282">
        <f>'[1]budżet 2009'!$N$556</f>
        <v>63284</v>
      </c>
    </row>
    <row r="114" spans="2:18" s="140" customFormat="1" ht="22.5">
      <c r="B114" s="296"/>
      <c r="C114" s="80" t="s">
        <v>371</v>
      </c>
      <c r="D114" s="34"/>
      <c r="E114" s="290">
        <v>4179</v>
      </c>
      <c r="F114" s="142">
        <f t="shared" si="25"/>
        <v>11168</v>
      </c>
      <c r="G114" s="142">
        <f t="shared" si="26"/>
        <v>11168</v>
      </c>
      <c r="H114" s="282">
        <f t="shared" si="27"/>
        <v>0</v>
      </c>
      <c r="I114" s="142">
        <f t="shared" si="30"/>
        <v>11168</v>
      </c>
      <c r="J114" s="142">
        <f t="shared" si="28"/>
        <v>11168</v>
      </c>
      <c r="K114" s="142"/>
      <c r="L114" s="142"/>
      <c r="M114" s="142">
        <f>'[1]budżet 2009'!$N$557</f>
        <v>11168</v>
      </c>
      <c r="N114" s="142">
        <f t="shared" si="29"/>
        <v>0</v>
      </c>
      <c r="O114" s="142"/>
      <c r="P114" s="142"/>
      <c r="Q114" s="142"/>
      <c r="R114" s="282"/>
    </row>
    <row r="115" spans="2:18" s="140" customFormat="1" ht="22.5">
      <c r="B115" s="296"/>
      <c r="C115" s="80" t="s">
        <v>337</v>
      </c>
      <c r="D115" s="34"/>
      <c r="E115" s="290">
        <v>4218</v>
      </c>
      <c r="F115" s="142">
        <f t="shared" si="25"/>
        <v>12936</v>
      </c>
      <c r="G115" s="142">
        <f t="shared" si="26"/>
        <v>0</v>
      </c>
      <c r="H115" s="282">
        <f t="shared" si="27"/>
        <v>12936</v>
      </c>
      <c r="I115" s="142">
        <f t="shared" si="30"/>
        <v>12936</v>
      </c>
      <c r="J115" s="142">
        <f t="shared" si="28"/>
        <v>0</v>
      </c>
      <c r="K115" s="142"/>
      <c r="L115" s="142"/>
      <c r="M115" s="142"/>
      <c r="N115" s="142">
        <f t="shared" si="29"/>
        <v>12936</v>
      </c>
      <c r="O115" s="142"/>
      <c r="P115" s="142"/>
      <c r="Q115" s="142"/>
      <c r="R115" s="282">
        <f>'[1]budżet 2009'!$N$558</f>
        <v>12936</v>
      </c>
    </row>
    <row r="116" spans="2:18" s="140" customFormat="1" ht="22.5">
      <c r="B116" s="296"/>
      <c r="C116" s="80" t="s">
        <v>337</v>
      </c>
      <c r="D116" s="34"/>
      <c r="E116" s="290">
        <v>4219</v>
      </c>
      <c r="F116" s="142">
        <f t="shared" si="25"/>
        <v>2283</v>
      </c>
      <c r="G116" s="142">
        <f t="shared" si="26"/>
        <v>2283</v>
      </c>
      <c r="H116" s="282">
        <f t="shared" si="27"/>
        <v>0</v>
      </c>
      <c r="I116" s="142">
        <f t="shared" si="30"/>
        <v>2283</v>
      </c>
      <c r="J116" s="142">
        <f t="shared" si="28"/>
        <v>2283</v>
      </c>
      <c r="K116" s="142"/>
      <c r="L116" s="142"/>
      <c r="M116" s="142">
        <f>'[1]budżet 2009'!$N$559</f>
        <v>2283</v>
      </c>
      <c r="N116" s="142">
        <f t="shared" si="29"/>
        <v>0</v>
      </c>
      <c r="O116" s="142"/>
      <c r="P116" s="142"/>
      <c r="Q116" s="142"/>
      <c r="R116" s="282"/>
    </row>
    <row r="117" spans="2:18" s="140" customFormat="1" ht="12.75">
      <c r="B117" s="296"/>
      <c r="C117" s="80" t="s">
        <v>610</v>
      </c>
      <c r="D117" s="34"/>
      <c r="E117" s="290">
        <v>4268</v>
      </c>
      <c r="F117" s="142">
        <f t="shared" si="25"/>
        <v>1018</v>
      </c>
      <c r="G117" s="142">
        <f t="shared" si="26"/>
        <v>0</v>
      </c>
      <c r="H117" s="282">
        <f t="shared" si="27"/>
        <v>1018</v>
      </c>
      <c r="I117" s="142">
        <f t="shared" si="30"/>
        <v>1018</v>
      </c>
      <c r="J117" s="142">
        <f t="shared" si="28"/>
        <v>0</v>
      </c>
      <c r="K117" s="142"/>
      <c r="L117" s="142"/>
      <c r="M117" s="142"/>
      <c r="N117" s="142">
        <f t="shared" si="29"/>
        <v>1018</v>
      </c>
      <c r="O117" s="142"/>
      <c r="P117" s="142"/>
      <c r="Q117" s="142"/>
      <c r="R117" s="282">
        <f>'[1]budżet 2009'!$N$560</f>
        <v>1018</v>
      </c>
    </row>
    <row r="118" spans="2:18" s="140" customFormat="1" ht="12.75">
      <c r="B118" s="296"/>
      <c r="C118" s="80" t="s">
        <v>610</v>
      </c>
      <c r="D118" s="34"/>
      <c r="E118" s="290">
        <v>4269</v>
      </c>
      <c r="F118" s="142">
        <f t="shared" si="25"/>
        <v>180</v>
      </c>
      <c r="G118" s="142">
        <f t="shared" si="26"/>
        <v>180</v>
      </c>
      <c r="H118" s="282">
        <f t="shared" si="27"/>
        <v>0</v>
      </c>
      <c r="I118" s="142">
        <f t="shared" si="30"/>
        <v>180</v>
      </c>
      <c r="J118" s="142">
        <f t="shared" si="28"/>
        <v>180</v>
      </c>
      <c r="K118" s="142"/>
      <c r="L118" s="142"/>
      <c r="M118" s="142">
        <f>'[1]budżet 2009'!$N$561</f>
        <v>180</v>
      </c>
      <c r="N118" s="142">
        <f t="shared" si="29"/>
        <v>0</v>
      </c>
      <c r="O118" s="142"/>
      <c r="P118" s="142"/>
      <c r="Q118" s="142"/>
      <c r="R118" s="282"/>
    </row>
    <row r="119" spans="2:18" s="140" customFormat="1" ht="33.75">
      <c r="B119" s="296"/>
      <c r="C119" s="80" t="s">
        <v>416</v>
      </c>
      <c r="D119" s="34"/>
      <c r="E119" s="290">
        <v>4378</v>
      </c>
      <c r="F119" s="142">
        <f t="shared" si="25"/>
        <v>1109</v>
      </c>
      <c r="G119" s="142">
        <f t="shared" si="26"/>
        <v>0</v>
      </c>
      <c r="H119" s="282">
        <f t="shared" si="27"/>
        <v>1109</v>
      </c>
      <c r="I119" s="142">
        <f t="shared" si="30"/>
        <v>1109</v>
      </c>
      <c r="J119" s="142">
        <f t="shared" si="28"/>
        <v>0</v>
      </c>
      <c r="K119" s="142"/>
      <c r="L119" s="142"/>
      <c r="M119" s="142"/>
      <c r="N119" s="142">
        <f t="shared" si="29"/>
        <v>1109</v>
      </c>
      <c r="O119" s="142"/>
      <c r="P119" s="142"/>
      <c r="Q119" s="142"/>
      <c r="R119" s="282">
        <f>'[1]budżet 2009'!$N$564</f>
        <v>1109</v>
      </c>
    </row>
    <row r="120" spans="2:18" s="140" customFormat="1" ht="33.75">
      <c r="B120" s="296"/>
      <c r="C120" s="80" t="s">
        <v>416</v>
      </c>
      <c r="D120" s="34"/>
      <c r="E120" s="290">
        <v>4379</v>
      </c>
      <c r="F120" s="142">
        <f t="shared" si="25"/>
        <v>196</v>
      </c>
      <c r="G120" s="142">
        <f t="shared" si="26"/>
        <v>196</v>
      </c>
      <c r="H120" s="282">
        <f t="shared" si="27"/>
        <v>0</v>
      </c>
      <c r="I120" s="142">
        <f t="shared" si="30"/>
        <v>196</v>
      </c>
      <c r="J120" s="142">
        <f t="shared" si="28"/>
        <v>196</v>
      </c>
      <c r="K120" s="142"/>
      <c r="L120" s="142"/>
      <c r="M120" s="142">
        <f>'[1]budżet 2009'!$N$565</f>
        <v>196</v>
      </c>
      <c r="N120" s="142">
        <f t="shared" si="29"/>
        <v>0</v>
      </c>
      <c r="O120" s="142"/>
      <c r="P120" s="142"/>
      <c r="Q120" s="142"/>
      <c r="R120" s="282"/>
    </row>
    <row r="121" spans="2:18" s="140" customFormat="1" ht="12.75">
      <c r="B121" s="296"/>
      <c r="C121" s="80" t="s">
        <v>320</v>
      </c>
      <c r="D121" s="34"/>
      <c r="E121" s="290">
        <v>4308</v>
      </c>
      <c r="F121" s="142">
        <f t="shared" si="25"/>
        <v>13021</v>
      </c>
      <c r="G121" s="142">
        <f t="shared" si="26"/>
        <v>0</v>
      </c>
      <c r="H121" s="282">
        <f t="shared" si="27"/>
        <v>13021</v>
      </c>
      <c r="I121" s="142">
        <f t="shared" si="30"/>
        <v>13021</v>
      </c>
      <c r="J121" s="142">
        <f t="shared" si="28"/>
        <v>0</v>
      </c>
      <c r="K121" s="142"/>
      <c r="L121" s="142"/>
      <c r="M121" s="142"/>
      <c r="N121" s="142">
        <f t="shared" si="29"/>
        <v>13021</v>
      </c>
      <c r="O121" s="142"/>
      <c r="P121" s="142"/>
      <c r="Q121" s="142"/>
      <c r="R121" s="282">
        <f>'[1]budżet 2009'!$N$562</f>
        <v>13021</v>
      </c>
    </row>
    <row r="122" spans="2:18" s="140" customFormat="1" ht="12.75">
      <c r="B122" s="296"/>
      <c r="C122" s="80" t="s">
        <v>320</v>
      </c>
      <c r="D122" s="34"/>
      <c r="E122" s="290">
        <v>4309</v>
      </c>
      <c r="F122" s="142">
        <f t="shared" si="25"/>
        <v>2298</v>
      </c>
      <c r="G122" s="142">
        <f t="shared" si="26"/>
        <v>2298</v>
      </c>
      <c r="H122" s="282">
        <f t="shared" si="27"/>
        <v>0</v>
      </c>
      <c r="I122" s="142">
        <f t="shared" si="30"/>
        <v>2298</v>
      </c>
      <c r="J122" s="142">
        <f t="shared" si="28"/>
        <v>2298</v>
      </c>
      <c r="K122" s="142"/>
      <c r="L122" s="142"/>
      <c r="M122" s="142">
        <f>'[1]budżet 2009'!$N$563</f>
        <v>2298</v>
      </c>
      <c r="N122" s="142">
        <f t="shared" si="29"/>
        <v>0</v>
      </c>
      <c r="O122" s="142"/>
      <c r="P122" s="142"/>
      <c r="Q122" s="142"/>
      <c r="R122" s="282"/>
    </row>
    <row r="123" spans="2:18" s="140" customFormat="1" ht="33.75">
      <c r="B123" s="296"/>
      <c r="C123" s="80" t="s">
        <v>417</v>
      </c>
      <c r="D123" s="34"/>
      <c r="E123" s="290">
        <v>4758</v>
      </c>
      <c r="F123" s="142">
        <f t="shared" si="25"/>
        <v>340</v>
      </c>
      <c r="G123" s="142">
        <f t="shared" si="26"/>
        <v>0</v>
      </c>
      <c r="H123" s="282">
        <f t="shared" si="27"/>
        <v>340</v>
      </c>
      <c r="I123" s="142">
        <f t="shared" si="30"/>
        <v>340</v>
      </c>
      <c r="J123" s="142">
        <f t="shared" si="28"/>
        <v>0</v>
      </c>
      <c r="K123" s="142"/>
      <c r="L123" s="142"/>
      <c r="M123" s="142"/>
      <c r="N123" s="142">
        <f t="shared" si="29"/>
        <v>340</v>
      </c>
      <c r="O123" s="142"/>
      <c r="P123" s="142"/>
      <c r="Q123" s="142"/>
      <c r="R123" s="282">
        <f>'[1]budżet 2009'!$N$566</f>
        <v>340</v>
      </c>
    </row>
    <row r="124" spans="2:18" s="140" customFormat="1" ht="33.75">
      <c r="B124" s="296"/>
      <c r="C124" s="80" t="s">
        <v>417</v>
      </c>
      <c r="D124" s="34"/>
      <c r="E124" s="290">
        <v>4759</v>
      </c>
      <c r="F124" s="142">
        <f t="shared" si="25"/>
        <v>0</v>
      </c>
      <c r="G124" s="142">
        <f t="shared" si="26"/>
        <v>0</v>
      </c>
      <c r="H124" s="282">
        <f t="shared" si="27"/>
        <v>0</v>
      </c>
      <c r="I124" s="142">
        <f t="shared" si="30"/>
        <v>0</v>
      </c>
      <c r="J124" s="142">
        <f t="shared" si="28"/>
        <v>0</v>
      </c>
      <c r="K124" s="142"/>
      <c r="L124" s="142"/>
      <c r="M124" s="142">
        <f>'[1]budżet 2009'!$O$56</f>
        <v>0</v>
      </c>
      <c r="N124" s="142">
        <f t="shared" si="29"/>
        <v>0</v>
      </c>
      <c r="O124" s="142"/>
      <c r="P124" s="142"/>
      <c r="Q124" s="142"/>
      <c r="R124" s="282"/>
    </row>
    <row r="125" spans="2:18" s="140" customFormat="1" ht="11.25">
      <c r="B125" s="296"/>
      <c r="C125" s="136">
        <v>2009</v>
      </c>
      <c r="D125" s="138"/>
      <c r="E125" s="138"/>
      <c r="F125" s="137">
        <f>G125+H125</f>
        <v>121078</v>
      </c>
      <c r="G125" s="137">
        <f>SUM(G109:G124)</f>
        <v>18112</v>
      </c>
      <c r="H125" s="137">
        <f>SUM(H109:H124)</f>
        <v>102966</v>
      </c>
      <c r="I125" s="137">
        <f>J125+N125</f>
        <v>121078</v>
      </c>
      <c r="J125" s="137">
        <f>SUM(K125:M125)</f>
        <v>18112</v>
      </c>
      <c r="K125" s="137">
        <f>SUM(K109:K124)</f>
        <v>0</v>
      </c>
      <c r="L125" s="137">
        <f>SUM(L109:L124)</f>
        <v>0</v>
      </c>
      <c r="M125" s="137">
        <f>SUM(M109:M124)</f>
        <v>18112</v>
      </c>
      <c r="N125" s="137">
        <f>O125+P125+Q125+R125</f>
        <v>102966</v>
      </c>
      <c r="O125" s="137">
        <f>SUM(O109:O124)</f>
        <v>0</v>
      </c>
      <c r="P125" s="137">
        <f>SUM(P109:P124)</f>
        <v>0</v>
      </c>
      <c r="Q125" s="137">
        <f>SUM(Q109:Q124)</f>
        <v>0</v>
      </c>
      <c r="R125" s="137">
        <f>SUM(R109:R124)</f>
        <v>102966</v>
      </c>
    </row>
    <row r="126" spans="2:18" s="140" customFormat="1" ht="11.25">
      <c r="B126" s="296"/>
      <c r="C126" s="136">
        <v>2008</v>
      </c>
      <c r="D126" s="138"/>
      <c r="E126" s="138"/>
      <c r="F126" s="137">
        <f>G126+H126</f>
        <v>108435</v>
      </c>
      <c r="G126" s="137">
        <v>16265</v>
      </c>
      <c r="H126" s="135">
        <v>92170</v>
      </c>
      <c r="I126" s="137"/>
      <c r="J126" s="137"/>
      <c r="K126" s="138"/>
      <c r="L126" s="138"/>
      <c r="M126" s="269"/>
      <c r="N126" s="137"/>
      <c r="O126" s="138"/>
      <c r="P126" s="138"/>
      <c r="Q126" s="138"/>
      <c r="R126" s="138"/>
    </row>
    <row r="127" spans="2:18" s="140" customFormat="1" ht="11.25" customHeight="1">
      <c r="B127" s="296" t="s">
        <v>705</v>
      </c>
      <c r="C127" s="310" t="s">
        <v>218</v>
      </c>
      <c r="D127" s="606" t="s">
        <v>704</v>
      </c>
      <c r="E127" s="607"/>
      <c r="F127" s="607"/>
      <c r="G127" s="607"/>
      <c r="H127" s="607"/>
      <c r="I127" s="607"/>
      <c r="J127" s="607"/>
      <c r="K127" s="607"/>
      <c r="L127" s="607"/>
      <c r="M127" s="607"/>
      <c r="N127" s="607"/>
      <c r="O127" s="607"/>
      <c r="P127" s="607"/>
      <c r="Q127" s="607"/>
      <c r="R127" s="608"/>
    </row>
    <row r="128" spans="2:18" s="140" customFormat="1" ht="11.25" customHeight="1">
      <c r="B128" s="296"/>
      <c r="C128" s="307" t="s">
        <v>219</v>
      </c>
      <c r="D128" s="609"/>
      <c r="E128" s="610"/>
      <c r="F128" s="610"/>
      <c r="G128" s="610"/>
      <c r="H128" s="610"/>
      <c r="I128" s="610"/>
      <c r="J128" s="610"/>
      <c r="K128" s="610"/>
      <c r="L128" s="610"/>
      <c r="M128" s="610"/>
      <c r="N128" s="610"/>
      <c r="O128" s="610"/>
      <c r="P128" s="610"/>
      <c r="Q128" s="610"/>
      <c r="R128" s="611"/>
    </row>
    <row r="129" spans="2:18" s="140" customFormat="1" ht="11.25" customHeight="1">
      <c r="B129" s="296"/>
      <c r="C129" s="307" t="s">
        <v>220</v>
      </c>
      <c r="D129" s="609"/>
      <c r="E129" s="610"/>
      <c r="F129" s="610"/>
      <c r="G129" s="610"/>
      <c r="H129" s="610"/>
      <c r="I129" s="610"/>
      <c r="J129" s="610"/>
      <c r="K129" s="610"/>
      <c r="L129" s="610"/>
      <c r="M129" s="610"/>
      <c r="N129" s="610"/>
      <c r="O129" s="610"/>
      <c r="P129" s="610"/>
      <c r="Q129" s="610"/>
      <c r="R129" s="611"/>
    </row>
    <row r="130" spans="2:18" s="140" customFormat="1" ht="11.25" customHeight="1">
      <c r="B130" s="296"/>
      <c r="C130" s="308" t="s">
        <v>221</v>
      </c>
      <c r="D130" s="612"/>
      <c r="E130" s="613"/>
      <c r="F130" s="613"/>
      <c r="G130" s="613"/>
      <c r="H130" s="613"/>
      <c r="I130" s="613"/>
      <c r="J130" s="613"/>
      <c r="K130" s="613"/>
      <c r="L130" s="613"/>
      <c r="M130" s="613"/>
      <c r="N130" s="613"/>
      <c r="O130" s="613"/>
      <c r="P130" s="613"/>
      <c r="Q130" s="613"/>
      <c r="R130" s="614"/>
    </row>
    <row r="131" spans="2:18" s="140" customFormat="1" ht="12.75">
      <c r="B131" s="296"/>
      <c r="C131" s="311" t="s">
        <v>222</v>
      </c>
      <c r="D131" s="34"/>
      <c r="E131" s="143" t="s">
        <v>365</v>
      </c>
      <c r="F131" s="142">
        <f>F146</f>
        <v>125130</v>
      </c>
      <c r="G131" s="142">
        <f aca="true" t="shared" si="31" ref="G131:R131">G146</f>
        <v>18769</v>
      </c>
      <c r="H131" s="142">
        <f t="shared" si="31"/>
        <v>106361</v>
      </c>
      <c r="I131" s="142">
        <f t="shared" si="31"/>
        <v>125130</v>
      </c>
      <c r="J131" s="142">
        <f t="shared" si="31"/>
        <v>18769</v>
      </c>
      <c r="K131" s="142">
        <f t="shared" si="31"/>
        <v>0</v>
      </c>
      <c r="L131" s="142">
        <f t="shared" si="31"/>
        <v>0</v>
      </c>
      <c r="M131" s="142">
        <f t="shared" si="31"/>
        <v>18769</v>
      </c>
      <c r="N131" s="142">
        <f t="shared" si="31"/>
        <v>106361</v>
      </c>
      <c r="O131" s="142">
        <f t="shared" si="31"/>
        <v>0</v>
      </c>
      <c r="P131" s="142">
        <f t="shared" si="31"/>
        <v>0</v>
      </c>
      <c r="Q131" s="142">
        <f t="shared" si="31"/>
        <v>0</v>
      </c>
      <c r="R131" s="119">
        <f t="shared" si="31"/>
        <v>106361</v>
      </c>
    </row>
    <row r="132" spans="2:18" s="140" customFormat="1" ht="22.5">
      <c r="B132" s="296"/>
      <c r="C132" s="80" t="s">
        <v>412</v>
      </c>
      <c r="D132" s="34"/>
      <c r="E132" s="290">
        <v>4118</v>
      </c>
      <c r="F132" s="142">
        <f aca="true" t="shared" si="32" ref="F132:F145">G132+H132</f>
        <v>9718</v>
      </c>
      <c r="G132" s="142"/>
      <c r="H132" s="282">
        <f>R132</f>
        <v>9718</v>
      </c>
      <c r="I132" s="142">
        <f aca="true" t="shared" si="33" ref="I132:I145">J132+N132</f>
        <v>9718</v>
      </c>
      <c r="J132" s="142">
        <f aca="true" t="shared" si="34" ref="J132:J145">SUM(K132:M132)</f>
        <v>0</v>
      </c>
      <c r="K132" s="142"/>
      <c r="L132" s="142"/>
      <c r="M132" s="142"/>
      <c r="N132" s="142">
        <f aca="true" t="shared" si="35" ref="N132:N145">SUM(O132:R132)</f>
        <v>9718</v>
      </c>
      <c r="O132" s="142"/>
      <c r="P132" s="142"/>
      <c r="Q132" s="142"/>
      <c r="R132" s="282">
        <f>'[1]budżet 2009'!$N$600</f>
        <v>9718</v>
      </c>
    </row>
    <row r="133" spans="2:18" s="140" customFormat="1" ht="22.5">
      <c r="B133" s="296"/>
      <c r="C133" s="80" t="s">
        <v>412</v>
      </c>
      <c r="D133" s="34"/>
      <c r="E133" s="290">
        <v>4119</v>
      </c>
      <c r="F133" s="142">
        <f t="shared" si="32"/>
        <v>1715</v>
      </c>
      <c r="G133" s="142">
        <f>M133</f>
        <v>1715</v>
      </c>
      <c r="H133" s="282"/>
      <c r="I133" s="142">
        <f t="shared" si="33"/>
        <v>1715</v>
      </c>
      <c r="J133" s="142">
        <f t="shared" si="34"/>
        <v>1715</v>
      </c>
      <c r="K133" s="142"/>
      <c r="L133" s="142"/>
      <c r="M133" s="142">
        <f>'[1]budżet 2009'!$N$601</f>
        <v>1715</v>
      </c>
      <c r="N133" s="142">
        <f t="shared" si="35"/>
        <v>0</v>
      </c>
      <c r="O133" s="142"/>
      <c r="P133" s="142"/>
      <c r="Q133" s="142"/>
      <c r="R133" s="282"/>
    </row>
    <row r="134" spans="2:18" s="140" customFormat="1" ht="12.75">
      <c r="B134" s="296"/>
      <c r="C134" s="80" t="s">
        <v>414</v>
      </c>
      <c r="D134" s="34"/>
      <c r="E134" s="290">
        <v>4128</v>
      </c>
      <c r="F134" s="142">
        <f t="shared" si="32"/>
        <v>1552</v>
      </c>
      <c r="G134" s="142"/>
      <c r="H134" s="282">
        <f>R134</f>
        <v>1552</v>
      </c>
      <c r="I134" s="142">
        <f t="shared" si="33"/>
        <v>1552</v>
      </c>
      <c r="J134" s="142">
        <f t="shared" si="34"/>
        <v>0</v>
      </c>
      <c r="K134" s="142"/>
      <c r="L134" s="142"/>
      <c r="M134" s="142"/>
      <c r="N134" s="142">
        <f t="shared" si="35"/>
        <v>1552</v>
      </c>
      <c r="O134" s="142"/>
      <c r="P134" s="142"/>
      <c r="Q134" s="142"/>
      <c r="R134" s="282">
        <f>'[1]budżet 2009'!$N$602</f>
        <v>1552</v>
      </c>
    </row>
    <row r="135" spans="2:18" s="140" customFormat="1" ht="12.75">
      <c r="B135" s="296"/>
      <c r="C135" s="80" t="s">
        <v>414</v>
      </c>
      <c r="D135" s="34"/>
      <c r="E135" s="290">
        <v>4129</v>
      </c>
      <c r="F135" s="142">
        <f t="shared" si="32"/>
        <v>274</v>
      </c>
      <c r="G135" s="142">
        <f>M135</f>
        <v>274</v>
      </c>
      <c r="H135" s="282"/>
      <c r="I135" s="142">
        <f t="shared" si="33"/>
        <v>274</v>
      </c>
      <c r="J135" s="142">
        <f t="shared" si="34"/>
        <v>274</v>
      </c>
      <c r="K135" s="142"/>
      <c r="L135" s="142"/>
      <c r="M135" s="142">
        <f>'[1]budżet 2009'!$N$603</f>
        <v>274</v>
      </c>
      <c r="N135" s="142">
        <f t="shared" si="35"/>
        <v>0</v>
      </c>
      <c r="O135" s="142"/>
      <c r="P135" s="142"/>
      <c r="Q135" s="142"/>
      <c r="R135" s="282"/>
    </row>
    <row r="136" spans="2:18" s="140" customFormat="1" ht="22.5">
      <c r="B136" s="296"/>
      <c r="C136" s="80" t="s">
        <v>371</v>
      </c>
      <c r="D136" s="34"/>
      <c r="E136" s="290">
        <v>4178</v>
      </c>
      <c r="F136" s="142">
        <f t="shared" si="32"/>
        <v>63353</v>
      </c>
      <c r="G136" s="142"/>
      <c r="H136" s="282">
        <f>N136</f>
        <v>63353</v>
      </c>
      <c r="I136" s="142">
        <f t="shared" si="33"/>
        <v>63353</v>
      </c>
      <c r="J136" s="142">
        <f t="shared" si="34"/>
        <v>0</v>
      </c>
      <c r="K136" s="142"/>
      <c r="L136" s="142"/>
      <c r="M136" s="142"/>
      <c r="N136" s="142">
        <f t="shared" si="35"/>
        <v>63353</v>
      </c>
      <c r="O136" s="142"/>
      <c r="P136" s="142"/>
      <c r="Q136" s="142"/>
      <c r="R136" s="282">
        <f>'[1]budżet 2009'!$N$604</f>
        <v>63353</v>
      </c>
    </row>
    <row r="137" spans="2:18" s="140" customFormat="1" ht="22.5">
      <c r="B137" s="296"/>
      <c r="C137" s="80" t="s">
        <v>371</v>
      </c>
      <c r="D137" s="34"/>
      <c r="E137" s="290">
        <v>4179</v>
      </c>
      <c r="F137" s="142">
        <f t="shared" si="32"/>
        <v>11180</v>
      </c>
      <c r="G137" s="142">
        <f>J137</f>
        <v>11180</v>
      </c>
      <c r="H137" s="282"/>
      <c r="I137" s="142">
        <f t="shared" si="33"/>
        <v>11180</v>
      </c>
      <c r="J137" s="142">
        <f t="shared" si="34"/>
        <v>11180</v>
      </c>
      <c r="K137" s="142"/>
      <c r="L137" s="142"/>
      <c r="M137" s="142">
        <f>'[1]budżet 2009'!$N$605</f>
        <v>11180</v>
      </c>
      <c r="N137" s="142">
        <f t="shared" si="35"/>
        <v>0</v>
      </c>
      <c r="O137" s="142"/>
      <c r="P137" s="142"/>
      <c r="Q137" s="142"/>
      <c r="R137" s="282"/>
    </row>
    <row r="138" spans="2:18" s="140" customFormat="1" ht="22.5">
      <c r="B138" s="296"/>
      <c r="C138" s="80" t="s">
        <v>337</v>
      </c>
      <c r="D138" s="34"/>
      <c r="E138" s="290">
        <v>4218</v>
      </c>
      <c r="F138" s="142">
        <f t="shared" si="32"/>
        <v>9023</v>
      </c>
      <c r="G138" s="142"/>
      <c r="H138" s="282">
        <f>N138</f>
        <v>9023</v>
      </c>
      <c r="I138" s="142">
        <f t="shared" si="33"/>
        <v>9023</v>
      </c>
      <c r="J138" s="142">
        <f t="shared" si="34"/>
        <v>0</v>
      </c>
      <c r="K138" s="142"/>
      <c r="L138" s="142"/>
      <c r="M138" s="142"/>
      <c r="N138" s="142">
        <f t="shared" si="35"/>
        <v>9023</v>
      </c>
      <c r="O138" s="142"/>
      <c r="P138" s="142"/>
      <c r="Q138" s="142"/>
      <c r="R138" s="282">
        <f>'[1]budżet 2009'!$N$606</f>
        <v>9023</v>
      </c>
    </row>
    <row r="139" spans="2:18" s="140" customFormat="1" ht="22.5">
      <c r="B139" s="296"/>
      <c r="C139" s="80" t="s">
        <v>337</v>
      </c>
      <c r="D139" s="34"/>
      <c r="E139" s="290">
        <v>4219</v>
      </c>
      <c r="F139" s="142">
        <f t="shared" si="32"/>
        <v>1592</v>
      </c>
      <c r="G139" s="142">
        <f>I139</f>
        <v>1592</v>
      </c>
      <c r="H139" s="282"/>
      <c r="I139" s="142">
        <f t="shared" si="33"/>
        <v>1592</v>
      </c>
      <c r="J139" s="142">
        <f t="shared" si="34"/>
        <v>1592</v>
      </c>
      <c r="K139" s="142"/>
      <c r="L139" s="142"/>
      <c r="M139" s="142">
        <f>'[1]budżet 2009'!$N$607</f>
        <v>1592</v>
      </c>
      <c r="N139" s="142">
        <f t="shared" si="35"/>
        <v>0</v>
      </c>
      <c r="O139" s="142"/>
      <c r="P139" s="142"/>
      <c r="Q139" s="142"/>
      <c r="R139" s="282"/>
    </row>
    <row r="140" spans="2:18" s="140" customFormat="1" ht="12.75">
      <c r="B140" s="296"/>
      <c r="C140" s="80" t="s">
        <v>610</v>
      </c>
      <c r="D140" s="34"/>
      <c r="E140" s="290">
        <v>4268</v>
      </c>
      <c r="F140" s="142">
        <f t="shared" si="32"/>
        <v>459</v>
      </c>
      <c r="G140" s="142">
        <f>J140</f>
        <v>0</v>
      </c>
      <c r="H140" s="282">
        <f>N140</f>
        <v>459</v>
      </c>
      <c r="I140" s="142">
        <f t="shared" si="33"/>
        <v>459</v>
      </c>
      <c r="J140" s="142">
        <f>SUM(K140:M140)</f>
        <v>0</v>
      </c>
      <c r="K140" s="142"/>
      <c r="L140" s="142"/>
      <c r="M140" s="142"/>
      <c r="N140" s="142">
        <f t="shared" si="35"/>
        <v>459</v>
      </c>
      <c r="O140" s="142"/>
      <c r="P140" s="142"/>
      <c r="Q140" s="142"/>
      <c r="R140" s="282">
        <f>'[1]budżet 2009'!$N$608</f>
        <v>459</v>
      </c>
    </row>
    <row r="141" spans="2:18" s="140" customFormat="1" ht="12.75">
      <c r="B141" s="296"/>
      <c r="C141" s="80" t="s">
        <v>610</v>
      </c>
      <c r="D141" s="34"/>
      <c r="E141" s="290">
        <v>4269</v>
      </c>
      <c r="F141" s="142">
        <f t="shared" si="32"/>
        <v>81</v>
      </c>
      <c r="G141" s="142">
        <f>J141</f>
        <v>81</v>
      </c>
      <c r="H141" s="282">
        <f>N141</f>
        <v>0</v>
      </c>
      <c r="I141" s="142">
        <f t="shared" si="33"/>
        <v>81</v>
      </c>
      <c r="J141" s="142">
        <f>SUM(K141:M141)</f>
        <v>81</v>
      </c>
      <c r="K141" s="142"/>
      <c r="L141" s="142"/>
      <c r="M141" s="142">
        <f>'[1]budżet 2009'!$N$609</f>
        <v>81</v>
      </c>
      <c r="N141" s="142">
        <f t="shared" si="35"/>
        <v>0</v>
      </c>
      <c r="O141" s="142"/>
      <c r="P141" s="142"/>
      <c r="Q141" s="142"/>
      <c r="R141" s="282"/>
    </row>
    <row r="142" spans="2:18" s="140" customFormat="1" ht="33.75">
      <c r="B142" s="296"/>
      <c r="C142" s="80" t="s">
        <v>416</v>
      </c>
      <c r="D142" s="34"/>
      <c r="E142" s="290">
        <v>4378</v>
      </c>
      <c r="F142" s="142">
        <f t="shared" si="32"/>
        <v>0</v>
      </c>
      <c r="G142" s="142">
        <f>R142</f>
        <v>0</v>
      </c>
      <c r="H142" s="282">
        <f>N142</f>
        <v>0</v>
      </c>
      <c r="I142" s="142">
        <f t="shared" si="33"/>
        <v>0</v>
      </c>
      <c r="J142" s="142">
        <f t="shared" si="34"/>
        <v>0</v>
      </c>
      <c r="K142" s="142"/>
      <c r="L142" s="142"/>
      <c r="M142" s="142">
        <f>2!L630</f>
        <v>0</v>
      </c>
      <c r="N142" s="142">
        <f t="shared" si="35"/>
        <v>0</v>
      </c>
      <c r="O142" s="142"/>
      <c r="P142" s="142"/>
      <c r="Q142" s="142"/>
      <c r="R142" s="282"/>
    </row>
    <row r="143" spans="2:18" s="140" customFormat="1" ht="33.75">
      <c r="B143" s="296"/>
      <c r="C143" s="80" t="s">
        <v>416</v>
      </c>
      <c r="D143" s="34"/>
      <c r="E143" s="290">
        <v>4379</v>
      </c>
      <c r="F143" s="142">
        <f t="shared" si="32"/>
        <v>0</v>
      </c>
      <c r="G143" s="142">
        <f>I143</f>
        <v>0</v>
      </c>
      <c r="H143" s="282">
        <f>M143</f>
        <v>0</v>
      </c>
      <c r="I143" s="142">
        <f t="shared" si="33"/>
        <v>0</v>
      </c>
      <c r="J143" s="142">
        <f t="shared" si="34"/>
        <v>0</v>
      </c>
      <c r="K143" s="142"/>
      <c r="L143" s="142"/>
      <c r="M143" s="142"/>
      <c r="N143" s="142">
        <f t="shared" si="35"/>
        <v>0</v>
      </c>
      <c r="O143" s="142"/>
      <c r="P143" s="142"/>
      <c r="Q143" s="142"/>
      <c r="R143" s="282">
        <f>2!L631</f>
        <v>0</v>
      </c>
    </row>
    <row r="144" spans="2:18" s="140" customFormat="1" ht="12.75">
      <c r="B144" s="296"/>
      <c r="C144" s="80" t="s">
        <v>320</v>
      </c>
      <c r="D144" s="34"/>
      <c r="E144" s="290">
        <v>4308</v>
      </c>
      <c r="F144" s="142">
        <f t="shared" si="32"/>
        <v>22256</v>
      </c>
      <c r="G144" s="142"/>
      <c r="H144" s="282">
        <f>N144</f>
        <v>22256</v>
      </c>
      <c r="I144" s="142">
        <f t="shared" si="33"/>
        <v>22256</v>
      </c>
      <c r="J144" s="142">
        <f t="shared" si="34"/>
        <v>0</v>
      </c>
      <c r="K144" s="142"/>
      <c r="L144" s="142"/>
      <c r="M144" s="142"/>
      <c r="N144" s="142">
        <f t="shared" si="35"/>
        <v>22256</v>
      </c>
      <c r="O144" s="142"/>
      <c r="P144" s="142"/>
      <c r="Q144" s="142"/>
      <c r="R144" s="282">
        <f>'[1]budżet 2009'!$N$610</f>
        <v>22256</v>
      </c>
    </row>
    <row r="145" spans="2:18" s="140" customFormat="1" ht="12.75">
      <c r="B145" s="296"/>
      <c r="C145" s="80" t="s">
        <v>320</v>
      </c>
      <c r="D145" s="34"/>
      <c r="E145" s="290">
        <v>4309</v>
      </c>
      <c r="F145" s="142">
        <f t="shared" si="32"/>
        <v>3927</v>
      </c>
      <c r="G145" s="142">
        <f>I145</f>
        <v>3927</v>
      </c>
      <c r="H145" s="282"/>
      <c r="I145" s="142">
        <f t="shared" si="33"/>
        <v>3927</v>
      </c>
      <c r="J145" s="142">
        <f t="shared" si="34"/>
        <v>3927</v>
      </c>
      <c r="K145" s="142"/>
      <c r="L145" s="142"/>
      <c r="M145" s="142">
        <f>'[1]budżet 2009'!$N$611</f>
        <v>3927</v>
      </c>
      <c r="N145" s="142">
        <f t="shared" si="35"/>
        <v>0</v>
      </c>
      <c r="O145" s="142"/>
      <c r="P145" s="142"/>
      <c r="Q145" s="142"/>
      <c r="R145" s="282"/>
    </row>
    <row r="146" spans="2:20" s="140" customFormat="1" ht="11.25">
      <c r="B146" s="296"/>
      <c r="C146" s="136" t="s">
        <v>702</v>
      </c>
      <c r="D146" s="138"/>
      <c r="E146" s="138"/>
      <c r="F146" s="137">
        <f>G146+H146</f>
        <v>125130</v>
      </c>
      <c r="G146" s="137">
        <f>SUM(G132:G145)</f>
        <v>18769</v>
      </c>
      <c r="H146" s="137">
        <f>SUM(H132:H145)</f>
        <v>106361</v>
      </c>
      <c r="I146" s="137">
        <f>J146+N146</f>
        <v>125130</v>
      </c>
      <c r="J146" s="137">
        <f>SUM(K146:M146)</f>
        <v>18769</v>
      </c>
      <c r="K146" s="137">
        <f>SUM(K132:K145)</f>
        <v>0</v>
      </c>
      <c r="L146" s="137">
        <f>SUM(L132:L145)</f>
        <v>0</v>
      </c>
      <c r="M146" s="137">
        <f>SUM(M132:M145)</f>
        <v>18769</v>
      </c>
      <c r="N146" s="137">
        <f>O146+P146+Q146+R146</f>
        <v>106361</v>
      </c>
      <c r="O146" s="137">
        <f>SUM(O132:O145)</f>
        <v>0</v>
      </c>
      <c r="P146" s="137">
        <f>SUM(P132:P145)</f>
        <v>0</v>
      </c>
      <c r="Q146" s="137">
        <f>SUM(Q132:Q145)</f>
        <v>0</v>
      </c>
      <c r="R146" s="137">
        <f>SUM(R132:R145)</f>
        <v>106361</v>
      </c>
      <c r="T146" s="485"/>
    </row>
    <row r="147" spans="2:18" s="140" customFormat="1" ht="11.25" customHeight="1">
      <c r="B147" s="296" t="s">
        <v>706</v>
      </c>
      <c r="C147" s="310" t="s">
        <v>218</v>
      </c>
      <c r="D147" s="606" t="s">
        <v>707</v>
      </c>
      <c r="E147" s="607"/>
      <c r="F147" s="607"/>
      <c r="G147" s="607"/>
      <c r="H147" s="607"/>
      <c r="I147" s="607"/>
      <c r="J147" s="607"/>
      <c r="K147" s="607"/>
      <c r="L147" s="607"/>
      <c r="M147" s="607"/>
      <c r="N147" s="607"/>
      <c r="O147" s="607"/>
      <c r="P147" s="607"/>
      <c r="Q147" s="607"/>
      <c r="R147" s="608"/>
    </row>
    <row r="148" spans="2:18" s="140" customFormat="1" ht="11.25" customHeight="1">
      <c r="B148" s="296"/>
      <c r="C148" s="307" t="s">
        <v>219</v>
      </c>
      <c r="D148" s="609"/>
      <c r="E148" s="610"/>
      <c r="F148" s="610"/>
      <c r="G148" s="610"/>
      <c r="H148" s="610"/>
      <c r="I148" s="610"/>
      <c r="J148" s="610"/>
      <c r="K148" s="610"/>
      <c r="L148" s="610"/>
      <c r="M148" s="610"/>
      <c r="N148" s="610"/>
      <c r="O148" s="610"/>
      <c r="P148" s="610"/>
      <c r="Q148" s="610"/>
      <c r="R148" s="611"/>
    </row>
    <row r="149" spans="2:18" s="140" customFormat="1" ht="11.25" customHeight="1">
      <c r="B149" s="296"/>
      <c r="C149" s="307" t="s">
        <v>220</v>
      </c>
      <c r="D149" s="609"/>
      <c r="E149" s="610"/>
      <c r="F149" s="610"/>
      <c r="G149" s="610"/>
      <c r="H149" s="610"/>
      <c r="I149" s="610"/>
      <c r="J149" s="610"/>
      <c r="K149" s="610"/>
      <c r="L149" s="610"/>
      <c r="M149" s="610"/>
      <c r="N149" s="610"/>
      <c r="O149" s="610"/>
      <c r="P149" s="610"/>
      <c r="Q149" s="610"/>
      <c r="R149" s="611"/>
    </row>
    <row r="150" spans="2:18" s="140" customFormat="1" ht="11.25" customHeight="1">
      <c r="B150" s="296"/>
      <c r="C150" s="308" t="s">
        <v>221</v>
      </c>
      <c r="D150" s="612"/>
      <c r="E150" s="613"/>
      <c r="F150" s="613"/>
      <c r="G150" s="613"/>
      <c r="H150" s="613"/>
      <c r="I150" s="613"/>
      <c r="J150" s="613"/>
      <c r="K150" s="613"/>
      <c r="L150" s="613"/>
      <c r="M150" s="613"/>
      <c r="N150" s="613"/>
      <c r="O150" s="613"/>
      <c r="P150" s="613"/>
      <c r="Q150" s="613"/>
      <c r="R150" s="614"/>
    </row>
    <row r="151" spans="2:18" s="140" customFormat="1" ht="12.75">
      <c r="B151" s="296"/>
      <c r="C151" s="311" t="s">
        <v>222</v>
      </c>
      <c r="D151" s="34"/>
      <c r="E151" s="143" t="s">
        <v>365</v>
      </c>
      <c r="F151" s="142">
        <f>F169+F170</f>
        <v>549648</v>
      </c>
      <c r="G151" s="142">
        <f aca="true" t="shared" si="36" ref="G151:R151">G169+G170</f>
        <v>46806</v>
      </c>
      <c r="H151" s="142">
        <f t="shared" si="36"/>
        <v>472820</v>
      </c>
      <c r="I151" s="142">
        <f t="shared" si="36"/>
        <v>361670</v>
      </c>
      <c r="J151" s="142">
        <f t="shared" si="36"/>
        <v>36237</v>
      </c>
      <c r="K151" s="142">
        <f t="shared" si="36"/>
        <v>0</v>
      </c>
      <c r="L151" s="142">
        <f t="shared" si="36"/>
        <v>0</v>
      </c>
      <c r="M151" s="142">
        <f t="shared" si="36"/>
        <v>36237</v>
      </c>
      <c r="N151" s="142">
        <f t="shared" si="36"/>
        <v>325433</v>
      </c>
      <c r="O151" s="142">
        <f t="shared" si="36"/>
        <v>0</v>
      </c>
      <c r="P151" s="142">
        <f t="shared" si="36"/>
        <v>0</v>
      </c>
      <c r="Q151" s="142">
        <f t="shared" si="36"/>
        <v>0</v>
      </c>
      <c r="R151" s="282">
        <f t="shared" si="36"/>
        <v>325433</v>
      </c>
    </row>
    <row r="152" spans="2:18" s="140" customFormat="1" ht="22.5">
      <c r="B152" s="296"/>
      <c r="C152" s="80" t="s">
        <v>412</v>
      </c>
      <c r="D152" s="34"/>
      <c r="E152" s="290">
        <v>4118</v>
      </c>
      <c r="F152" s="142">
        <f aca="true" t="shared" si="37" ref="F152:F168">G152+H152</f>
        <v>24719</v>
      </c>
      <c r="G152" s="142"/>
      <c r="H152" s="282">
        <f>R152</f>
        <v>24719</v>
      </c>
      <c r="I152" s="142">
        <f aca="true" t="shared" si="38" ref="I152:I168">J152+N152</f>
        <v>24719</v>
      </c>
      <c r="J152" s="142">
        <f aca="true" t="shared" si="39" ref="J152:J168">SUM(K152:M152)</f>
        <v>0</v>
      </c>
      <c r="K152" s="142"/>
      <c r="L152" s="142"/>
      <c r="M152" s="142"/>
      <c r="N152" s="142">
        <f aca="true" t="shared" si="40" ref="N152:N168">SUM(O152:R152)</f>
        <v>24719</v>
      </c>
      <c r="O152" s="142"/>
      <c r="P152" s="142"/>
      <c r="Q152" s="142"/>
      <c r="R152" s="282">
        <f>'[1]budżet 2009'!$N$582</f>
        <v>24719</v>
      </c>
    </row>
    <row r="153" spans="2:18" s="140" customFormat="1" ht="22.5">
      <c r="B153" s="296"/>
      <c r="C153" s="80" t="s">
        <v>412</v>
      </c>
      <c r="D153" s="34"/>
      <c r="E153" s="290">
        <v>4119</v>
      </c>
      <c r="F153" s="142">
        <f t="shared" si="37"/>
        <v>4362</v>
      </c>
      <c r="G153" s="142">
        <f>M153</f>
        <v>4362</v>
      </c>
      <c r="H153" s="282"/>
      <c r="I153" s="142">
        <f t="shared" si="38"/>
        <v>4362</v>
      </c>
      <c r="J153" s="142">
        <f t="shared" si="39"/>
        <v>4362</v>
      </c>
      <c r="K153" s="142"/>
      <c r="L153" s="142"/>
      <c r="M153" s="142">
        <f>'[1]budżet 2009'!$N$583</f>
        <v>4362</v>
      </c>
      <c r="N153" s="142">
        <f t="shared" si="40"/>
        <v>0</v>
      </c>
      <c r="O153" s="142"/>
      <c r="P153" s="142"/>
      <c r="Q153" s="142"/>
      <c r="R153" s="282"/>
    </row>
    <row r="154" spans="2:18" s="140" customFormat="1" ht="12.75">
      <c r="B154" s="296"/>
      <c r="C154" s="80" t="s">
        <v>414</v>
      </c>
      <c r="D154" s="34"/>
      <c r="E154" s="290">
        <v>4128</v>
      </c>
      <c r="F154" s="142">
        <f t="shared" si="37"/>
        <v>3948</v>
      </c>
      <c r="G154" s="142"/>
      <c r="H154" s="282">
        <f>R154</f>
        <v>3948</v>
      </c>
      <c r="I154" s="142">
        <f t="shared" si="38"/>
        <v>3948</v>
      </c>
      <c r="J154" s="142">
        <f t="shared" si="39"/>
        <v>0</v>
      </c>
      <c r="K154" s="142"/>
      <c r="L154" s="142"/>
      <c r="M154" s="142"/>
      <c r="N154" s="142">
        <f t="shared" si="40"/>
        <v>3948</v>
      </c>
      <c r="O154" s="142"/>
      <c r="P154" s="142"/>
      <c r="Q154" s="142"/>
      <c r="R154" s="282">
        <f>'[1]budżet 2009'!$N$584</f>
        <v>3948</v>
      </c>
    </row>
    <row r="155" spans="2:18" s="140" customFormat="1" ht="12.75">
      <c r="B155" s="296"/>
      <c r="C155" s="80" t="s">
        <v>414</v>
      </c>
      <c r="D155" s="34"/>
      <c r="E155" s="290">
        <v>4129</v>
      </c>
      <c r="F155" s="142">
        <f t="shared" si="37"/>
        <v>697</v>
      </c>
      <c r="G155" s="142">
        <f>M155</f>
        <v>697</v>
      </c>
      <c r="H155" s="282"/>
      <c r="I155" s="142">
        <f t="shared" si="38"/>
        <v>697</v>
      </c>
      <c r="J155" s="142">
        <f t="shared" si="39"/>
        <v>697</v>
      </c>
      <c r="K155" s="142"/>
      <c r="L155" s="142"/>
      <c r="M155" s="142">
        <f>'[1]budżet 2009'!$N$585</f>
        <v>697</v>
      </c>
      <c r="N155" s="142">
        <f t="shared" si="40"/>
        <v>0</v>
      </c>
      <c r="O155" s="142"/>
      <c r="P155" s="142"/>
      <c r="Q155" s="142"/>
      <c r="R155" s="282"/>
    </row>
    <row r="156" spans="2:18" s="140" customFormat="1" ht="22.5">
      <c r="B156" s="296"/>
      <c r="C156" s="80" t="s">
        <v>371</v>
      </c>
      <c r="D156" s="34"/>
      <c r="E156" s="290">
        <v>4178</v>
      </c>
      <c r="F156" s="142">
        <f t="shared" si="37"/>
        <v>170015</v>
      </c>
      <c r="G156" s="142"/>
      <c r="H156" s="282">
        <f>N156</f>
        <v>170015</v>
      </c>
      <c r="I156" s="142">
        <f t="shared" si="38"/>
        <v>170015</v>
      </c>
      <c r="J156" s="142">
        <f t="shared" si="39"/>
        <v>0</v>
      </c>
      <c r="K156" s="142"/>
      <c r="L156" s="142"/>
      <c r="M156" s="142"/>
      <c r="N156" s="142">
        <f t="shared" si="40"/>
        <v>170015</v>
      </c>
      <c r="O156" s="142"/>
      <c r="P156" s="142"/>
      <c r="Q156" s="142"/>
      <c r="R156" s="282">
        <f>'[1]budżet 2009'!$N$586</f>
        <v>170015</v>
      </c>
    </row>
    <row r="157" spans="2:18" s="140" customFormat="1" ht="22.5">
      <c r="B157" s="296"/>
      <c r="C157" s="80" t="s">
        <v>371</v>
      </c>
      <c r="D157" s="34"/>
      <c r="E157" s="290">
        <v>4179</v>
      </c>
      <c r="F157" s="142">
        <f t="shared" si="37"/>
        <v>19561</v>
      </c>
      <c r="G157" s="142">
        <f>J157</f>
        <v>19561</v>
      </c>
      <c r="H157" s="282"/>
      <c r="I157" s="142">
        <f t="shared" si="38"/>
        <v>19561</v>
      </c>
      <c r="J157" s="142">
        <f t="shared" si="39"/>
        <v>19561</v>
      </c>
      <c r="K157" s="142"/>
      <c r="L157" s="142"/>
      <c r="M157" s="142">
        <f>'[1]budżet 2009'!$N$587</f>
        <v>19561</v>
      </c>
      <c r="N157" s="142">
        <f t="shared" si="40"/>
        <v>0</v>
      </c>
      <c r="O157" s="142"/>
      <c r="P157" s="142"/>
      <c r="Q157" s="142"/>
      <c r="R157" s="282"/>
    </row>
    <row r="158" spans="2:18" s="140" customFormat="1" ht="22.5">
      <c r="B158" s="296"/>
      <c r="C158" s="80" t="s">
        <v>337</v>
      </c>
      <c r="D158" s="34"/>
      <c r="E158" s="290">
        <v>4218</v>
      </c>
      <c r="F158" s="142">
        <f t="shared" si="37"/>
        <v>38322</v>
      </c>
      <c r="G158" s="142"/>
      <c r="H158" s="282">
        <f>N158</f>
        <v>38322</v>
      </c>
      <c r="I158" s="142">
        <f t="shared" si="38"/>
        <v>38322</v>
      </c>
      <c r="J158" s="142">
        <f t="shared" si="39"/>
        <v>0</v>
      </c>
      <c r="K158" s="142"/>
      <c r="L158" s="142"/>
      <c r="M158" s="142"/>
      <c r="N158" s="142">
        <f t="shared" si="40"/>
        <v>38322</v>
      </c>
      <c r="O158" s="142"/>
      <c r="P158" s="142"/>
      <c r="Q158" s="142"/>
      <c r="R158" s="282">
        <f>'[1]budżet 2009'!$N$588</f>
        <v>38322</v>
      </c>
    </row>
    <row r="159" spans="2:18" s="140" customFormat="1" ht="22.5">
      <c r="B159" s="296"/>
      <c r="C159" s="80" t="s">
        <v>337</v>
      </c>
      <c r="D159" s="34"/>
      <c r="E159" s="290">
        <v>4219</v>
      </c>
      <c r="F159" s="142">
        <f t="shared" si="37"/>
        <v>6763</v>
      </c>
      <c r="G159" s="142">
        <f>I159</f>
        <v>6763</v>
      </c>
      <c r="H159" s="282"/>
      <c r="I159" s="142">
        <f t="shared" si="38"/>
        <v>6763</v>
      </c>
      <c r="J159" s="142">
        <f t="shared" si="39"/>
        <v>6763</v>
      </c>
      <c r="K159" s="142"/>
      <c r="L159" s="142"/>
      <c r="M159" s="142">
        <f>'[1]budżet 2009'!$N$589</f>
        <v>6763</v>
      </c>
      <c r="N159" s="142">
        <f t="shared" si="40"/>
        <v>0</v>
      </c>
      <c r="O159" s="142"/>
      <c r="P159" s="142"/>
      <c r="Q159" s="142"/>
      <c r="R159" s="282"/>
    </row>
    <row r="160" spans="2:18" s="140" customFormat="1" ht="33.75">
      <c r="B160" s="296"/>
      <c r="C160" s="486" t="s">
        <v>417</v>
      </c>
      <c r="D160" s="34"/>
      <c r="E160" s="290">
        <v>4758</v>
      </c>
      <c r="F160" s="142">
        <f t="shared" si="37"/>
        <v>3655</v>
      </c>
      <c r="G160" s="142"/>
      <c r="H160" s="282">
        <f>N160</f>
        <v>3655</v>
      </c>
      <c r="I160" s="142">
        <f t="shared" si="38"/>
        <v>3655</v>
      </c>
      <c r="J160" s="142">
        <f t="shared" si="39"/>
        <v>0</v>
      </c>
      <c r="K160" s="142"/>
      <c r="L160" s="142"/>
      <c r="M160" s="142"/>
      <c r="N160" s="142">
        <f t="shared" si="40"/>
        <v>3655</v>
      </c>
      <c r="O160" s="142"/>
      <c r="P160" s="142"/>
      <c r="Q160" s="142"/>
      <c r="R160" s="282">
        <f>'[1]budżet 2009'!$N$596</f>
        <v>3655</v>
      </c>
    </row>
    <row r="161" spans="2:18" s="140" customFormat="1" ht="33.75">
      <c r="B161" s="296"/>
      <c r="C161" s="486" t="s">
        <v>417</v>
      </c>
      <c r="D161" s="34"/>
      <c r="E161" s="290">
        <v>4759</v>
      </c>
      <c r="F161" s="142">
        <f t="shared" si="37"/>
        <v>645</v>
      </c>
      <c r="G161" s="142">
        <f>I161</f>
        <v>645</v>
      </c>
      <c r="H161" s="282"/>
      <c r="I161" s="142">
        <f t="shared" si="38"/>
        <v>645</v>
      </c>
      <c r="J161" s="142">
        <f t="shared" si="39"/>
        <v>645</v>
      </c>
      <c r="K161" s="142"/>
      <c r="L161" s="142"/>
      <c r="M161" s="142">
        <f>'[1]budżet 2009'!$N$597</f>
        <v>645</v>
      </c>
      <c r="N161" s="142">
        <f t="shared" si="40"/>
        <v>0</v>
      </c>
      <c r="O161" s="142"/>
      <c r="P161" s="142"/>
      <c r="Q161" s="142"/>
      <c r="R161" s="282"/>
    </row>
    <row r="162" spans="2:18" s="140" customFormat="1" ht="12.75">
      <c r="B162" s="296"/>
      <c r="C162" s="80" t="s">
        <v>320</v>
      </c>
      <c r="D162" s="34"/>
      <c r="E162" s="290">
        <v>4308</v>
      </c>
      <c r="F162" s="142">
        <f t="shared" si="37"/>
        <v>78372</v>
      </c>
      <c r="G162" s="142"/>
      <c r="H162" s="282">
        <f>N162</f>
        <v>78372</v>
      </c>
      <c r="I162" s="142">
        <f t="shared" si="38"/>
        <v>78372</v>
      </c>
      <c r="J162" s="142">
        <f t="shared" si="39"/>
        <v>0</v>
      </c>
      <c r="K162" s="142"/>
      <c r="L162" s="142"/>
      <c r="M162" s="142"/>
      <c r="N162" s="142">
        <f t="shared" si="40"/>
        <v>78372</v>
      </c>
      <c r="O162" s="142"/>
      <c r="P162" s="142"/>
      <c r="Q162" s="142"/>
      <c r="R162" s="282">
        <f>'[1]budżet 2009'!$N$590</f>
        <v>78372</v>
      </c>
    </row>
    <row r="163" spans="2:18" s="140" customFormat="1" ht="12.75">
      <c r="B163" s="296"/>
      <c r="C163" s="80" t="s">
        <v>320</v>
      </c>
      <c r="D163" s="34"/>
      <c r="E163" s="290">
        <v>4309</v>
      </c>
      <c r="F163" s="142">
        <f t="shared" si="37"/>
        <v>3080</v>
      </c>
      <c r="G163" s="142">
        <f>I163</f>
        <v>3080</v>
      </c>
      <c r="H163" s="282"/>
      <c r="I163" s="142">
        <f t="shared" si="38"/>
        <v>3080</v>
      </c>
      <c r="J163" s="142">
        <f t="shared" si="39"/>
        <v>3080</v>
      </c>
      <c r="K163" s="142"/>
      <c r="L163" s="142"/>
      <c r="M163" s="142">
        <f>'[1]budżet 2009'!$N$591</f>
        <v>3080</v>
      </c>
      <c r="N163" s="142">
        <f t="shared" si="40"/>
        <v>0</v>
      </c>
      <c r="O163" s="142"/>
      <c r="P163" s="142"/>
      <c r="Q163" s="142"/>
      <c r="R163" s="282"/>
    </row>
    <row r="164" spans="2:18" s="140" customFormat="1" ht="22.5">
      <c r="B164" s="296"/>
      <c r="C164" s="80" t="s">
        <v>747</v>
      </c>
      <c r="D164" s="34"/>
      <c r="E164" s="290" t="s">
        <v>178</v>
      </c>
      <c r="F164" s="142">
        <v>21192</v>
      </c>
      <c r="G164" s="142" t="str">
        <f>I164</f>
        <v>x</v>
      </c>
      <c r="H164" s="282"/>
      <c r="I164" s="142" t="s">
        <v>178</v>
      </c>
      <c r="J164" s="142" t="s">
        <v>178</v>
      </c>
      <c r="K164" s="142"/>
      <c r="L164" s="142"/>
      <c r="M164" s="142"/>
      <c r="N164" s="142"/>
      <c r="O164" s="142"/>
      <c r="P164" s="142"/>
      <c r="Q164" s="142"/>
      <c r="R164" s="282"/>
    </row>
    <row r="165" spans="2:18" s="140" customFormat="1" ht="45">
      <c r="B165" s="296"/>
      <c r="C165" s="80" t="s">
        <v>374</v>
      </c>
      <c r="D165" s="34"/>
      <c r="E165" s="290">
        <v>4748</v>
      </c>
      <c r="F165" s="142">
        <f t="shared" si="37"/>
        <v>5663</v>
      </c>
      <c r="G165" s="142"/>
      <c r="H165" s="282">
        <f>N165</f>
        <v>5663</v>
      </c>
      <c r="I165" s="142">
        <f t="shared" si="38"/>
        <v>5663</v>
      </c>
      <c r="J165" s="142">
        <f t="shared" si="39"/>
        <v>0</v>
      </c>
      <c r="K165" s="142"/>
      <c r="L165" s="142"/>
      <c r="M165" s="142"/>
      <c r="N165" s="142">
        <f t="shared" si="40"/>
        <v>5663</v>
      </c>
      <c r="O165" s="142"/>
      <c r="P165" s="142"/>
      <c r="Q165" s="142"/>
      <c r="R165" s="282">
        <f>'[1]budżet 2009'!$N$594</f>
        <v>5663</v>
      </c>
    </row>
    <row r="166" spans="2:18" s="140" customFormat="1" ht="45">
      <c r="B166" s="296"/>
      <c r="C166" s="80" t="s">
        <v>374</v>
      </c>
      <c r="D166" s="34"/>
      <c r="E166" s="290">
        <v>4749</v>
      </c>
      <c r="F166" s="142">
        <f t="shared" si="37"/>
        <v>999</v>
      </c>
      <c r="G166" s="142">
        <f>I166</f>
        <v>999</v>
      </c>
      <c r="H166" s="282"/>
      <c r="I166" s="142">
        <f t="shared" si="38"/>
        <v>999</v>
      </c>
      <c r="J166" s="142">
        <f t="shared" si="39"/>
        <v>999</v>
      </c>
      <c r="K166" s="142"/>
      <c r="L166" s="142"/>
      <c r="M166" s="142">
        <f>'[1]budżet 2009'!$N$595</f>
        <v>999</v>
      </c>
      <c r="N166" s="142">
        <f t="shared" si="40"/>
        <v>0</v>
      </c>
      <c r="O166" s="142"/>
      <c r="P166" s="142"/>
      <c r="Q166" s="142"/>
      <c r="R166" s="282"/>
    </row>
    <row r="167" spans="2:18" s="140" customFormat="1" ht="22.5">
      <c r="B167" s="296"/>
      <c r="C167" s="80" t="s">
        <v>748</v>
      </c>
      <c r="D167" s="34"/>
      <c r="E167" s="290">
        <v>4358</v>
      </c>
      <c r="F167" s="142">
        <f t="shared" si="37"/>
        <v>739</v>
      </c>
      <c r="G167" s="142"/>
      <c r="H167" s="282">
        <f>N167</f>
        <v>739</v>
      </c>
      <c r="I167" s="142">
        <f t="shared" si="38"/>
        <v>739</v>
      </c>
      <c r="J167" s="142">
        <f t="shared" si="39"/>
        <v>0</v>
      </c>
      <c r="K167" s="142"/>
      <c r="L167" s="142"/>
      <c r="M167" s="142"/>
      <c r="N167" s="142">
        <f t="shared" si="40"/>
        <v>739</v>
      </c>
      <c r="O167" s="142"/>
      <c r="P167" s="142"/>
      <c r="Q167" s="142"/>
      <c r="R167" s="282">
        <f>'[1]budżet 2009'!$N$592</f>
        <v>739</v>
      </c>
    </row>
    <row r="168" spans="2:18" s="140" customFormat="1" ht="22.5">
      <c r="B168" s="296"/>
      <c r="C168" s="80" t="s">
        <v>748</v>
      </c>
      <c r="D168" s="34"/>
      <c r="E168" s="290">
        <v>4359</v>
      </c>
      <c r="F168" s="142">
        <f t="shared" si="37"/>
        <v>130</v>
      </c>
      <c r="G168" s="142">
        <f>I168</f>
        <v>130</v>
      </c>
      <c r="H168" s="282"/>
      <c r="I168" s="142">
        <f t="shared" si="38"/>
        <v>130</v>
      </c>
      <c r="J168" s="142">
        <f t="shared" si="39"/>
        <v>130</v>
      </c>
      <c r="K168" s="142"/>
      <c r="L168" s="142"/>
      <c r="M168" s="142">
        <f>'[1]budżet 2009'!$N$593</f>
        <v>130</v>
      </c>
      <c r="N168" s="142">
        <f t="shared" si="40"/>
        <v>0</v>
      </c>
      <c r="O168" s="142"/>
      <c r="P168" s="142"/>
      <c r="Q168" s="142"/>
      <c r="R168" s="282"/>
    </row>
    <row r="169" spans="2:20" s="140" customFormat="1" ht="11.25">
      <c r="B169" s="296"/>
      <c r="C169" s="136">
        <v>2009</v>
      </c>
      <c r="D169" s="138"/>
      <c r="E169" s="138"/>
      <c r="F169" s="137">
        <f>G169+H169+F164</f>
        <v>382862</v>
      </c>
      <c r="G169" s="137">
        <f>SUM(G152:G168)</f>
        <v>36237</v>
      </c>
      <c r="H169" s="137">
        <f>SUM(H152:H168)</f>
        <v>325433</v>
      </c>
      <c r="I169" s="137">
        <f>J169+N169</f>
        <v>361670</v>
      </c>
      <c r="J169" s="137">
        <f>SUM(K169:M169)</f>
        <v>36237</v>
      </c>
      <c r="K169" s="137">
        <f>SUM(K152:K168)</f>
        <v>0</v>
      </c>
      <c r="L169" s="137">
        <f>SUM(L152:L168)</f>
        <v>0</v>
      </c>
      <c r="M169" s="137">
        <f>SUM(M152:M168)</f>
        <v>36237</v>
      </c>
      <c r="N169" s="137">
        <f>O169+P169+Q169+R169</f>
        <v>325433</v>
      </c>
      <c r="O169" s="137">
        <f>SUM(O152:O168)</f>
        <v>0</v>
      </c>
      <c r="P169" s="137">
        <f>SUM(P152:P168)</f>
        <v>0</v>
      </c>
      <c r="Q169" s="137">
        <f>SUM(Q152:Q168)</f>
        <v>0</v>
      </c>
      <c r="R169" s="137">
        <f>SUM(R152:R168)</f>
        <v>325433</v>
      </c>
      <c r="T169" s="485"/>
    </row>
    <row r="170" spans="2:18" s="140" customFormat="1" ht="11.25">
      <c r="B170" s="296"/>
      <c r="C170" s="136">
        <v>2010</v>
      </c>
      <c r="D170" s="138"/>
      <c r="E170" s="138"/>
      <c r="F170" s="137">
        <f>G170+H170+8830</f>
        <v>166786</v>
      </c>
      <c r="G170" s="137">
        <v>10569</v>
      </c>
      <c r="H170" s="135">
        <f>166786-10569-8830</f>
        <v>147387</v>
      </c>
      <c r="I170" s="137"/>
      <c r="J170" s="137"/>
      <c r="K170" s="138"/>
      <c r="L170" s="138"/>
      <c r="M170" s="269"/>
      <c r="N170" s="137"/>
      <c r="O170" s="138"/>
      <c r="P170" s="138"/>
      <c r="Q170" s="138"/>
      <c r="R170" s="138"/>
    </row>
    <row r="171" spans="2:18" s="140" customFormat="1" ht="11.25" customHeight="1">
      <c r="B171" s="296" t="s">
        <v>750</v>
      </c>
      <c r="C171" s="310" t="s">
        <v>218</v>
      </c>
      <c r="D171" s="606" t="s">
        <v>759</v>
      </c>
      <c r="E171" s="607"/>
      <c r="F171" s="607"/>
      <c r="G171" s="607"/>
      <c r="H171" s="607"/>
      <c r="I171" s="607"/>
      <c r="J171" s="607"/>
      <c r="K171" s="607"/>
      <c r="L171" s="607"/>
      <c r="M171" s="607"/>
      <c r="N171" s="607"/>
      <c r="O171" s="607"/>
      <c r="P171" s="607"/>
      <c r="Q171" s="607"/>
      <c r="R171" s="608"/>
    </row>
    <row r="172" spans="2:18" s="140" customFormat="1" ht="11.25" customHeight="1">
      <c r="B172" s="296"/>
      <c r="C172" s="307" t="s">
        <v>219</v>
      </c>
      <c r="D172" s="609"/>
      <c r="E172" s="610"/>
      <c r="F172" s="610"/>
      <c r="G172" s="610"/>
      <c r="H172" s="610"/>
      <c r="I172" s="610"/>
      <c r="J172" s="610"/>
      <c r="K172" s="610"/>
      <c r="L172" s="610"/>
      <c r="M172" s="610"/>
      <c r="N172" s="610"/>
      <c r="O172" s="610"/>
      <c r="P172" s="610"/>
      <c r="Q172" s="610"/>
      <c r="R172" s="611"/>
    </row>
    <row r="173" spans="2:18" s="140" customFormat="1" ht="11.25" customHeight="1">
      <c r="B173" s="296"/>
      <c r="C173" s="307" t="s">
        <v>220</v>
      </c>
      <c r="D173" s="609"/>
      <c r="E173" s="610"/>
      <c r="F173" s="610"/>
      <c r="G173" s="610"/>
      <c r="H173" s="610"/>
      <c r="I173" s="610"/>
      <c r="J173" s="610"/>
      <c r="K173" s="610"/>
      <c r="L173" s="610"/>
      <c r="M173" s="610"/>
      <c r="N173" s="610"/>
      <c r="O173" s="610"/>
      <c r="P173" s="610"/>
      <c r="Q173" s="610"/>
      <c r="R173" s="611"/>
    </row>
    <row r="174" spans="2:18" s="140" customFormat="1" ht="11.25" customHeight="1">
      <c r="B174" s="296"/>
      <c r="C174" s="308" t="s">
        <v>221</v>
      </c>
      <c r="D174" s="612"/>
      <c r="E174" s="613"/>
      <c r="F174" s="613"/>
      <c r="G174" s="613"/>
      <c r="H174" s="613"/>
      <c r="I174" s="613"/>
      <c r="J174" s="613"/>
      <c r="K174" s="613"/>
      <c r="L174" s="613"/>
      <c r="M174" s="613"/>
      <c r="N174" s="613"/>
      <c r="O174" s="613"/>
      <c r="P174" s="613"/>
      <c r="Q174" s="613"/>
      <c r="R174" s="614"/>
    </row>
    <row r="175" spans="2:18" s="140" customFormat="1" ht="12.75">
      <c r="B175" s="296"/>
      <c r="C175" s="311" t="s">
        <v>222</v>
      </c>
      <c r="D175" s="34"/>
      <c r="E175" s="143" t="s">
        <v>749</v>
      </c>
      <c r="F175" s="142">
        <f>F192+F193</f>
        <v>536118</v>
      </c>
      <c r="G175" s="142">
        <f aca="true" t="shared" si="41" ref="G175:R175">G192+G193</f>
        <v>80418</v>
      </c>
      <c r="H175" s="142">
        <f t="shared" si="41"/>
        <v>455700</v>
      </c>
      <c r="I175" s="142">
        <f t="shared" si="41"/>
        <v>478252</v>
      </c>
      <c r="J175" s="142">
        <f t="shared" si="41"/>
        <v>71738</v>
      </c>
      <c r="K175" s="142">
        <f t="shared" si="41"/>
        <v>0</v>
      </c>
      <c r="L175" s="142">
        <f t="shared" si="41"/>
        <v>0</v>
      </c>
      <c r="M175" s="142">
        <f t="shared" si="41"/>
        <v>71738</v>
      </c>
      <c r="N175" s="142">
        <f t="shared" si="41"/>
        <v>406514</v>
      </c>
      <c r="O175" s="142">
        <f t="shared" si="41"/>
        <v>0</v>
      </c>
      <c r="P175" s="142">
        <f t="shared" si="41"/>
        <v>0</v>
      </c>
      <c r="Q175" s="142">
        <f t="shared" si="41"/>
        <v>0</v>
      </c>
      <c r="R175" s="282">
        <f t="shared" si="41"/>
        <v>406514</v>
      </c>
    </row>
    <row r="176" spans="2:18" s="140" customFormat="1" ht="22.5">
      <c r="B176" s="296"/>
      <c r="C176" s="80" t="s">
        <v>412</v>
      </c>
      <c r="D176" s="34"/>
      <c r="E176" s="290">
        <v>4118</v>
      </c>
      <c r="F176" s="142">
        <f aca="true" t="shared" si="42" ref="F176:F187">G176+H176</f>
        <v>14527</v>
      </c>
      <c r="G176" s="142"/>
      <c r="H176" s="282">
        <f>R176</f>
        <v>14527</v>
      </c>
      <c r="I176" s="142">
        <f aca="true" t="shared" si="43" ref="I176:I187">J176+N176</f>
        <v>14527</v>
      </c>
      <c r="J176" s="142">
        <f aca="true" t="shared" si="44" ref="J176:J187">SUM(K176:M176)</f>
        <v>0</v>
      </c>
      <c r="K176" s="142"/>
      <c r="L176" s="142"/>
      <c r="M176" s="142"/>
      <c r="N176" s="142">
        <f aca="true" t="shared" si="45" ref="N176:N187">SUM(O176:R176)</f>
        <v>14527</v>
      </c>
      <c r="O176" s="142"/>
      <c r="P176" s="142"/>
      <c r="Q176" s="142"/>
      <c r="R176" s="282">
        <f>'[1]budżet 2009'!$N$619</f>
        <v>14527</v>
      </c>
    </row>
    <row r="177" spans="2:18" s="140" customFormat="1" ht="22.5">
      <c r="B177" s="296"/>
      <c r="C177" s="80" t="s">
        <v>412</v>
      </c>
      <c r="D177" s="34"/>
      <c r="E177" s="290">
        <v>4119</v>
      </c>
      <c r="F177" s="142">
        <f t="shared" si="42"/>
        <v>2564</v>
      </c>
      <c r="G177" s="142">
        <f>M177</f>
        <v>2564</v>
      </c>
      <c r="H177" s="282"/>
      <c r="I177" s="142">
        <f t="shared" si="43"/>
        <v>2564</v>
      </c>
      <c r="J177" s="142">
        <f t="shared" si="44"/>
        <v>2564</v>
      </c>
      <c r="K177" s="142"/>
      <c r="L177" s="142"/>
      <c r="M177" s="142">
        <f>'[1]budżet 2009'!$N$620</f>
        <v>2564</v>
      </c>
      <c r="N177" s="142">
        <f t="shared" si="45"/>
        <v>0</v>
      </c>
      <c r="O177" s="142"/>
      <c r="P177" s="142"/>
      <c r="Q177" s="142"/>
      <c r="R177" s="282"/>
    </row>
    <row r="178" spans="2:18" s="140" customFormat="1" ht="12.75">
      <c r="B178" s="296"/>
      <c r="C178" s="80" t="s">
        <v>414</v>
      </c>
      <c r="D178" s="34"/>
      <c r="E178" s="290">
        <v>4128</v>
      </c>
      <c r="F178" s="142">
        <f t="shared" si="42"/>
        <v>2320</v>
      </c>
      <c r="G178" s="142"/>
      <c r="H178" s="282">
        <f>R178</f>
        <v>2320</v>
      </c>
      <c r="I178" s="142">
        <f t="shared" si="43"/>
        <v>2320</v>
      </c>
      <c r="J178" s="142">
        <f t="shared" si="44"/>
        <v>0</v>
      </c>
      <c r="K178" s="142"/>
      <c r="L178" s="142"/>
      <c r="M178" s="142"/>
      <c r="N178" s="142">
        <f t="shared" si="45"/>
        <v>2320</v>
      </c>
      <c r="O178" s="142"/>
      <c r="P178" s="142"/>
      <c r="Q178" s="142"/>
      <c r="R178" s="282">
        <f>'[1]budżet 2009'!$N$621</f>
        <v>2320</v>
      </c>
    </row>
    <row r="179" spans="2:18" s="140" customFormat="1" ht="12.75">
      <c r="B179" s="296"/>
      <c r="C179" s="80" t="s">
        <v>414</v>
      </c>
      <c r="D179" s="34"/>
      <c r="E179" s="290">
        <v>4129</v>
      </c>
      <c r="F179" s="142">
        <f t="shared" si="42"/>
        <v>410</v>
      </c>
      <c r="G179" s="142">
        <f>M179</f>
        <v>410</v>
      </c>
      <c r="H179" s="282"/>
      <c r="I179" s="142">
        <f t="shared" si="43"/>
        <v>410</v>
      </c>
      <c r="J179" s="142">
        <f t="shared" si="44"/>
        <v>410</v>
      </c>
      <c r="K179" s="142"/>
      <c r="L179" s="142"/>
      <c r="M179" s="142">
        <f>'[1]budżet 2009'!$N$622</f>
        <v>410</v>
      </c>
      <c r="N179" s="142">
        <f t="shared" si="45"/>
        <v>0</v>
      </c>
      <c r="O179" s="142"/>
      <c r="P179" s="142"/>
      <c r="Q179" s="142"/>
      <c r="R179" s="282"/>
    </row>
    <row r="180" spans="2:18" s="140" customFormat="1" ht="22.5">
      <c r="B180" s="296"/>
      <c r="C180" s="80" t="s">
        <v>371</v>
      </c>
      <c r="D180" s="34"/>
      <c r="E180" s="290">
        <v>4178</v>
      </c>
      <c r="F180" s="142">
        <f t="shared" si="42"/>
        <v>104053</v>
      </c>
      <c r="G180" s="142"/>
      <c r="H180" s="282">
        <f>N180</f>
        <v>104053</v>
      </c>
      <c r="I180" s="142">
        <f t="shared" si="43"/>
        <v>104053</v>
      </c>
      <c r="J180" s="142">
        <f t="shared" si="44"/>
        <v>0</v>
      </c>
      <c r="K180" s="142"/>
      <c r="L180" s="142"/>
      <c r="M180" s="142"/>
      <c r="N180" s="142">
        <f t="shared" si="45"/>
        <v>104053</v>
      </c>
      <c r="O180" s="142"/>
      <c r="P180" s="142"/>
      <c r="Q180" s="142"/>
      <c r="R180" s="282">
        <f>'[1]budżet 2009'!$N$623</f>
        <v>104053</v>
      </c>
    </row>
    <row r="181" spans="2:18" s="140" customFormat="1" ht="22.5">
      <c r="B181" s="296"/>
      <c r="C181" s="80" t="s">
        <v>371</v>
      </c>
      <c r="D181" s="34"/>
      <c r="E181" s="290">
        <v>4179</v>
      </c>
      <c r="F181" s="142">
        <f t="shared" si="42"/>
        <v>18362</v>
      </c>
      <c r="G181" s="142">
        <f>J181</f>
        <v>18362</v>
      </c>
      <c r="H181" s="282"/>
      <c r="I181" s="142">
        <f t="shared" si="43"/>
        <v>18362</v>
      </c>
      <c r="J181" s="142">
        <f t="shared" si="44"/>
        <v>18362</v>
      </c>
      <c r="K181" s="142"/>
      <c r="L181" s="142"/>
      <c r="M181" s="142">
        <f>'[1]budżet 2009'!$N$624</f>
        <v>18362</v>
      </c>
      <c r="N181" s="142">
        <f t="shared" si="45"/>
        <v>0</v>
      </c>
      <c r="O181" s="142"/>
      <c r="P181" s="142"/>
      <c r="Q181" s="142"/>
      <c r="R181" s="282"/>
    </row>
    <row r="182" spans="2:18" s="140" customFormat="1" ht="22.5">
      <c r="B182" s="296"/>
      <c r="C182" s="80" t="s">
        <v>337</v>
      </c>
      <c r="D182" s="34"/>
      <c r="E182" s="290">
        <v>4218</v>
      </c>
      <c r="F182" s="142">
        <f t="shared" si="42"/>
        <v>7068</v>
      </c>
      <c r="G182" s="142"/>
      <c r="H182" s="282">
        <f>N182</f>
        <v>7068</v>
      </c>
      <c r="I182" s="142">
        <f t="shared" si="43"/>
        <v>7068</v>
      </c>
      <c r="J182" s="142">
        <f t="shared" si="44"/>
        <v>0</v>
      </c>
      <c r="K182" s="142"/>
      <c r="L182" s="142"/>
      <c r="M182" s="142"/>
      <c r="N182" s="142">
        <f t="shared" si="45"/>
        <v>7068</v>
      </c>
      <c r="O182" s="142"/>
      <c r="P182" s="142"/>
      <c r="Q182" s="142"/>
      <c r="R182" s="282">
        <f>'[1]budżet 2009'!$N$625</f>
        <v>7068</v>
      </c>
    </row>
    <row r="183" spans="2:18" s="140" customFormat="1" ht="22.5">
      <c r="B183" s="296"/>
      <c r="C183" s="80" t="s">
        <v>337</v>
      </c>
      <c r="D183" s="34"/>
      <c r="E183" s="290">
        <v>4219</v>
      </c>
      <c r="F183" s="142">
        <f t="shared" si="42"/>
        <v>1247</v>
      </c>
      <c r="G183" s="142">
        <f>I183</f>
        <v>1247</v>
      </c>
      <c r="H183" s="282"/>
      <c r="I183" s="142">
        <f t="shared" si="43"/>
        <v>1247</v>
      </c>
      <c r="J183" s="142">
        <f t="shared" si="44"/>
        <v>1247</v>
      </c>
      <c r="K183" s="142"/>
      <c r="L183" s="142"/>
      <c r="M183" s="142">
        <f>'[1]budżet 2009'!$N$626</f>
        <v>1247</v>
      </c>
      <c r="N183" s="142">
        <f t="shared" si="45"/>
        <v>0</v>
      </c>
      <c r="O183" s="142"/>
      <c r="P183" s="142"/>
      <c r="Q183" s="142"/>
      <c r="R183" s="282"/>
    </row>
    <row r="184" spans="2:18" s="140" customFormat="1" ht="33.75">
      <c r="B184" s="296"/>
      <c r="C184" s="486" t="s">
        <v>417</v>
      </c>
      <c r="D184" s="34"/>
      <c r="E184" s="290">
        <v>4758</v>
      </c>
      <c r="F184" s="142">
        <f t="shared" si="42"/>
        <v>0</v>
      </c>
      <c r="G184" s="142"/>
      <c r="H184" s="282">
        <f>N184</f>
        <v>0</v>
      </c>
      <c r="I184" s="142">
        <f t="shared" si="43"/>
        <v>0</v>
      </c>
      <c r="J184" s="142">
        <f t="shared" si="44"/>
        <v>0</v>
      </c>
      <c r="K184" s="142"/>
      <c r="L184" s="142"/>
      <c r="M184" s="142"/>
      <c r="N184" s="142">
        <f t="shared" si="45"/>
        <v>0</v>
      </c>
      <c r="O184" s="142"/>
      <c r="P184" s="142"/>
      <c r="Q184" s="142"/>
      <c r="R184" s="282"/>
    </row>
    <row r="185" spans="2:18" s="140" customFormat="1" ht="33.75">
      <c r="B185" s="296"/>
      <c r="C185" s="486" t="s">
        <v>417</v>
      </c>
      <c r="D185" s="34"/>
      <c r="E185" s="290">
        <v>4759</v>
      </c>
      <c r="F185" s="142">
        <f t="shared" si="42"/>
        <v>0</v>
      </c>
      <c r="G185" s="142">
        <f>I185</f>
        <v>0</v>
      </c>
      <c r="H185" s="282"/>
      <c r="I185" s="142">
        <f t="shared" si="43"/>
        <v>0</v>
      </c>
      <c r="J185" s="142">
        <f t="shared" si="44"/>
        <v>0</v>
      </c>
      <c r="K185" s="142"/>
      <c r="L185" s="142"/>
      <c r="M185" s="142"/>
      <c r="N185" s="142">
        <f t="shared" si="45"/>
        <v>0</v>
      </c>
      <c r="O185" s="142"/>
      <c r="P185" s="142"/>
      <c r="Q185" s="142"/>
      <c r="R185" s="282"/>
    </row>
    <row r="186" spans="2:18" s="140" customFormat="1" ht="12.75">
      <c r="B186" s="296"/>
      <c r="C186" s="80" t="s">
        <v>320</v>
      </c>
      <c r="D186" s="34"/>
      <c r="E186" s="290">
        <v>4308</v>
      </c>
      <c r="F186" s="142">
        <f t="shared" si="42"/>
        <v>274840</v>
      </c>
      <c r="G186" s="142"/>
      <c r="H186" s="282">
        <f>N186</f>
        <v>274840</v>
      </c>
      <c r="I186" s="142">
        <f t="shared" si="43"/>
        <v>274840</v>
      </c>
      <c r="J186" s="142">
        <f t="shared" si="44"/>
        <v>0</v>
      </c>
      <c r="K186" s="142"/>
      <c r="L186" s="142"/>
      <c r="M186" s="142"/>
      <c r="N186" s="142">
        <f t="shared" si="45"/>
        <v>274840</v>
      </c>
      <c r="O186" s="142"/>
      <c r="P186" s="142"/>
      <c r="Q186" s="142"/>
      <c r="R186" s="282">
        <f>'[1]budżet 2009'!$N$627</f>
        <v>274840</v>
      </c>
    </row>
    <row r="187" spans="2:18" s="140" customFormat="1" ht="12.75">
      <c r="B187" s="296"/>
      <c r="C187" s="80" t="s">
        <v>320</v>
      </c>
      <c r="D187" s="34"/>
      <c r="E187" s="290">
        <v>4309</v>
      </c>
      <c r="F187" s="142">
        <f t="shared" si="42"/>
        <v>48501</v>
      </c>
      <c r="G187" s="142">
        <f>I187</f>
        <v>48501</v>
      </c>
      <c r="H187" s="282"/>
      <c r="I187" s="142">
        <f t="shared" si="43"/>
        <v>48501</v>
      </c>
      <c r="J187" s="142">
        <f t="shared" si="44"/>
        <v>48501</v>
      </c>
      <c r="K187" s="142"/>
      <c r="L187" s="142"/>
      <c r="M187" s="142">
        <f>'[1]budżet 2009'!$N$628</f>
        <v>48501</v>
      </c>
      <c r="N187" s="142">
        <f t="shared" si="45"/>
        <v>0</v>
      </c>
      <c r="O187" s="142"/>
      <c r="P187" s="142"/>
      <c r="Q187" s="142"/>
      <c r="R187" s="282"/>
    </row>
    <row r="188" spans="2:18" s="140" customFormat="1" ht="33.75">
      <c r="B188" s="296"/>
      <c r="C188" s="80" t="s">
        <v>416</v>
      </c>
      <c r="D188" s="34"/>
      <c r="E188" s="290">
        <v>4378</v>
      </c>
      <c r="F188" s="142">
        <f aca="true" t="shared" si="46" ref="F188:F193">G188+H188</f>
        <v>1850</v>
      </c>
      <c r="G188" s="142"/>
      <c r="H188" s="282">
        <f>N188</f>
        <v>1850</v>
      </c>
      <c r="I188" s="142">
        <f>J188+N188</f>
        <v>1850</v>
      </c>
      <c r="J188" s="142">
        <f>SUM(K188:M188)</f>
        <v>0</v>
      </c>
      <c r="K188" s="142"/>
      <c r="L188" s="142"/>
      <c r="M188" s="142"/>
      <c r="N188" s="142">
        <f>SUM(O188:R188)</f>
        <v>1850</v>
      </c>
      <c r="O188" s="142"/>
      <c r="P188" s="142"/>
      <c r="Q188" s="142"/>
      <c r="R188" s="282">
        <f>'[1]budżet 2009'!$N$629</f>
        <v>1850</v>
      </c>
    </row>
    <row r="189" spans="2:18" s="140" customFormat="1" ht="33.75">
      <c r="B189" s="296"/>
      <c r="C189" s="80" t="s">
        <v>416</v>
      </c>
      <c r="D189" s="34"/>
      <c r="E189" s="290">
        <v>4379</v>
      </c>
      <c r="F189" s="142">
        <f t="shared" si="46"/>
        <v>326</v>
      </c>
      <c r="G189" s="142">
        <f>I189</f>
        <v>326</v>
      </c>
      <c r="H189" s="282"/>
      <c r="I189" s="142">
        <f>J189+N189</f>
        <v>326</v>
      </c>
      <c r="J189" s="142">
        <f>SUM(K189:M189)</f>
        <v>326</v>
      </c>
      <c r="K189" s="142"/>
      <c r="L189" s="142"/>
      <c r="M189" s="142">
        <f>'[1]budżet 2009'!$N$630</f>
        <v>326</v>
      </c>
      <c r="N189" s="142">
        <f>SUM(O189:R189)</f>
        <v>0</v>
      </c>
      <c r="O189" s="142"/>
      <c r="P189" s="142"/>
      <c r="Q189" s="142"/>
      <c r="R189" s="282"/>
    </row>
    <row r="190" spans="2:18" s="140" customFormat="1" ht="22.5">
      <c r="B190" s="296"/>
      <c r="C190" s="519" t="s">
        <v>346</v>
      </c>
      <c r="D190" s="34"/>
      <c r="E190" s="290">
        <v>4418</v>
      </c>
      <c r="F190" s="142">
        <f t="shared" si="46"/>
        <v>1856</v>
      </c>
      <c r="G190" s="142"/>
      <c r="H190" s="282">
        <f>N190</f>
        <v>1856</v>
      </c>
      <c r="I190" s="142">
        <f>J190+N190</f>
        <v>1856</v>
      </c>
      <c r="J190" s="142">
        <f>SUM(K190:M190)</f>
        <v>0</v>
      </c>
      <c r="K190" s="142"/>
      <c r="L190" s="142"/>
      <c r="M190" s="142"/>
      <c r="N190" s="142">
        <f>SUM(O190:R190)</f>
        <v>1856</v>
      </c>
      <c r="O190" s="142"/>
      <c r="P190" s="142"/>
      <c r="Q190" s="142"/>
      <c r="R190" s="282">
        <f>'[1]budżet 2009'!$N$631</f>
        <v>1856</v>
      </c>
    </row>
    <row r="191" spans="2:18" s="140" customFormat="1" ht="22.5">
      <c r="B191" s="296"/>
      <c r="C191" s="519" t="s">
        <v>346</v>
      </c>
      <c r="D191" s="34"/>
      <c r="E191" s="290">
        <v>4419</v>
      </c>
      <c r="F191" s="142">
        <f t="shared" si="46"/>
        <v>328</v>
      </c>
      <c r="G191" s="142">
        <f>I191</f>
        <v>328</v>
      </c>
      <c r="H191" s="282"/>
      <c r="I191" s="142">
        <f>J191+N191</f>
        <v>328</v>
      </c>
      <c r="J191" s="142">
        <f>SUM(K191:M191)</f>
        <v>328</v>
      </c>
      <c r="K191" s="142"/>
      <c r="L191" s="142"/>
      <c r="M191" s="142">
        <f>'[1]budżet 2009'!$N$632</f>
        <v>328</v>
      </c>
      <c r="N191" s="142">
        <f>SUM(O191:R191)</f>
        <v>0</v>
      </c>
      <c r="O191" s="142"/>
      <c r="P191" s="142"/>
      <c r="Q191" s="142"/>
      <c r="R191" s="282"/>
    </row>
    <row r="192" spans="2:20" s="140" customFormat="1" ht="11.25">
      <c r="B192" s="296"/>
      <c r="C192" s="136">
        <v>2009</v>
      </c>
      <c r="D192" s="138"/>
      <c r="E192" s="138"/>
      <c r="F192" s="137">
        <f t="shared" si="46"/>
        <v>478252</v>
      </c>
      <c r="G192" s="137">
        <f>SUM(G176:G191)</f>
        <v>71738</v>
      </c>
      <c r="H192" s="137">
        <f>SUM(H176:H191)</f>
        <v>406514</v>
      </c>
      <c r="I192" s="137">
        <f>J192+N192</f>
        <v>478252</v>
      </c>
      <c r="J192" s="137">
        <f>SUM(K192:M192)</f>
        <v>71738</v>
      </c>
      <c r="K192" s="137">
        <f>SUM(K176:K191)</f>
        <v>0</v>
      </c>
      <c r="L192" s="137">
        <f>SUM(L176:L191)</f>
        <v>0</v>
      </c>
      <c r="M192" s="137">
        <f>SUM(M176:M191)</f>
        <v>71738</v>
      </c>
      <c r="N192" s="137">
        <f>O192+P192+Q192+R192</f>
        <v>406514</v>
      </c>
      <c r="O192" s="137">
        <f>SUM(O176:O191)</f>
        <v>0</v>
      </c>
      <c r="P192" s="137">
        <f>SUM(P176:P191)</f>
        <v>0</v>
      </c>
      <c r="Q192" s="137">
        <f>SUM(Q176:Q191)</f>
        <v>0</v>
      </c>
      <c r="R192" s="137">
        <f>SUM(R176:R191)</f>
        <v>406514</v>
      </c>
      <c r="T192" s="485"/>
    </row>
    <row r="193" spans="2:18" s="140" customFormat="1" ht="11.25">
      <c r="B193" s="296"/>
      <c r="C193" s="136">
        <v>2010</v>
      </c>
      <c r="D193" s="138"/>
      <c r="E193" s="138"/>
      <c r="F193" s="137">
        <f t="shared" si="46"/>
        <v>57866</v>
      </c>
      <c r="G193" s="137">
        <v>8680</v>
      </c>
      <c r="H193" s="135">
        <v>49186</v>
      </c>
      <c r="I193" s="137"/>
      <c r="J193" s="137"/>
      <c r="K193" s="138"/>
      <c r="L193" s="138"/>
      <c r="M193" s="269"/>
      <c r="N193" s="137"/>
      <c r="O193" s="138"/>
      <c r="P193" s="138"/>
      <c r="Q193" s="138"/>
      <c r="R193" s="138"/>
    </row>
    <row r="194" spans="2:18" s="140" customFormat="1" ht="11.25" customHeight="1">
      <c r="B194" s="296" t="s">
        <v>750</v>
      </c>
      <c r="C194" s="310" t="s">
        <v>218</v>
      </c>
      <c r="D194" s="606" t="s">
        <v>751</v>
      </c>
      <c r="E194" s="607"/>
      <c r="F194" s="607"/>
      <c r="G194" s="607"/>
      <c r="H194" s="607"/>
      <c r="I194" s="607"/>
      <c r="J194" s="607"/>
      <c r="K194" s="607"/>
      <c r="L194" s="607"/>
      <c r="M194" s="607"/>
      <c r="N194" s="607"/>
      <c r="O194" s="607"/>
      <c r="P194" s="607"/>
      <c r="Q194" s="607"/>
      <c r="R194" s="608"/>
    </row>
    <row r="195" spans="2:18" s="140" customFormat="1" ht="11.25" customHeight="1">
      <c r="B195" s="296"/>
      <c r="C195" s="307" t="s">
        <v>219</v>
      </c>
      <c r="D195" s="609"/>
      <c r="E195" s="610"/>
      <c r="F195" s="610"/>
      <c r="G195" s="610"/>
      <c r="H195" s="610"/>
      <c r="I195" s="610"/>
      <c r="J195" s="610"/>
      <c r="K195" s="610"/>
      <c r="L195" s="610"/>
      <c r="M195" s="610"/>
      <c r="N195" s="610"/>
      <c r="O195" s="610"/>
      <c r="P195" s="610"/>
      <c r="Q195" s="610"/>
      <c r="R195" s="611"/>
    </row>
    <row r="196" spans="2:18" s="140" customFormat="1" ht="11.25" customHeight="1">
      <c r="B196" s="296"/>
      <c r="C196" s="307" t="s">
        <v>220</v>
      </c>
      <c r="D196" s="609"/>
      <c r="E196" s="610"/>
      <c r="F196" s="610"/>
      <c r="G196" s="610"/>
      <c r="H196" s="610"/>
      <c r="I196" s="610"/>
      <c r="J196" s="610"/>
      <c r="K196" s="610"/>
      <c r="L196" s="610"/>
      <c r="M196" s="610"/>
      <c r="N196" s="610"/>
      <c r="O196" s="610"/>
      <c r="P196" s="610"/>
      <c r="Q196" s="610"/>
      <c r="R196" s="611"/>
    </row>
    <row r="197" spans="2:18" s="140" customFormat="1" ht="11.25" customHeight="1">
      <c r="B197" s="296"/>
      <c r="C197" s="308" t="s">
        <v>221</v>
      </c>
      <c r="D197" s="612"/>
      <c r="E197" s="613"/>
      <c r="F197" s="613"/>
      <c r="G197" s="613"/>
      <c r="H197" s="613"/>
      <c r="I197" s="613"/>
      <c r="J197" s="613"/>
      <c r="K197" s="613"/>
      <c r="L197" s="613"/>
      <c r="M197" s="613"/>
      <c r="N197" s="613"/>
      <c r="O197" s="613"/>
      <c r="P197" s="613"/>
      <c r="Q197" s="613"/>
      <c r="R197" s="614"/>
    </row>
    <row r="198" spans="2:18" s="140" customFormat="1" ht="12.75">
      <c r="B198" s="296"/>
      <c r="C198" s="311" t="s">
        <v>222</v>
      </c>
      <c r="D198" s="34"/>
      <c r="E198" s="143" t="s">
        <v>752</v>
      </c>
      <c r="F198" s="142">
        <f>F217</f>
        <v>832100</v>
      </c>
      <c r="G198" s="142">
        <f aca="true" t="shared" si="47" ref="G198:R198">G217</f>
        <v>124815</v>
      </c>
      <c r="H198" s="142">
        <f t="shared" si="47"/>
        <v>707285</v>
      </c>
      <c r="I198" s="142">
        <f t="shared" si="47"/>
        <v>832100</v>
      </c>
      <c r="J198" s="142">
        <f t="shared" si="47"/>
        <v>124815</v>
      </c>
      <c r="K198" s="142">
        <f t="shared" si="47"/>
        <v>0</v>
      </c>
      <c r="L198" s="142">
        <f t="shared" si="47"/>
        <v>0</v>
      </c>
      <c r="M198" s="142">
        <f t="shared" si="47"/>
        <v>124815</v>
      </c>
      <c r="N198" s="142">
        <f t="shared" si="47"/>
        <v>707285</v>
      </c>
      <c r="O198" s="142">
        <f t="shared" si="47"/>
        <v>0</v>
      </c>
      <c r="P198" s="142">
        <f t="shared" si="47"/>
        <v>0</v>
      </c>
      <c r="Q198" s="142">
        <f t="shared" si="47"/>
        <v>0</v>
      </c>
      <c r="R198" s="119">
        <f t="shared" si="47"/>
        <v>707285</v>
      </c>
    </row>
    <row r="199" spans="2:18" s="140" customFormat="1" ht="22.5">
      <c r="B199" s="296"/>
      <c r="C199" s="80" t="s">
        <v>412</v>
      </c>
      <c r="D199" s="34"/>
      <c r="E199" s="290">
        <v>4118</v>
      </c>
      <c r="F199" s="142">
        <f aca="true" t="shared" si="48" ref="F199:F217">G199+H199</f>
        <v>9097</v>
      </c>
      <c r="G199" s="142"/>
      <c r="H199" s="282">
        <f>R199</f>
        <v>9097</v>
      </c>
      <c r="I199" s="142">
        <f aca="true" t="shared" si="49" ref="I199:I214">J199+N199</f>
        <v>9097</v>
      </c>
      <c r="J199" s="142">
        <f aca="true" t="shared" si="50" ref="J199:J214">SUM(K199:M199)</f>
        <v>0</v>
      </c>
      <c r="K199" s="142"/>
      <c r="L199" s="142"/>
      <c r="M199" s="142"/>
      <c r="N199" s="142">
        <f aca="true" t="shared" si="51" ref="N199:N214">SUM(O199:R199)</f>
        <v>9097</v>
      </c>
      <c r="O199" s="142"/>
      <c r="P199" s="142"/>
      <c r="Q199" s="142"/>
      <c r="R199" s="282">
        <f>'[2]budżet 2009'!$N$1101</f>
        <v>9097</v>
      </c>
    </row>
    <row r="200" spans="2:18" s="140" customFormat="1" ht="22.5">
      <c r="B200" s="296"/>
      <c r="C200" s="80" t="s">
        <v>412</v>
      </c>
      <c r="D200" s="34"/>
      <c r="E200" s="290">
        <v>4119</v>
      </c>
      <c r="F200" s="142">
        <f t="shared" si="48"/>
        <v>1605</v>
      </c>
      <c r="G200" s="142">
        <f>M200</f>
        <v>1605</v>
      </c>
      <c r="H200" s="282"/>
      <c r="I200" s="142">
        <f t="shared" si="49"/>
        <v>1605</v>
      </c>
      <c r="J200" s="142">
        <f t="shared" si="50"/>
        <v>1605</v>
      </c>
      <c r="K200" s="142"/>
      <c r="L200" s="142"/>
      <c r="M200" s="142">
        <f>'[2]budżet 2009'!$N$1102</f>
        <v>1605</v>
      </c>
      <c r="N200" s="142">
        <f t="shared" si="51"/>
        <v>0</v>
      </c>
      <c r="O200" s="142"/>
      <c r="P200" s="142"/>
      <c r="Q200" s="142"/>
      <c r="R200" s="282"/>
    </row>
    <row r="201" spans="2:18" s="140" customFormat="1" ht="12.75">
      <c r="B201" s="296"/>
      <c r="C201" s="80" t="s">
        <v>414</v>
      </c>
      <c r="D201" s="34"/>
      <c r="E201" s="290">
        <v>4128</v>
      </c>
      <c r="F201" s="142">
        <f t="shared" si="48"/>
        <v>1467</v>
      </c>
      <c r="G201" s="142"/>
      <c r="H201" s="282">
        <f>R201</f>
        <v>1467</v>
      </c>
      <c r="I201" s="142">
        <f t="shared" si="49"/>
        <v>1467</v>
      </c>
      <c r="J201" s="142">
        <f t="shared" si="50"/>
        <v>0</v>
      </c>
      <c r="K201" s="142"/>
      <c r="L201" s="142"/>
      <c r="M201" s="142"/>
      <c r="N201" s="142">
        <f t="shared" si="51"/>
        <v>1467</v>
      </c>
      <c r="O201" s="142"/>
      <c r="P201" s="142"/>
      <c r="Q201" s="142"/>
      <c r="R201" s="282">
        <f>'[2]budżet 2009'!$N$1103</f>
        <v>1467</v>
      </c>
    </row>
    <row r="202" spans="2:18" s="140" customFormat="1" ht="12.75">
      <c r="B202" s="296"/>
      <c r="C202" s="80" t="s">
        <v>414</v>
      </c>
      <c r="D202" s="34"/>
      <c r="E202" s="290">
        <v>4129</v>
      </c>
      <c r="F202" s="142">
        <f t="shared" si="48"/>
        <v>259</v>
      </c>
      <c r="G202" s="142">
        <f>M202</f>
        <v>259</v>
      </c>
      <c r="H202" s="282"/>
      <c r="I202" s="142">
        <f t="shared" si="49"/>
        <v>259</v>
      </c>
      <c r="J202" s="142">
        <f t="shared" si="50"/>
        <v>259</v>
      </c>
      <c r="K202" s="142"/>
      <c r="L202" s="142"/>
      <c r="M202" s="142">
        <f>'[2]budżet 2009'!$N$1104</f>
        <v>259</v>
      </c>
      <c r="N202" s="142">
        <f t="shared" si="51"/>
        <v>0</v>
      </c>
      <c r="O202" s="142"/>
      <c r="P202" s="142"/>
      <c r="Q202" s="142"/>
      <c r="R202" s="282"/>
    </row>
    <row r="203" spans="2:18" s="140" customFormat="1" ht="56.25">
      <c r="B203" s="296"/>
      <c r="C203" s="80" t="s">
        <v>619</v>
      </c>
      <c r="D203" s="34"/>
      <c r="E203" s="293">
        <v>2318</v>
      </c>
      <c r="F203" s="142">
        <f>G203+H203</f>
        <v>477989</v>
      </c>
      <c r="G203" s="142"/>
      <c r="H203" s="282">
        <f>N203</f>
        <v>477989</v>
      </c>
      <c r="I203" s="142">
        <f>J203+N203</f>
        <v>477989</v>
      </c>
      <c r="J203" s="142">
        <f>SUM(K203:M203)</f>
        <v>0</v>
      </c>
      <c r="K203" s="142"/>
      <c r="L203" s="142"/>
      <c r="M203" s="142"/>
      <c r="N203" s="142">
        <f>SUM(O203:R203)</f>
        <v>477989</v>
      </c>
      <c r="O203" s="142"/>
      <c r="P203" s="142"/>
      <c r="Q203" s="142"/>
      <c r="R203" s="282">
        <f>'[2]budżet 2009'!$N$1097</f>
        <v>477989</v>
      </c>
    </row>
    <row r="204" spans="2:18" s="140" customFormat="1" ht="56.25">
      <c r="B204" s="296"/>
      <c r="C204" s="80" t="s">
        <v>620</v>
      </c>
      <c r="D204" s="34"/>
      <c r="E204" s="293">
        <v>2319</v>
      </c>
      <c r="F204" s="142">
        <f>G204+H204</f>
        <v>84351</v>
      </c>
      <c r="G204" s="142">
        <f>I204</f>
        <v>84351</v>
      </c>
      <c r="H204" s="282">
        <f>R204</f>
        <v>0</v>
      </c>
      <c r="I204" s="142">
        <f>J204+N204</f>
        <v>84351</v>
      </c>
      <c r="J204" s="142">
        <f>SUM(K204:M204)</f>
        <v>84351</v>
      </c>
      <c r="K204" s="142"/>
      <c r="L204" s="142"/>
      <c r="M204" s="142">
        <f>'[2]budżet 2009'!$N$1098</f>
        <v>84351</v>
      </c>
      <c r="N204" s="142">
        <f>SUM(O204:R204)</f>
        <v>0</v>
      </c>
      <c r="O204" s="142"/>
      <c r="P204" s="142"/>
      <c r="Q204" s="142"/>
      <c r="R204" s="282"/>
    </row>
    <row r="205" spans="2:18" s="140" customFormat="1" ht="56.25">
      <c r="B205" s="296"/>
      <c r="C205" s="80" t="s">
        <v>359</v>
      </c>
      <c r="D205" s="34"/>
      <c r="E205" s="293">
        <v>2328</v>
      </c>
      <c r="F205" s="142">
        <f>G205+H205</f>
        <v>108817</v>
      </c>
      <c r="G205" s="142"/>
      <c r="H205" s="282">
        <f>R205</f>
        <v>108817</v>
      </c>
      <c r="I205" s="142">
        <f>J205+N205</f>
        <v>108817</v>
      </c>
      <c r="J205" s="142">
        <f>SUM(K205:M205)</f>
        <v>0</v>
      </c>
      <c r="K205" s="142"/>
      <c r="L205" s="142"/>
      <c r="M205" s="142"/>
      <c r="N205" s="142">
        <f>SUM(O205:R205)</f>
        <v>108817</v>
      </c>
      <c r="O205" s="142"/>
      <c r="P205" s="142"/>
      <c r="Q205" s="142"/>
      <c r="R205" s="282">
        <f>'[2]budżet 2009'!$N$1099</f>
        <v>108817</v>
      </c>
    </row>
    <row r="206" spans="2:18" s="140" customFormat="1" ht="56.25">
      <c r="B206" s="296"/>
      <c r="C206" s="80" t="s">
        <v>359</v>
      </c>
      <c r="D206" s="34"/>
      <c r="E206" s="293">
        <v>2329</v>
      </c>
      <c r="F206" s="142">
        <f>G206+H206</f>
        <v>19203</v>
      </c>
      <c r="G206" s="142">
        <f>M206</f>
        <v>19203</v>
      </c>
      <c r="H206" s="282"/>
      <c r="I206" s="142">
        <f>J206+N206</f>
        <v>19203</v>
      </c>
      <c r="J206" s="142">
        <f>SUM(K206:M206)</f>
        <v>19203</v>
      </c>
      <c r="K206" s="142"/>
      <c r="L206" s="142"/>
      <c r="M206" s="142">
        <f>'[2]budżet 2009'!$N$1100</f>
        <v>19203</v>
      </c>
      <c r="N206" s="142">
        <f>SUM(O206:R206)</f>
        <v>0</v>
      </c>
      <c r="O206" s="142"/>
      <c r="P206" s="142"/>
      <c r="Q206" s="142"/>
      <c r="R206" s="282"/>
    </row>
    <row r="207" spans="2:18" s="140" customFormat="1" ht="22.5">
      <c r="B207" s="296"/>
      <c r="C207" s="80" t="s">
        <v>371</v>
      </c>
      <c r="D207" s="34"/>
      <c r="E207" s="290">
        <v>4178</v>
      </c>
      <c r="F207" s="142">
        <f t="shared" si="48"/>
        <v>59884</v>
      </c>
      <c r="G207" s="142"/>
      <c r="H207" s="282">
        <f>N207</f>
        <v>59884</v>
      </c>
      <c r="I207" s="142">
        <f t="shared" si="49"/>
        <v>59884</v>
      </c>
      <c r="J207" s="142">
        <f t="shared" si="50"/>
        <v>0</v>
      </c>
      <c r="K207" s="142"/>
      <c r="L207" s="142"/>
      <c r="M207" s="142"/>
      <c r="N207" s="142">
        <f t="shared" si="51"/>
        <v>59884</v>
      </c>
      <c r="O207" s="142"/>
      <c r="P207" s="142"/>
      <c r="Q207" s="142"/>
      <c r="R207" s="282">
        <f>'[2]budżet 2009'!$N$1105</f>
        <v>59884</v>
      </c>
    </row>
    <row r="208" spans="2:18" s="140" customFormat="1" ht="22.5">
      <c r="B208" s="296"/>
      <c r="C208" s="80" t="s">
        <v>371</v>
      </c>
      <c r="D208" s="34"/>
      <c r="E208" s="290">
        <v>4179</v>
      </c>
      <c r="F208" s="142">
        <f t="shared" si="48"/>
        <v>10568</v>
      </c>
      <c r="G208" s="142">
        <f>J208</f>
        <v>10568</v>
      </c>
      <c r="H208" s="282"/>
      <c r="I208" s="142">
        <f t="shared" si="49"/>
        <v>10568</v>
      </c>
      <c r="J208" s="142">
        <f t="shared" si="50"/>
        <v>10568</v>
      </c>
      <c r="K208" s="142"/>
      <c r="L208" s="142"/>
      <c r="M208" s="142">
        <f>'[2]budżet 2009'!$N$1106</f>
        <v>10568</v>
      </c>
      <c r="N208" s="142">
        <f t="shared" si="51"/>
        <v>0</v>
      </c>
      <c r="O208" s="142"/>
      <c r="P208" s="142"/>
      <c r="Q208" s="142"/>
      <c r="R208" s="282"/>
    </row>
    <row r="209" spans="2:18" s="140" customFormat="1" ht="22.5">
      <c r="B209" s="296"/>
      <c r="C209" s="80" t="s">
        <v>337</v>
      </c>
      <c r="D209" s="34"/>
      <c r="E209" s="290">
        <v>4218</v>
      </c>
      <c r="F209" s="142">
        <f t="shared" si="48"/>
        <v>663</v>
      </c>
      <c r="G209" s="142"/>
      <c r="H209" s="282">
        <f>N209</f>
        <v>663</v>
      </c>
      <c r="I209" s="142">
        <f t="shared" si="49"/>
        <v>663</v>
      </c>
      <c r="J209" s="142">
        <f t="shared" si="50"/>
        <v>0</v>
      </c>
      <c r="K209" s="142"/>
      <c r="L209" s="142"/>
      <c r="M209" s="142"/>
      <c r="N209" s="142">
        <f t="shared" si="51"/>
        <v>663</v>
      </c>
      <c r="O209" s="142"/>
      <c r="P209" s="142"/>
      <c r="Q209" s="142"/>
      <c r="R209" s="282">
        <f>'[2]budżet 2009'!$N$1107</f>
        <v>663</v>
      </c>
    </row>
    <row r="210" spans="2:18" s="140" customFormat="1" ht="22.5">
      <c r="B210" s="296"/>
      <c r="C210" s="80" t="s">
        <v>337</v>
      </c>
      <c r="D210" s="34"/>
      <c r="E210" s="290">
        <v>4219</v>
      </c>
      <c r="F210" s="142">
        <f t="shared" si="48"/>
        <v>117</v>
      </c>
      <c r="G210" s="142">
        <f>I210</f>
        <v>117</v>
      </c>
      <c r="H210" s="282"/>
      <c r="I210" s="142">
        <f t="shared" si="49"/>
        <v>117</v>
      </c>
      <c r="J210" s="142">
        <f t="shared" si="50"/>
        <v>117</v>
      </c>
      <c r="K210" s="142"/>
      <c r="L210" s="142"/>
      <c r="M210" s="142">
        <f>'[2]budżet 2009'!$N$1108</f>
        <v>117</v>
      </c>
      <c r="N210" s="142">
        <f t="shared" si="51"/>
        <v>0</v>
      </c>
      <c r="O210" s="142"/>
      <c r="P210" s="142"/>
      <c r="Q210" s="142"/>
      <c r="R210" s="282"/>
    </row>
    <row r="211" spans="2:18" s="140" customFormat="1" ht="33.75">
      <c r="B211" s="296"/>
      <c r="C211" s="486" t="s">
        <v>417</v>
      </c>
      <c r="D211" s="34"/>
      <c r="E211" s="290">
        <v>4758</v>
      </c>
      <c r="F211" s="142">
        <f t="shared" si="48"/>
        <v>5185</v>
      </c>
      <c r="G211" s="142"/>
      <c r="H211" s="282">
        <f>N211</f>
        <v>5185</v>
      </c>
      <c r="I211" s="142">
        <f t="shared" si="49"/>
        <v>5185</v>
      </c>
      <c r="J211" s="142">
        <f t="shared" si="50"/>
        <v>0</v>
      </c>
      <c r="K211" s="142"/>
      <c r="L211" s="142"/>
      <c r="M211" s="142"/>
      <c r="N211" s="142">
        <f t="shared" si="51"/>
        <v>5185</v>
      </c>
      <c r="O211" s="142"/>
      <c r="P211" s="142"/>
      <c r="Q211" s="142"/>
      <c r="R211" s="282">
        <f>'[2]budżet 2009'!$N$1115</f>
        <v>5185</v>
      </c>
    </row>
    <row r="212" spans="2:18" s="140" customFormat="1" ht="33.75">
      <c r="B212" s="296"/>
      <c r="C212" s="486" t="s">
        <v>417</v>
      </c>
      <c r="D212" s="34"/>
      <c r="E212" s="290">
        <v>4759</v>
      </c>
      <c r="F212" s="142">
        <f t="shared" si="48"/>
        <v>915</v>
      </c>
      <c r="G212" s="142">
        <f>I212</f>
        <v>915</v>
      </c>
      <c r="H212" s="282"/>
      <c r="I212" s="142">
        <f t="shared" si="49"/>
        <v>915</v>
      </c>
      <c r="J212" s="142">
        <f t="shared" si="50"/>
        <v>915</v>
      </c>
      <c r="K212" s="142"/>
      <c r="L212" s="142"/>
      <c r="M212" s="142">
        <f>'[2]budżet 2009'!$N$1116</f>
        <v>915</v>
      </c>
      <c r="N212" s="142">
        <f t="shared" si="51"/>
        <v>0</v>
      </c>
      <c r="O212" s="142"/>
      <c r="P212" s="142"/>
      <c r="Q212" s="142"/>
      <c r="R212" s="282"/>
    </row>
    <row r="213" spans="2:18" s="140" customFormat="1" ht="12.75">
      <c r="B213" s="296"/>
      <c r="C213" s="80" t="s">
        <v>320</v>
      </c>
      <c r="D213" s="34"/>
      <c r="E213" s="290">
        <v>4308</v>
      </c>
      <c r="F213" s="142">
        <f t="shared" si="48"/>
        <v>43622</v>
      </c>
      <c r="G213" s="142"/>
      <c r="H213" s="282">
        <f>N213</f>
        <v>43622</v>
      </c>
      <c r="I213" s="142">
        <f t="shared" si="49"/>
        <v>43622</v>
      </c>
      <c r="J213" s="142">
        <f t="shared" si="50"/>
        <v>0</v>
      </c>
      <c r="K213" s="142"/>
      <c r="L213" s="142"/>
      <c r="M213" s="142"/>
      <c r="N213" s="142">
        <f t="shared" si="51"/>
        <v>43622</v>
      </c>
      <c r="O213" s="142"/>
      <c r="P213" s="142"/>
      <c r="Q213" s="142"/>
      <c r="R213" s="282">
        <f>'[2]budżet 2009'!$N$1111</f>
        <v>43622</v>
      </c>
    </row>
    <row r="214" spans="2:18" s="140" customFormat="1" ht="12.75">
      <c r="B214" s="296"/>
      <c r="C214" s="80" t="s">
        <v>320</v>
      </c>
      <c r="D214" s="34"/>
      <c r="E214" s="290">
        <v>4309</v>
      </c>
      <c r="F214" s="142">
        <f t="shared" si="48"/>
        <v>7698</v>
      </c>
      <c r="G214" s="142">
        <f>I214</f>
        <v>7698</v>
      </c>
      <c r="H214" s="282"/>
      <c r="I214" s="142">
        <f t="shared" si="49"/>
        <v>7698</v>
      </c>
      <c r="J214" s="142">
        <f t="shared" si="50"/>
        <v>7698</v>
      </c>
      <c r="K214" s="142"/>
      <c r="L214" s="142"/>
      <c r="M214" s="142">
        <f>'[2]budżet 2009'!$N$1112</f>
        <v>7698</v>
      </c>
      <c r="N214" s="142">
        <f t="shared" si="51"/>
        <v>0</v>
      </c>
      <c r="O214" s="142"/>
      <c r="P214" s="142"/>
      <c r="Q214" s="142"/>
      <c r="R214" s="282"/>
    </row>
    <row r="215" spans="2:18" s="140" customFormat="1" ht="45">
      <c r="B215" s="296"/>
      <c r="C215" s="520" t="s">
        <v>374</v>
      </c>
      <c r="D215" s="34"/>
      <c r="E215" s="290">
        <v>4748</v>
      </c>
      <c r="F215" s="142">
        <f t="shared" si="48"/>
        <v>561</v>
      </c>
      <c r="G215" s="142"/>
      <c r="H215" s="282">
        <f>N215</f>
        <v>561</v>
      </c>
      <c r="I215" s="142">
        <f>J215+N215</f>
        <v>561</v>
      </c>
      <c r="J215" s="142">
        <f>SUM(K215:M215)</f>
        <v>0</v>
      </c>
      <c r="K215" s="142"/>
      <c r="L215" s="142"/>
      <c r="M215" s="142"/>
      <c r="N215" s="142">
        <f>SUM(O215:R215)</f>
        <v>561</v>
      </c>
      <c r="O215" s="142"/>
      <c r="P215" s="142"/>
      <c r="Q215" s="142"/>
      <c r="R215" s="282">
        <f>'[2]budżet 2009'!$N$1113</f>
        <v>561</v>
      </c>
    </row>
    <row r="216" spans="2:18" s="140" customFormat="1" ht="45">
      <c r="B216" s="296"/>
      <c r="C216" s="520" t="s">
        <v>374</v>
      </c>
      <c r="D216" s="34"/>
      <c r="E216" s="290">
        <v>4749</v>
      </c>
      <c r="F216" s="142">
        <f t="shared" si="48"/>
        <v>99</v>
      </c>
      <c r="G216" s="142">
        <f>I216</f>
        <v>99</v>
      </c>
      <c r="H216" s="282"/>
      <c r="I216" s="142">
        <f>J216+N216</f>
        <v>99</v>
      </c>
      <c r="J216" s="142">
        <f>SUM(K216:M216)</f>
        <v>99</v>
      </c>
      <c r="K216" s="142"/>
      <c r="L216" s="142"/>
      <c r="M216" s="142">
        <f>'[2]budżet 2009'!$N$1114</f>
        <v>99</v>
      </c>
      <c r="N216" s="142">
        <f>SUM(O216:R216)</f>
        <v>0</v>
      </c>
      <c r="O216" s="142"/>
      <c r="P216" s="142"/>
      <c r="Q216" s="142"/>
      <c r="R216" s="282"/>
    </row>
    <row r="217" spans="2:20" s="140" customFormat="1" ht="11.25">
      <c r="B217" s="296"/>
      <c r="C217" s="136">
        <v>2009</v>
      </c>
      <c r="D217" s="138"/>
      <c r="E217" s="138"/>
      <c r="F217" s="137">
        <f t="shared" si="48"/>
        <v>832100</v>
      </c>
      <c r="G217" s="137">
        <f>SUM(G199:G216)</f>
        <v>124815</v>
      </c>
      <c r="H217" s="137">
        <f>SUM(H199:H216)</f>
        <v>707285</v>
      </c>
      <c r="I217" s="137">
        <f>J217+N217</f>
        <v>832100</v>
      </c>
      <c r="J217" s="137">
        <f>SUM(K217:M217)</f>
        <v>124815</v>
      </c>
      <c r="K217" s="137">
        <f>SUM(K199:K216)</f>
        <v>0</v>
      </c>
      <c r="L217" s="137">
        <f>SUM(L199:L216)</f>
        <v>0</v>
      </c>
      <c r="M217" s="137">
        <f>SUM(M199:M216)</f>
        <v>124815</v>
      </c>
      <c r="N217" s="137">
        <f>O217+P217+Q217+R217</f>
        <v>707285</v>
      </c>
      <c r="O217" s="137">
        <f>SUM(O199:O216)</f>
        <v>0</v>
      </c>
      <c r="P217" s="137">
        <f>SUM(P199:P216)</f>
        <v>0</v>
      </c>
      <c r="Q217" s="137">
        <f>SUM(Q199:Q216)</f>
        <v>0</v>
      </c>
      <c r="R217" s="137">
        <f>SUM(R199:R216)</f>
        <v>707285</v>
      </c>
      <c r="T217" s="485"/>
    </row>
    <row r="218" spans="2:18" s="55" customFormat="1" ht="15" customHeight="1">
      <c r="B218" s="623" t="s">
        <v>228</v>
      </c>
      <c r="C218" s="623"/>
      <c r="D218" s="623" t="s">
        <v>178</v>
      </c>
      <c r="E218" s="623"/>
      <c r="F218" s="297">
        <f aca="true" t="shared" si="52" ref="F218:R218">F10+F39</f>
        <v>25938644</v>
      </c>
      <c r="G218" s="297">
        <f t="shared" si="52"/>
        <v>9565943</v>
      </c>
      <c r="H218" s="298">
        <f t="shared" si="52"/>
        <v>16342679</v>
      </c>
      <c r="I218" s="298">
        <f t="shared" si="52"/>
        <v>4081832</v>
      </c>
      <c r="J218" s="297">
        <f t="shared" si="52"/>
        <v>863009</v>
      </c>
      <c r="K218" s="297">
        <f t="shared" si="52"/>
        <v>0</v>
      </c>
      <c r="L218" s="297">
        <f t="shared" si="52"/>
        <v>0</v>
      </c>
      <c r="M218" s="297">
        <f t="shared" si="52"/>
        <v>863009</v>
      </c>
      <c r="N218" s="297">
        <f t="shared" si="52"/>
        <v>3218823</v>
      </c>
      <c r="O218" s="297">
        <f t="shared" si="52"/>
        <v>0</v>
      </c>
      <c r="P218" s="297">
        <f t="shared" si="52"/>
        <v>0</v>
      </c>
      <c r="Q218" s="297">
        <f t="shared" si="52"/>
        <v>0</v>
      </c>
      <c r="R218" s="297">
        <f t="shared" si="52"/>
        <v>3218823</v>
      </c>
    </row>
    <row r="221" ht="11.25">
      <c r="C221" s="518" t="s">
        <v>758</v>
      </c>
    </row>
  </sheetData>
  <sheetProtection/>
  <mergeCells count="37">
    <mergeCell ref="D171:R174"/>
    <mergeCell ref="B40:B57"/>
    <mergeCell ref="D11:R13"/>
    <mergeCell ref="D14:R14"/>
    <mergeCell ref="B218:C218"/>
    <mergeCell ref="D58:R61"/>
    <mergeCell ref="D39:E39"/>
    <mergeCell ref="D218:E218"/>
    <mergeCell ref="D104:R107"/>
    <mergeCell ref="D127:R130"/>
    <mergeCell ref="D147:R150"/>
    <mergeCell ref="B11:B21"/>
    <mergeCell ref="K7:M7"/>
    <mergeCell ref="D10:E10"/>
    <mergeCell ref="I4:R4"/>
    <mergeCell ref="J5:R5"/>
    <mergeCell ref="C3:C8"/>
    <mergeCell ref="D84:R87"/>
    <mergeCell ref="D30:R33"/>
    <mergeCell ref="I5:I8"/>
    <mergeCell ref="I3:R3"/>
    <mergeCell ref="D40:R43"/>
    <mergeCell ref="D3:D8"/>
    <mergeCell ref="N6:R6"/>
    <mergeCell ref="O7:R7"/>
    <mergeCell ref="D22:R22"/>
    <mergeCell ref="J7:J8"/>
    <mergeCell ref="D194:R197"/>
    <mergeCell ref="B1:R1"/>
    <mergeCell ref="J6:M6"/>
    <mergeCell ref="B3:B8"/>
    <mergeCell ref="E3:E8"/>
    <mergeCell ref="N7:N8"/>
    <mergeCell ref="H4:H8"/>
    <mergeCell ref="F3:F8"/>
    <mergeCell ref="G3:H3"/>
    <mergeCell ref="G4:G8"/>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1">
      <selection activeCell="D26" sqref="D2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8" customWidth="1"/>
    <col min="5" max="6" width="9.125" style="1" customWidth="1"/>
    <col min="7" max="7" width="10.125" style="1" bestFit="1" customWidth="1"/>
    <col min="8" max="16384" width="9.125" style="1" customWidth="1"/>
  </cols>
  <sheetData>
    <row r="1" spans="1:4" ht="15" customHeight="1">
      <c r="A1" s="627" t="s">
        <v>661</v>
      </c>
      <c r="B1" s="627"/>
      <c r="C1" s="627"/>
      <c r="D1" s="627"/>
    </row>
    <row r="2" ht="6.75" customHeight="1">
      <c r="A2" s="15"/>
    </row>
    <row r="3" ht="12.75">
      <c r="D3" s="91" t="s">
        <v>172</v>
      </c>
    </row>
    <row r="4" spans="1:4" ht="15" customHeight="1">
      <c r="A4" s="594" t="s">
        <v>190</v>
      </c>
      <c r="B4" s="594" t="s">
        <v>136</v>
      </c>
      <c r="C4" s="585" t="s">
        <v>191</v>
      </c>
      <c r="D4" s="600" t="s">
        <v>662</v>
      </c>
    </row>
    <row r="5" spans="1:4" ht="15" customHeight="1">
      <c r="A5" s="594"/>
      <c r="B5" s="594"/>
      <c r="C5" s="594"/>
      <c r="D5" s="600"/>
    </row>
    <row r="6" spans="1:4" ht="15.75" customHeight="1">
      <c r="A6" s="594"/>
      <c r="B6" s="594"/>
      <c r="C6" s="594"/>
      <c r="D6" s="600"/>
    </row>
    <row r="7" spans="1:4" s="57" customFormat="1" ht="6.75" customHeight="1">
      <c r="A7" s="56">
        <v>1</v>
      </c>
      <c r="B7" s="56">
        <v>2</v>
      </c>
      <c r="C7" s="56">
        <v>3</v>
      </c>
      <c r="D7" s="92">
        <v>4</v>
      </c>
    </row>
    <row r="8" spans="1:4" ht="18.75" customHeight="1">
      <c r="A8" s="626" t="s">
        <v>156</v>
      </c>
      <c r="B8" s="626"/>
      <c r="C8" s="22"/>
      <c r="D8" s="78">
        <f>SUM(D9:D16)</f>
        <v>13090800</v>
      </c>
    </row>
    <row r="9" spans="1:4" ht="18.75" customHeight="1">
      <c r="A9" s="23" t="s">
        <v>142</v>
      </c>
      <c r="B9" s="24" t="s">
        <v>150</v>
      </c>
      <c r="C9" s="23" t="s">
        <v>157</v>
      </c>
      <c r="D9" s="93">
        <v>6150000</v>
      </c>
    </row>
    <row r="10" spans="1:4" ht="18.75" customHeight="1">
      <c r="A10" s="25" t="s">
        <v>143</v>
      </c>
      <c r="B10" s="26" t="s">
        <v>151</v>
      </c>
      <c r="C10" s="25" t="s">
        <v>157</v>
      </c>
      <c r="D10" s="94"/>
    </row>
    <row r="11" spans="1:7" ht="51">
      <c r="A11" s="25" t="s">
        <v>144</v>
      </c>
      <c r="B11" s="27" t="s">
        <v>253</v>
      </c>
      <c r="C11" s="25" t="s">
        <v>180</v>
      </c>
      <c r="D11" s="94"/>
      <c r="G11" s="68"/>
    </row>
    <row r="12" spans="1:4" ht="18.75" customHeight="1">
      <c r="A12" s="25" t="s">
        <v>132</v>
      </c>
      <c r="B12" s="26" t="s">
        <v>159</v>
      </c>
      <c r="C12" s="25" t="s">
        <v>181</v>
      </c>
      <c r="D12" s="94"/>
    </row>
    <row r="13" spans="1:4" ht="18.75" customHeight="1">
      <c r="A13" s="25" t="s">
        <v>149</v>
      </c>
      <c r="B13" s="26" t="s">
        <v>254</v>
      </c>
      <c r="C13" s="25" t="s">
        <v>271</v>
      </c>
      <c r="D13" s="94"/>
    </row>
    <row r="14" spans="1:4" ht="18.75" customHeight="1">
      <c r="A14" s="25" t="s">
        <v>152</v>
      </c>
      <c r="B14" s="26" t="s">
        <v>153</v>
      </c>
      <c r="C14" s="25" t="s">
        <v>158</v>
      </c>
      <c r="D14" s="94"/>
    </row>
    <row r="15" spans="1:4" ht="18.75" customHeight="1">
      <c r="A15" s="25" t="s">
        <v>154</v>
      </c>
      <c r="B15" s="26" t="s">
        <v>281</v>
      </c>
      <c r="C15" s="25" t="s">
        <v>200</v>
      </c>
      <c r="D15" s="94">
        <f>4920000+400000+150000</f>
        <v>5470000</v>
      </c>
    </row>
    <row r="16" spans="1:4" ht="18.75" customHeight="1">
      <c r="A16" s="25" t="s">
        <v>161</v>
      </c>
      <c r="B16" s="29" t="s">
        <v>179</v>
      </c>
      <c r="C16" s="28" t="s">
        <v>160</v>
      </c>
      <c r="D16" s="95">
        <f>1105000+365800</f>
        <v>1470800</v>
      </c>
    </row>
    <row r="17" spans="1:4" ht="18.75" customHeight="1">
      <c r="A17" s="626" t="s">
        <v>255</v>
      </c>
      <c r="B17" s="626"/>
      <c r="C17" s="22"/>
      <c r="D17" s="78">
        <f>SUM(D18:D24)</f>
        <v>1105000</v>
      </c>
    </row>
    <row r="18" spans="1:4" ht="18.75" customHeight="1">
      <c r="A18" s="23" t="s">
        <v>142</v>
      </c>
      <c r="B18" s="24" t="s">
        <v>182</v>
      </c>
      <c r="C18" s="23" t="s">
        <v>163</v>
      </c>
      <c r="D18" s="93">
        <v>1105000</v>
      </c>
    </row>
    <row r="19" spans="1:4" ht="18.75" customHeight="1">
      <c r="A19" s="25" t="s">
        <v>143</v>
      </c>
      <c r="B19" s="26" t="s">
        <v>162</v>
      </c>
      <c r="C19" s="25" t="s">
        <v>163</v>
      </c>
      <c r="D19" s="94"/>
    </row>
    <row r="20" spans="1:4" ht="38.25">
      <c r="A20" s="25" t="s">
        <v>144</v>
      </c>
      <c r="B20" s="27" t="s">
        <v>185</v>
      </c>
      <c r="C20" s="25" t="s">
        <v>186</v>
      </c>
      <c r="D20" s="94"/>
    </row>
    <row r="21" spans="1:4" ht="18.75" customHeight="1">
      <c r="A21" s="25" t="s">
        <v>132</v>
      </c>
      <c r="B21" s="26" t="s">
        <v>183</v>
      </c>
      <c r="C21" s="25" t="s">
        <v>177</v>
      </c>
      <c r="D21" s="94"/>
    </row>
    <row r="22" spans="1:4" ht="18.75" customHeight="1">
      <c r="A22" s="25" t="s">
        <v>149</v>
      </c>
      <c r="B22" s="26" t="s">
        <v>184</v>
      </c>
      <c r="C22" s="25" t="s">
        <v>165</v>
      </c>
      <c r="D22" s="94"/>
    </row>
    <row r="23" spans="1:4" ht="18.75" customHeight="1">
      <c r="A23" s="25" t="s">
        <v>152</v>
      </c>
      <c r="B23" s="26" t="s">
        <v>282</v>
      </c>
      <c r="C23" s="25" t="s">
        <v>166</v>
      </c>
      <c r="D23" s="94"/>
    </row>
    <row r="24" spans="1:4" ht="18.75" customHeight="1">
      <c r="A24" s="28" t="s">
        <v>154</v>
      </c>
      <c r="B24" s="29" t="s">
        <v>167</v>
      </c>
      <c r="C24" s="28" t="s">
        <v>164</v>
      </c>
      <c r="D24" s="95"/>
    </row>
    <row r="25" spans="1:4" ht="7.5" customHeight="1">
      <c r="A25" s="3"/>
      <c r="B25" s="4"/>
      <c r="C25" s="4"/>
      <c r="D25" s="96"/>
    </row>
    <row r="26" spans="1:6" ht="12.75">
      <c r="A26" s="37"/>
      <c r="B26" s="36"/>
      <c r="C26" s="36"/>
      <c r="D26" s="97"/>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K21"/>
  <sheetViews>
    <sheetView showGridLines="0" defaultGridColor="0" zoomScalePageLayoutView="0" colorId="8" workbookViewId="0" topLeftCell="A1">
      <selection activeCell="G13" sqref="G13"/>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82" t="s">
        <v>654</v>
      </c>
      <c r="B1" s="582"/>
      <c r="C1" s="582"/>
      <c r="D1" s="582"/>
      <c r="E1" s="582"/>
      <c r="F1" s="582"/>
      <c r="G1" s="582"/>
      <c r="H1" s="582"/>
      <c r="I1" s="582"/>
      <c r="J1" s="582"/>
    </row>
    <row r="2" ht="12.75">
      <c r="J2" s="8" t="s">
        <v>172</v>
      </c>
    </row>
    <row r="3" spans="1:10" s="2" customFormat="1" ht="36.75" customHeight="1">
      <c r="A3" s="13" t="s">
        <v>133</v>
      </c>
      <c r="B3" s="81" t="s">
        <v>134</v>
      </c>
      <c r="C3" s="81" t="s">
        <v>260</v>
      </c>
      <c r="D3" s="14" t="s">
        <v>245</v>
      </c>
      <c r="E3" s="14" t="s">
        <v>272</v>
      </c>
      <c r="F3" s="600" t="s">
        <v>243</v>
      </c>
      <c r="G3" s="585" t="s">
        <v>137</v>
      </c>
      <c r="H3" s="585"/>
      <c r="I3" s="585"/>
      <c r="J3" s="585" t="s">
        <v>244</v>
      </c>
    </row>
    <row r="4" spans="1:10" s="2" customFormat="1" ht="65.25" customHeight="1">
      <c r="A4" s="13"/>
      <c r="B4" s="82"/>
      <c r="C4" s="82"/>
      <c r="D4" s="13"/>
      <c r="E4" s="14"/>
      <c r="F4" s="600"/>
      <c r="G4" s="86" t="s">
        <v>241</v>
      </c>
      <c r="H4" s="86" t="s">
        <v>242</v>
      </c>
      <c r="I4" s="86" t="s">
        <v>531</v>
      </c>
      <c r="J4" s="585"/>
    </row>
    <row r="5" spans="1:10" ht="9" customHeight="1">
      <c r="A5" s="16">
        <v>1</v>
      </c>
      <c r="B5" s="16">
        <v>2</v>
      </c>
      <c r="C5" s="16">
        <v>3</v>
      </c>
      <c r="D5" s="87">
        <v>4</v>
      </c>
      <c r="E5" s="87">
        <v>5</v>
      </c>
      <c r="F5" s="87">
        <v>6</v>
      </c>
      <c r="G5" s="87">
        <v>7</v>
      </c>
      <c r="H5" s="87">
        <v>8</v>
      </c>
      <c r="I5" s="87">
        <v>9</v>
      </c>
      <c r="J5" s="16">
        <v>10</v>
      </c>
    </row>
    <row r="6" spans="1:10" ht="19.5" customHeight="1">
      <c r="A6" s="17" t="s">
        <v>316</v>
      </c>
      <c r="B6" s="17" t="s">
        <v>318</v>
      </c>
      <c r="C6" s="17">
        <v>211</v>
      </c>
      <c r="D6" s="75">
        <f>1!E12</f>
        <v>45000</v>
      </c>
      <c r="E6" s="75">
        <f>SUM(F6+J6)</f>
        <v>45000</v>
      </c>
      <c r="F6" s="75">
        <f>D6</f>
        <v>45000</v>
      </c>
      <c r="G6" s="75"/>
      <c r="H6" s="75"/>
      <c r="I6" s="75"/>
      <c r="J6" s="17"/>
    </row>
    <row r="7" spans="1:10" ht="19.5" customHeight="1">
      <c r="A7" s="17" t="s">
        <v>532</v>
      </c>
      <c r="B7" s="17" t="s">
        <v>533</v>
      </c>
      <c r="C7" s="17">
        <v>211</v>
      </c>
      <c r="D7" s="75">
        <f>1!E29</f>
        <v>90000</v>
      </c>
      <c r="E7" s="75">
        <f aca="true" t="shared" si="0" ref="E7:E18">SUM(F7+J7)</f>
        <v>90000</v>
      </c>
      <c r="F7" s="75">
        <f aca="true" t="shared" si="1" ref="F7:F18">D7</f>
        <v>90000</v>
      </c>
      <c r="G7" s="75"/>
      <c r="H7" s="75"/>
      <c r="I7" s="75"/>
      <c r="J7" s="17"/>
    </row>
    <row r="8" spans="1:10" ht="19.5" customHeight="1">
      <c r="A8" s="17" t="s">
        <v>534</v>
      </c>
      <c r="B8" s="17" t="s">
        <v>535</v>
      </c>
      <c r="C8" s="17">
        <v>211</v>
      </c>
      <c r="D8" s="75">
        <f>1!E34</f>
        <v>70000</v>
      </c>
      <c r="E8" s="75">
        <f t="shared" si="0"/>
        <v>70000</v>
      </c>
      <c r="F8" s="75">
        <f t="shared" si="1"/>
        <v>70000</v>
      </c>
      <c r="G8" s="75"/>
      <c r="H8" s="75"/>
      <c r="I8" s="75"/>
      <c r="J8" s="17"/>
    </row>
    <row r="9" spans="1:10" ht="19.5" customHeight="1">
      <c r="A9" s="17"/>
      <c r="B9" s="17" t="s">
        <v>536</v>
      </c>
      <c r="C9" s="17">
        <v>211</v>
      </c>
      <c r="D9" s="75">
        <f>1!E36</f>
        <v>10400</v>
      </c>
      <c r="E9" s="75">
        <f t="shared" si="0"/>
        <v>10400</v>
      </c>
      <c r="F9" s="75">
        <f t="shared" si="1"/>
        <v>10400</v>
      </c>
      <c r="G9" s="75"/>
      <c r="H9" s="75"/>
      <c r="I9" s="75"/>
      <c r="J9" s="17"/>
    </row>
    <row r="10" spans="1:11" ht="19.5" customHeight="1">
      <c r="A10" s="17"/>
      <c r="B10" s="17" t="s">
        <v>537</v>
      </c>
      <c r="C10" s="17">
        <v>211</v>
      </c>
      <c r="D10" s="75">
        <f>1!E38</f>
        <v>481000</v>
      </c>
      <c r="E10" s="75">
        <f t="shared" si="0"/>
        <v>481000</v>
      </c>
      <c r="F10" s="75">
        <f t="shared" si="1"/>
        <v>481000</v>
      </c>
      <c r="G10" s="453">
        <f>2!G63+2!G64-18300</f>
        <v>312900</v>
      </c>
      <c r="H10" s="453">
        <f>2!I66+2!I67-3180-490</f>
        <v>62730</v>
      </c>
      <c r="I10" s="453">
        <f>2!H65-1430</f>
        <v>23570</v>
      </c>
      <c r="J10" s="17"/>
      <c r="K10" s="74"/>
    </row>
    <row r="11" spans="1:11" ht="19.5" customHeight="1">
      <c r="A11" s="17" t="s">
        <v>538</v>
      </c>
      <c r="B11" s="17" t="s">
        <v>539</v>
      </c>
      <c r="C11" s="17">
        <v>211</v>
      </c>
      <c r="D11" s="75">
        <f>1!E41</f>
        <v>355300</v>
      </c>
      <c r="E11" s="75">
        <f t="shared" si="0"/>
        <v>355300</v>
      </c>
      <c r="F11" s="75">
        <f t="shared" si="1"/>
        <v>355300</v>
      </c>
      <c r="G11" s="75">
        <f>2!G90*6!F11/2!E88</f>
        <v>255825.09667927702</v>
      </c>
      <c r="H11" s="75">
        <f>(2!I93+2!I94)*6!F11/2!E88</f>
        <v>48198.823034888606</v>
      </c>
      <c r="I11" s="75">
        <f>2!H92*6!F11/2!E88</f>
        <v>16971.416561580496</v>
      </c>
      <c r="J11" s="17"/>
      <c r="K11" s="74"/>
    </row>
    <row r="12" spans="1:10" ht="19.5" customHeight="1">
      <c r="A12" s="17"/>
      <c r="B12" s="17" t="s">
        <v>540</v>
      </c>
      <c r="C12" s="17">
        <v>211</v>
      </c>
      <c r="D12" s="75">
        <f>1!E49</f>
        <v>39000</v>
      </c>
      <c r="E12" s="75">
        <f t="shared" si="0"/>
        <v>39000</v>
      </c>
      <c r="F12" s="75">
        <f t="shared" si="1"/>
        <v>39000</v>
      </c>
      <c r="G12" s="75"/>
      <c r="H12" s="75">
        <f>2!I147+2!I149</f>
        <v>900</v>
      </c>
      <c r="I12" s="75"/>
      <c r="J12" s="17"/>
    </row>
    <row r="13" spans="1:10" ht="19.5" customHeight="1">
      <c r="A13" s="17" t="s">
        <v>644</v>
      </c>
      <c r="B13" s="17" t="s">
        <v>645</v>
      </c>
      <c r="C13" s="17">
        <v>211</v>
      </c>
      <c r="D13" s="75">
        <f>1!E53</f>
        <v>5000</v>
      </c>
      <c r="E13" s="75">
        <f>SUM(F13+J13)</f>
        <v>5000</v>
      </c>
      <c r="F13" s="75">
        <f>D13</f>
        <v>5000</v>
      </c>
      <c r="G13" s="75"/>
      <c r="H13" s="75"/>
      <c r="I13" s="75">
        <f>2!H94*(D13/(2!E90-18346))</f>
        <v>0</v>
      </c>
      <c r="J13" s="17"/>
    </row>
    <row r="14" spans="1:10" ht="19.5" customHeight="1" hidden="1">
      <c r="A14" s="17"/>
      <c r="B14" s="17"/>
      <c r="C14" s="17"/>
      <c r="D14" s="75"/>
      <c r="E14" s="75"/>
      <c r="F14" s="75"/>
      <c r="G14" s="75"/>
      <c r="H14" s="75"/>
      <c r="I14" s="75"/>
      <c r="J14" s="17"/>
    </row>
    <row r="15" spans="1:10" ht="19.5" customHeight="1">
      <c r="A15" s="17" t="s">
        <v>541</v>
      </c>
      <c r="B15" s="17" t="s">
        <v>542</v>
      </c>
      <c r="C15" s="17">
        <v>211</v>
      </c>
      <c r="D15" s="75">
        <f>1!E91</f>
        <v>1174000</v>
      </c>
      <c r="E15" s="75">
        <f t="shared" si="0"/>
        <v>1174000</v>
      </c>
      <c r="F15" s="75">
        <f t="shared" si="1"/>
        <v>1174000</v>
      </c>
      <c r="G15" s="75"/>
      <c r="H15" s="75"/>
      <c r="I15" s="75"/>
      <c r="J15" s="17"/>
    </row>
    <row r="16" spans="1:10" ht="19.5" customHeight="1">
      <c r="A16" s="17"/>
      <c r="B16" s="17" t="s">
        <v>543</v>
      </c>
      <c r="C16" s="17">
        <v>211</v>
      </c>
      <c r="D16" s="75">
        <f>1!E107</f>
        <v>750000</v>
      </c>
      <c r="E16" s="75">
        <f t="shared" si="0"/>
        <v>750000</v>
      </c>
      <c r="F16" s="75">
        <f t="shared" si="1"/>
        <v>750000</v>
      </c>
      <c r="G16" s="75">
        <f>2!G416</f>
        <v>398400</v>
      </c>
      <c r="H16" s="75">
        <f>2!I418+2!I419</f>
        <v>78390</v>
      </c>
      <c r="I16" s="75">
        <f>2!H417</f>
        <v>31100</v>
      </c>
      <c r="J16" s="17"/>
    </row>
    <row r="17" spans="1:10" ht="19.5" customHeight="1">
      <c r="A17" s="17" t="s">
        <v>544</v>
      </c>
      <c r="B17" s="17" t="s">
        <v>545</v>
      </c>
      <c r="C17" s="17">
        <v>211</v>
      </c>
      <c r="D17" s="75">
        <f>1!E116</f>
        <v>116000</v>
      </c>
      <c r="E17" s="75">
        <f t="shared" si="0"/>
        <v>116000</v>
      </c>
      <c r="F17" s="75">
        <f t="shared" si="1"/>
        <v>116000</v>
      </c>
      <c r="G17" s="75">
        <f>2!G493*6!F17/2!E492</f>
        <v>38957.50857746107</v>
      </c>
      <c r="H17" s="75">
        <f>2!I495*6!F17/2!E492+2!I496*6!F17/2!E492</f>
        <v>9031.40670361573</v>
      </c>
      <c r="I17" s="75">
        <f>2!H494*6!F17/2!E492</f>
        <v>2831.8817629981527</v>
      </c>
      <c r="J17" s="75"/>
    </row>
    <row r="18" spans="1:10" ht="19.5" customHeight="1" hidden="1">
      <c r="A18" s="17"/>
      <c r="B18" s="17" t="s">
        <v>36</v>
      </c>
      <c r="C18" s="17">
        <v>211</v>
      </c>
      <c r="D18" s="75">
        <f>1!E124</f>
        <v>0</v>
      </c>
      <c r="E18" s="75">
        <f t="shared" si="0"/>
        <v>0</v>
      </c>
      <c r="F18" s="75">
        <f t="shared" si="1"/>
        <v>0</v>
      </c>
      <c r="G18" s="75"/>
      <c r="H18" s="75"/>
      <c r="I18" s="75"/>
      <c r="J18" s="75"/>
    </row>
    <row r="19" spans="1:10" s="53" customFormat="1" ht="19.5" customHeight="1">
      <c r="A19" s="628" t="s">
        <v>256</v>
      </c>
      <c r="B19" s="629"/>
      <c r="C19" s="629"/>
      <c r="D19" s="110">
        <f>SUM(D6:D18)</f>
        <v>3135700</v>
      </c>
      <c r="E19" s="110">
        <f>SUM(F19+J19)</f>
        <v>3135700</v>
      </c>
      <c r="F19" s="110">
        <f>SUM(F6:F18)</f>
        <v>3135700</v>
      </c>
      <c r="G19" s="110">
        <f>SUM(G6:G17)</f>
        <v>1006082.6052567381</v>
      </c>
      <c r="H19" s="110">
        <f>SUM(H6:H17)</f>
        <v>199250.22973850433</v>
      </c>
      <c r="I19" s="110">
        <f>SUM(I6:I17)</f>
        <v>74473.29832457865</v>
      </c>
      <c r="J19" s="110">
        <f>SUM(J6:J17)</f>
        <v>0</v>
      </c>
    </row>
    <row r="21" ht="12.75">
      <c r="A21" s="60"/>
    </row>
  </sheetData>
  <sheetProtection/>
  <mergeCells count="5">
    <mergeCell ref="A19:C19"/>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2009-01-23T12:56:13Z</cp:lastPrinted>
  <dcterms:created xsi:type="dcterms:W3CDTF">1998-12-09T13:02:10Z</dcterms:created>
  <dcterms:modified xsi:type="dcterms:W3CDTF">2009-01-29T14:05:41Z</dcterms:modified>
  <cp:category/>
  <cp:version/>
  <cp:contentType/>
  <cp:contentStatus/>
</cp:coreProperties>
</file>