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355" activeTab="1"/>
  </bookViews>
  <sheets>
    <sheet name="zał_1_WPF" sheetId="1" r:id="rId1"/>
    <sheet name="zał_2_Przedsięwzięcia" sheetId="2" r:id="rId2"/>
  </sheets>
  <externalReferences>
    <externalReference r:id="rId5"/>
    <externalReference r:id="rId6"/>
  </externalReferences>
  <definedNames>
    <definedName name="_xlnm.Print_Area" localSheetId="0">'zał_1_WPF'!$A$1:$J$87</definedName>
  </definedNames>
  <calcPr fullCalcOnLoad="1"/>
</workbook>
</file>

<file path=xl/sharedStrings.xml><?xml version="1.0" encoding="utf-8"?>
<sst xmlns="http://schemas.openxmlformats.org/spreadsheetml/2006/main" count="658" uniqueCount="216">
  <si>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</si>
  <si>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</si>
  <si>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</si>
  <si>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</si>
  <si>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</si>
  <si>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</si>
  <si>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</si>
  <si>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</si>
  <si>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</si>
  <si>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</si>
  <si>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</si>
  <si>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</si>
  <si>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</si>
  <si>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</si>
  <si>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</si>
  <si>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r>
      <t xml:space="preserve">2010 rok              </t>
    </r>
    <r>
      <rPr>
        <sz val="8"/>
        <color indexed="8"/>
        <rFont val="Czcionka tekstu podstawowego"/>
        <family val="0"/>
      </rPr>
      <t>(plan wg sprawozdania               za III kw.)</t>
    </r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</si>
  <si>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</si>
  <si>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</si>
  <si>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</si>
  <si>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</si>
  <si>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</si>
  <si>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</si>
  <si>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</si>
  <si>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</si>
  <si>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</si>
  <si>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</si>
  <si>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</si>
  <si>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</si>
  <si>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</si>
  <si>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</si>
  <si>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</si>
  <si>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</si>
  <si>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</si>
  <si>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Relacja, o której mowa w art. 1170 ustawy z 30 czerwca 2005 r.               o finansach publicznych po wyłączeniach (max 60%)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</si>
  <si>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</si>
  <si>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</si>
  <si>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</si>
  <si>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</si>
  <si>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</si>
  <si>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</si>
  <si>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</si>
  <si>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</si>
  <si>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</si>
  <si>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</si>
  <si>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</si>
  <si>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</si>
  <si>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</si>
  <si>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</si>
  <si>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</si>
  <si>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</si>
  <si>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</si>
  <si>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</si>
  <si>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</si>
  <si>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Obsługa długu (wydatki i rozchody)</t>
  </si>
  <si>
    <t>- odsetki i dyskonto</t>
  </si>
  <si>
    <t>podlegająca wyłączeniu (w związku z umową zawartą na realizację projektu z udziałem środków, o których mowa w art.5 ust.1 pkt 2 ufp)</t>
  </si>
  <si>
    <t>Wynagrodzenia i składki od nich naliczane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</si>
  <si>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</si>
  <si>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</si>
  <si>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</si>
  <si>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</si>
  <si>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</si>
  <si>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</si>
  <si>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</si>
  <si>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</si>
  <si>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</si>
  <si>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</si>
  <si>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</si>
  <si>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</si>
  <si>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</si>
  <si>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</si>
  <si>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</si>
  <si>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</si>
  <si>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</si>
  <si>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</si>
  <si>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</si>
  <si>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</si>
  <si>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</si>
  <si>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</si>
  <si>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</si>
  <si>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</si>
  <si>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</si>
  <si>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</si>
  <si>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</si>
  <si>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</si>
  <si>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</si>
  <si>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</si>
  <si>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</si>
  <si>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</si>
  <si>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</si>
  <si>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</si>
  <si>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</si>
  <si>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</si>
  <si>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</si>
  <si>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</si>
  <si>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</si>
  <si>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</si>
  <si>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</si>
  <si>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</si>
  <si>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</si>
  <si>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</si>
  <si>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</si>
  <si>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</si>
  <si>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</si>
  <si>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</si>
  <si>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</si>
  <si>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</si>
  <si>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</si>
  <si>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</si>
  <si>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</si>
  <si>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</si>
  <si>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</si>
  <si>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</si>
  <si>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</si>
  <si>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</si>
  <si>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</si>
  <si>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</si>
  <si>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</si>
  <si>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</si>
  <si>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</si>
  <si>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</si>
  <si>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</si>
  <si>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</si>
  <si>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</si>
  <si>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</si>
  <si>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</si>
  <si>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</si>
  <si>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</si>
  <si>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</si>
  <si>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</si>
  <si>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</si>
  <si>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</si>
  <si>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</si>
  <si>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pozostałe wieloletnie programy, projekty, zadania</t>
  </si>
  <si>
    <t>wieloletnie programy finansowane z udziałem środków,                                         o których mowa w art.. 5 ust. 1 pkt 2 i 3 ufp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</si>
  <si>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</si>
  <si>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</si>
  <si>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umowy niezbędne do zapewnienia ciągłości działania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</si>
  <si>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</si>
  <si>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</si>
  <si>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</si>
  <si>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- nadwyżki budżetowe (wówczas gdy skumulowany wynik budżetu powiękzony o wynik roku jest nadwyżką - wartość dodatnia)</t>
  </si>
  <si>
    <t>22.</t>
  </si>
  <si>
    <t>kwota kontrolna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</si>
  <si>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</si>
  <si>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</si>
  <si>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</si>
  <si>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Regionalny Program Operacyjny (RPO)</t>
  </si>
  <si>
    <t>Program Operacyjny Kapitał Ludzki</t>
  </si>
  <si>
    <t>- wydatki majątkowe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</si>
  <si>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</si>
  <si>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 xml:space="preserve">suma kontrolna </t>
  </si>
  <si>
    <t xml:space="preserve">Planowane dochody, wydatki, przychody i rozchody </t>
  </si>
  <si>
    <t xml:space="preserve">18. </t>
  </si>
  <si>
    <t>wieloletnie umowy, których realizacja w roku budżetowym i w latach następnych jest niezbędna dla zapewnienia ciągłości działania j.s.t. i których płatności przypadają w okresie dłuższym niż rok - razem, z tego:</t>
  </si>
  <si>
    <t>2016 rok</t>
  </si>
  <si>
    <t>2017 rok</t>
  </si>
  <si>
    <t>2018 rok</t>
  </si>
  <si>
    <t>2020 rok</t>
  </si>
  <si>
    <t>2019 rok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</si>
  <si>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</si>
  <si>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</si>
  <si>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</si>
  <si>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</si>
  <si>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</si>
  <si>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</si>
  <si>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</si>
  <si>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</si>
  <si>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</si>
  <si>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</si>
  <si>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</si>
  <si>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Umowa (Starostwo Powiatowe-Zakład Usług Pożarniczych Fabisiak - do 31-03-2013) …. - razem, w tym:</t>
  </si>
  <si>
    <t>15)</t>
  </si>
  <si>
    <t>16)</t>
  </si>
  <si>
    <t>17)</t>
  </si>
  <si>
    <t>18)</t>
  </si>
  <si>
    <t>19)</t>
  </si>
  <si>
    <t>20)</t>
  </si>
  <si>
    <t>21)</t>
  </si>
  <si>
    <t>22)</t>
  </si>
  <si>
    <t>Umowa (PCPR-umowa najmu) …. - razem, w tym:</t>
  </si>
  <si>
    <t>Umowa (PCPR-umowa nr IC/109/2010 ma usługi serwisowe autorskiego pakietu oprogramowania do zarzadzania firmą pn"PARTNER") …. - razem, w tym:</t>
  </si>
  <si>
    <t xml:space="preserve">Umowa  z  FP   </t>
  </si>
  <si>
    <t>WIELOLETNIA PROGNOZA FINANSOWA  POWIATU  TORUŃSKIEGO   NA  LATA  2011-2020</t>
  </si>
  <si>
    <t xml:space="preserve">Umowa z Bankiem Spółdzielczym  w  spawie  poręczenia  kredytu  szpitalowi  powiatowemu   w  Chełmży </t>
  </si>
  <si>
    <t xml:space="preserve">- przychody z tytułu kredytów, pożyczek, emitowanych  papierów  wartościowych </t>
  </si>
  <si>
    <t>PRZEDSIĘWZIĘCIA REALIZOWANE W LATACH 2011 -2018</t>
  </si>
  <si>
    <t xml:space="preserve">- wydatki majątkowe  wg   wykazu </t>
  </si>
  <si>
    <t xml:space="preserve"> wydatki bieżące wg wykazu</t>
  </si>
  <si>
    <t>Umowa (PUP-umowa 2 czynsz ul.Słowackiego 14, Czernikowo)</t>
  </si>
  <si>
    <t xml:space="preserve">Umowa (PUP-umowa 1 czynsz ul.Towarowa 4-6, Toruń) </t>
  </si>
  <si>
    <t>Umowa (Starsotwo Powiatowe-Czynsz EM -Tech)</t>
  </si>
  <si>
    <t>Umowa (Starostwo Powiatowe-PRO-MAINT Paweł Miklaniewicz 2011)</t>
  </si>
  <si>
    <t>Umowa (PINB - serwis systemu informatycznego RESAK BUD)</t>
  </si>
  <si>
    <t xml:space="preserve">Umowa (PINB - serwis systemu informatycznego PARTNER) </t>
  </si>
  <si>
    <t>Umowa (PINB -usuwanie nieczystości stałych)</t>
  </si>
  <si>
    <t xml:space="preserve">Umowa (PINB-doradztwo i nadzórBHP) </t>
  </si>
  <si>
    <t xml:space="preserve">Umowa (PINB-czynsz za przechowanie archiwum zakł.) </t>
  </si>
  <si>
    <t>Umowa (Starostwo Powiatowe-Infocomp Partner - do 28.02.2013)</t>
  </si>
  <si>
    <t xml:space="preserve">Umowa (PINB -leasing operacyjny samochodów służbowych) </t>
  </si>
  <si>
    <t>PINB</t>
  </si>
  <si>
    <t>j.w</t>
  </si>
  <si>
    <t>SP</t>
  </si>
  <si>
    <t>PCPR</t>
  </si>
  <si>
    <t>PUP   DLA  PT</t>
  </si>
  <si>
    <t>Umowa (Starostwo Powiatowe-INSTALKOMPAKT czas nieokreślony)</t>
  </si>
  <si>
    <t>Umowa (Starostwo Powiatowe-Usł. Spółdzielnia Pracy TRYB-Dzwig -31-05-2012)</t>
  </si>
  <si>
    <t>Umowa (Starostwo Powiatowe-Przedsiębiorstwo Systemów alarmowych HORN B od 18.01.2012)</t>
  </si>
  <si>
    <t>Umowa (Starostwo Powiatowe-Zakład Uslug Teletechnicznych- do 31-01-2011)</t>
  </si>
  <si>
    <t xml:space="preserve">Umowa (Starostwo Powiatowe-PIHZ Certyfikacja marzec 2013) </t>
  </si>
  <si>
    <t>Umowa (Starostwo Powiatowe-KPIS i sieć informatyczna 31marzec 2013)</t>
  </si>
  <si>
    <t xml:space="preserve">Umowa (Starostwo Powiatowe-KOM PRO - Resak, Resakbud do 9 marzec 2011) </t>
  </si>
  <si>
    <t xml:space="preserve">Umowa (Starostwo Powiatowe-INFOCOMP Toruń do 30.07.2011) </t>
  </si>
  <si>
    <t xml:space="preserve">Umowa (Starostwo Powiatowe-EKO - Serwis Technika Grzewcza, Usługi Kon. 31.08.2013) </t>
  </si>
  <si>
    <t>Załącznik nr 2 do projektu  uchwały  R.P.T. w sprawie wieloletniej prognozy finansowej Powiatu  Toruńskiego na  lata  2011-2018</t>
  </si>
  <si>
    <t xml:space="preserve">Załącznik nr 1 do projektu uchwały R.P.T.  w sprawie wieloletniej prognozy finansowej  Powiatu  Toruńskiego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</si>
</sst>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_z_ł"/>
    <numFmt numFmtId="166" formatCode="_-* #,##0\ _z_ł_-;\-* #,##0\ _z_ł_-;_-* &quot;-&quot;??\ _z_ł_-;_-@_-"/>
    <numFmt numFmtId="167" formatCode="#,##0\ _z_ł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sz val="10"/>
      <name val="Czcionka tekstu podstawowego"/>
      <family val="0"/>
    </font>
    <font>
      <b/>
      <i/>
      <sz val="9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9"/>
      <name val="Arial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9"/>
      <color indexed="8"/>
      <name val="Czcionka tekstu podstawowego"/>
      <family val="0"/>
    </font>
    <font>
      <sz val="9"/>
      <name val="Arial CE"/>
      <family val="2"/>
    </font>
    <font>
      <b/>
      <sz val="8"/>
      <color indexed="8"/>
      <name val="Czcionka tekstu podstawowego"/>
      <family val="0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 quotePrefix="1">
      <alignment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10" fontId="10" fillId="0" borderId="10" xfId="0" applyNumberFormat="1" applyFont="1" applyBorder="1" applyAlignment="1" applyProtection="1">
      <alignment horizontal="center" vertical="center" wrapText="1"/>
      <protection/>
    </xf>
    <xf numFmtId="10" fontId="4" fillId="0" borderId="10" xfId="0" applyNumberFormat="1" applyFont="1" applyBorder="1" applyAlignment="1" applyProtection="1">
      <alignment horizontal="center" vertical="center" wrapText="1"/>
      <protection/>
    </xf>
    <xf numFmtId="10" fontId="10" fillId="0" borderId="12" xfId="0" applyNumberFormat="1" applyFont="1" applyBorder="1" applyAlignment="1" applyProtection="1">
      <alignment horizontal="center" vertical="center" wrapText="1"/>
      <protection/>
    </xf>
    <xf numFmtId="10" fontId="10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horizontal="center" vertical="center" textRotation="90" wrapText="1"/>
      <protection/>
    </xf>
    <xf numFmtId="0" fontId="7" fillId="34" borderId="10" xfId="0" applyFont="1" applyFill="1" applyBorder="1" applyAlignment="1" applyProtection="1">
      <alignment horizontal="right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right" vertical="center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textRotation="90" wrapText="1"/>
      <protection/>
    </xf>
    <xf numFmtId="3" fontId="9" fillId="34" borderId="10" xfId="0" applyNumberFormat="1" applyFont="1" applyFill="1" applyBorder="1" applyAlignment="1" applyProtection="1">
      <alignment horizontal="center" vertical="center" wrapText="1"/>
      <protection/>
    </xf>
    <xf numFmtId="3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17" fillId="34" borderId="12" xfId="0" applyFont="1" applyFill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/>
    </xf>
    <xf numFmtId="3" fontId="20" fillId="33" borderId="10" xfId="0" applyNumberFormat="1" applyFont="1" applyFill="1" applyBorder="1" applyAlignment="1">
      <alignment horizontal="right" vertical="center" shrinkToFit="1"/>
    </xf>
    <xf numFmtId="3" fontId="21" fillId="0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>
      <alignment wrapText="1"/>
    </xf>
    <xf numFmtId="0" fontId="22" fillId="0" borderId="10" xfId="0" applyFont="1" applyBorder="1" applyAlignment="1">
      <alignment wrapText="1"/>
    </xf>
    <xf numFmtId="165" fontId="22" fillId="0" borderId="10" xfId="0" applyNumberFormat="1" applyFont="1" applyBorder="1" applyAlignment="1">
      <alignment wrapText="1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 applyProtection="1">
      <alignment horizontal="center" vertical="center" wrapText="1"/>
      <protection/>
    </xf>
    <xf numFmtId="3" fontId="62" fillId="0" borderId="10" xfId="0" applyNumberFormat="1" applyFont="1" applyBorder="1" applyAlignment="1" applyProtection="1">
      <alignment horizontal="center" vertical="center" wrapText="1"/>
      <protection locked="0"/>
    </xf>
    <xf numFmtId="3" fontId="62" fillId="0" borderId="10" xfId="0" applyNumberFormat="1" applyFont="1" applyBorder="1" applyAlignment="1" applyProtection="1">
      <alignment horizontal="center" vertical="center"/>
      <protection locked="0"/>
    </xf>
    <xf numFmtId="165" fontId="62" fillId="0" borderId="10" xfId="0" applyNumberFormat="1" applyFont="1" applyBorder="1" applyAlignment="1">
      <alignment wrapText="1"/>
    </xf>
    <xf numFmtId="165" fontId="24" fillId="0" borderId="10" xfId="42" applyNumberFormat="1" applyFont="1" applyBorder="1" applyAlignment="1">
      <alignment/>
    </xf>
    <xf numFmtId="43" fontId="24" fillId="0" borderId="10" xfId="42" applyNumberFormat="1" applyFont="1" applyBorder="1" applyAlignment="1">
      <alignment/>
    </xf>
    <xf numFmtId="165" fontId="24" fillId="0" borderId="10" xfId="0" applyNumberFormat="1" applyFont="1" applyBorder="1" applyAlignment="1">
      <alignment wrapText="1"/>
    </xf>
    <xf numFmtId="39" fontId="24" fillId="0" borderId="10" xfId="0" applyNumberFormat="1" applyFont="1" applyBorder="1" applyAlignment="1">
      <alignment wrapText="1"/>
    </xf>
    <xf numFmtId="165" fontId="24" fillId="0" borderId="10" xfId="42" applyNumberFormat="1" applyFont="1" applyBorder="1" applyAlignment="1">
      <alignment wrapText="1"/>
    </xf>
    <xf numFmtId="39" fontId="24" fillId="0" borderId="10" xfId="42" applyNumberFormat="1" applyFont="1" applyBorder="1" applyAlignment="1">
      <alignment/>
    </xf>
    <xf numFmtId="166" fontId="24" fillId="0" borderId="10" xfId="42" applyNumberFormat="1" applyFont="1" applyBorder="1" applyAlignment="1">
      <alignment/>
    </xf>
    <xf numFmtId="165" fontId="24" fillId="0" borderId="10" xfId="0" applyNumberFormat="1" applyFont="1" applyBorder="1" applyAlignment="1">
      <alignment wrapText="1"/>
    </xf>
    <xf numFmtId="165" fontId="24" fillId="0" borderId="11" xfId="0" applyNumberFormat="1" applyFont="1" applyFill="1" applyBorder="1" applyAlignment="1">
      <alignment wrapText="1"/>
    </xf>
    <xf numFmtId="3" fontId="62" fillId="0" borderId="10" xfId="0" applyNumberFormat="1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 applyProtection="1">
      <alignment horizontal="center" vertical="center" wrapText="1"/>
      <protection/>
    </xf>
    <xf numFmtId="3" fontId="63" fillId="0" borderId="10" xfId="0" applyNumberFormat="1" applyFont="1" applyBorder="1" applyAlignment="1" applyProtection="1">
      <alignment horizontal="center" vertical="center" wrapText="1"/>
      <protection locked="0"/>
    </xf>
    <xf numFmtId="3" fontId="63" fillId="0" borderId="10" xfId="0" applyNumberFormat="1" applyFont="1" applyBorder="1" applyAlignment="1" applyProtection="1">
      <alignment horizontal="center" vertical="center"/>
      <protection locked="0"/>
    </xf>
    <xf numFmtId="165" fontId="63" fillId="0" borderId="10" xfId="0" applyNumberFormat="1" applyFont="1" applyBorder="1" applyAlignment="1">
      <alignment wrapText="1"/>
    </xf>
    <xf numFmtId="165" fontId="26" fillId="0" borderId="10" xfId="42" applyNumberFormat="1" applyFont="1" applyBorder="1" applyAlignment="1">
      <alignment/>
    </xf>
    <xf numFmtId="165" fontId="26" fillId="0" borderId="10" xfId="0" applyNumberFormat="1" applyFont="1" applyBorder="1" applyAlignment="1">
      <alignment wrapText="1"/>
    </xf>
    <xf numFmtId="43" fontId="26" fillId="0" borderId="10" xfId="42" applyNumberFormat="1" applyFont="1" applyBorder="1" applyAlignment="1">
      <alignment/>
    </xf>
    <xf numFmtId="39" fontId="26" fillId="0" borderId="10" xfId="0" applyNumberFormat="1" applyFont="1" applyBorder="1" applyAlignment="1">
      <alignment wrapText="1"/>
    </xf>
    <xf numFmtId="166" fontId="26" fillId="0" borderId="10" xfId="42" applyNumberFormat="1" applyFont="1" applyBorder="1" applyAlignment="1">
      <alignment/>
    </xf>
    <xf numFmtId="165" fontId="26" fillId="0" borderId="10" xfId="0" applyNumberFormat="1" applyFont="1" applyBorder="1" applyAlignment="1">
      <alignment wrapText="1"/>
    </xf>
    <xf numFmtId="3" fontId="63" fillId="0" borderId="10" xfId="0" applyNumberFormat="1" applyFont="1" applyBorder="1" applyAlignment="1" applyProtection="1">
      <alignment horizontal="center"/>
      <protection locked="0"/>
    </xf>
    <xf numFmtId="3" fontId="3" fillId="35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wrapText="1"/>
    </xf>
    <xf numFmtId="10" fontId="4" fillId="35" borderId="10" xfId="0" applyNumberFormat="1" applyFont="1" applyFill="1" applyBorder="1" applyAlignment="1" applyProtection="1">
      <alignment horizontal="center" vertical="center" wrapText="1"/>
      <protection/>
    </xf>
    <xf numFmtId="10" fontId="10" fillId="35" borderId="10" xfId="0" applyNumberFormat="1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3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5" borderId="10" xfId="0" applyNumberFormat="1" applyFont="1" applyFill="1" applyBorder="1" applyAlignment="1" applyProtection="1">
      <alignment horizontal="center" vertical="center" wrapText="1"/>
      <protection/>
    </xf>
    <xf numFmtId="3" fontId="21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35" borderId="10" xfId="0" applyNumberFormat="1" applyFont="1" applyFill="1" applyBorder="1" applyAlignment="1">
      <alignment horizontal="right" vertical="center" shrinkToFit="1"/>
    </xf>
    <xf numFmtId="0" fontId="13" fillId="35" borderId="10" xfId="0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 applyProtection="1">
      <alignment horizontal="center" vertical="center" wrapText="1"/>
      <protection/>
    </xf>
    <xf numFmtId="3" fontId="10" fillId="35" borderId="10" xfId="0" applyNumberFormat="1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 quotePrefix="1">
      <alignment vertical="center" wrapText="1"/>
      <protection/>
    </xf>
    <xf numFmtId="0" fontId="10" fillId="35" borderId="0" xfId="0" applyFont="1" applyFill="1" applyAlignment="1" applyProtection="1">
      <alignment vertical="center" wrapText="1"/>
      <protection/>
    </xf>
    <xf numFmtId="3" fontId="64" fillId="35" borderId="10" xfId="0" applyNumberFormat="1" applyFont="1" applyFill="1" applyBorder="1" applyAlignment="1" applyProtection="1">
      <alignment horizontal="center" vertical="center" wrapText="1"/>
      <protection/>
    </xf>
    <xf numFmtId="3" fontId="64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textRotation="90" wrapText="1"/>
      <protection/>
    </xf>
    <xf numFmtId="0" fontId="9" fillId="34" borderId="16" xfId="0" applyFont="1" applyFill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 vertical="center" wrapText="1"/>
      <protection/>
    </xf>
    <xf numFmtId="0" fontId="11" fillId="33" borderId="2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 quotePrefix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%20G&#321;&#211;WNY%20%202001-2014-25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ostwo\Pulpit\WPF%202011\PROJEKT%20BUD&#379;ET%20%202011\ZA&#321;&#260;CZNIKI%201-10%20DO%20PROJEKTU%20%20BUDZETU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015"/>
      <sheetName val="dochody własne"/>
      <sheetName val="dochody starostwo"/>
      <sheetName val="DOCHODY ZAŁ 1"/>
      <sheetName val="ETATY 2011"/>
      <sheetName val="BUDŻET CAŁY ZAŁ 2"/>
      <sheetName val="Starostwo Powiatowe zał 2"/>
      <sheetName val="6050  6060"/>
      <sheetName val="4210 2011 r"/>
      <sheetName val="4260 -2011r"/>
      <sheetName val="4270 2011"/>
      <sheetName val="4300 -2011r"/>
      <sheetName val="437-2011r"/>
      <sheetName val="4350- 2011r"/>
      <sheetName val="4400 2011r koszty i d"/>
      <sheetName val="czynsz i k. adm,inne - dochody"/>
    </sheetNames>
    <sheetDataSet>
      <sheetData sheetId="3">
        <row r="312">
          <cell r="U312">
            <v>10357873</v>
          </cell>
          <cell r="V312">
            <v>9898831</v>
          </cell>
        </row>
        <row r="314">
          <cell r="U314">
            <v>64795842.66000001</v>
          </cell>
          <cell r="V314">
            <v>63808967.916060016</v>
          </cell>
          <cell r="W314">
            <v>63618120.30507989</v>
          </cell>
        </row>
      </sheetData>
      <sheetData sheetId="5">
        <row r="1807">
          <cell r="W1807">
            <v>62117046</v>
          </cell>
          <cell r="Y1807">
            <v>60919169.75</v>
          </cell>
          <cell r="Z1807">
            <v>58261971.453749985</v>
          </cell>
          <cell r="AA1807">
            <v>57141660.12275625</v>
          </cell>
        </row>
        <row r="1810">
          <cell r="AA1810">
            <v>1660639.6983168002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9"/>
      <sheetName val="8"/>
      <sheetName val="10"/>
    </sheetNames>
    <sheetDataSet>
      <sheetData sheetId="0">
        <row r="307">
          <cell r="T307">
            <v>21727419</v>
          </cell>
        </row>
        <row r="309">
          <cell r="T309">
            <v>64279700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6" sqref="A76:J76"/>
    </sheetView>
  </sheetViews>
  <sheetFormatPr defaultColWidth="8.796875" defaultRowHeight="21.75" customHeight="1"/>
  <cols>
    <col min="1" max="1" width="5.8984375" style="11" customWidth="1"/>
    <col min="2" max="2" width="44.3984375" style="9" customWidth="1"/>
    <col min="3" max="5" width="11.69921875" style="11" customWidth="1"/>
    <col min="6" max="6" width="11.69921875" style="134" customWidth="1"/>
    <col min="7" max="9" width="11.69921875" style="11" customWidth="1"/>
    <col min="10" max="10" width="12.3984375" style="11" bestFit="1" customWidth="1"/>
    <col min="11" max="15" width="11.69921875" style="11" customWidth="1"/>
    <col min="16" max="21" width="11.69921875" style="9" customWidth="1"/>
    <col min="22" max="16384" width="9" style="9" customWidth="1"/>
  </cols>
  <sheetData>
    <row r="1" spans="1:15" ht="31.5" customHeight="1">
      <c r="A1" s="144" t="s">
        <v>215</v>
      </c>
      <c r="B1" s="144"/>
      <c r="C1" s="144"/>
      <c r="D1" s="144"/>
      <c r="E1" s="144"/>
      <c r="F1" s="144"/>
      <c r="G1" s="144"/>
      <c r="H1" s="144"/>
      <c r="I1" s="144"/>
      <c r="J1" s="144"/>
      <c r="K1" s="9"/>
      <c r="L1" s="9"/>
      <c r="M1" s="9"/>
      <c r="N1" s="9"/>
      <c r="O1" s="9"/>
    </row>
    <row r="2" spans="1:15" ht="30" customHeight="1">
      <c r="A2" s="141" t="s">
        <v>183</v>
      </c>
      <c r="B2" s="141"/>
      <c r="C2" s="141"/>
      <c r="D2" s="141"/>
      <c r="E2" s="141"/>
      <c r="F2" s="141"/>
      <c r="G2" s="141"/>
      <c r="H2" s="141"/>
      <c r="I2" s="141"/>
      <c r="J2" s="141"/>
      <c r="K2" s="9"/>
      <c r="L2" s="9"/>
      <c r="M2" s="9"/>
      <c r="N2" s="9"/>
      <c r="O2" s="9"/>
    </row>
    <row r="3" spans="1:15" ht="21.75" customHeight="1">
      <c r="A3" s="141" t="s">
        <v>77</v>
      </c>
      <c r="B3" s="141"/>
      <c r="C3" s="141"/>
      <c r="D3" s="141"/>
      <c r="E3" s="141"/>
      <c r="F3" s="141"/>
      <c r="G3" s="141"/>
      <c r="H3" s="141"/>
      <c r="I3" s="141"/>
      <c r="J3" s="141"/>
      <c r="K3" s="9"/>
      <c r="L3" s="9"/>
      <c r="M3" s="9"/>
      <c r="N3" s="9"/>
      <c r="O3" s="9"/>
    </row>
    <row r="5" spans="1:15" s="11" customFormat="1" ht="24.75" customHeight="1">
      <c r="A5" s="142" t="s">
        <v>0</v>
      </c>
      <c r="B5" s="142" t="s">
        <v>1</v>
      </c>
      <c r="C5" s="142" t="s">
        <v>12</v>
      </c>
      <c r="D5" s="142"/>
      <c r="E5" s="142" t="s">
        <v>15</v>
      </c>
      <c r="F5" s="143" t="s">
        <v>16</v>
      </c>
      <c r="G5" s="145"/>
      <c r="H5" s="146"/>
      <c r="I5" s="146"/>
      <c r="J5" s="146"/>
      <c r="K5" s="146"/>
      <c r="L5" s="146"/>
      <c r="M5" s="146"/>
      <c r="N5" s="146"/>
      <c r="O5" s="146"/>
    </row>
    <row r="6" spans="1:15" s="11" customFormat="1" ht="30" customHeight="1">
      <c r="A6" s="142"/>
      <c r="B6" s="142"/>
      <c r="C6" s="12" t="s">
        <v>13</v>
      </c>
      <c r="D6" s="12" t="s">
        <v>14</v>
      </c>
      <c r="E6" s="142"/>
      <c r="F6" s="143"/>
      <c r="G6" s="12" t="s">
        <v>18</v>
      </c>
      <c r="H6" s="12" t="s">
        <v>19</v>
      </c>
      <c r="I6" s="12" t="s">
        <v>20</v>
      </c>
      <c r="J6" s="12" t="s">
        <v>21</v>
      </c>
      <c r="K6" s="12" t="s">
        <v>155</v>
      </c>
      <c r="L6" s="12" t="s">
        <v>156</v>
      </c>
      <c r="M6" s="12" t="s">
        <v>157</v>
      </c>
      <c r="N6" s="12" t="s">
        <v>159</v>
      </c>
      <c r="O6" s="12" t="s">
        <v>158</v>
      </c>
    </row>
    <row r="7" spans="1:15" s="11" customFormat="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</row>
    <row r="8" spans="1:15" s="16" customFormat="1" ht="26.25" customHeight="1">
      <c r="A8" s="13" t="s">
        <v>2</v>
      </c>
      <c r="B8" s="14" t="s">
        <v>45</v>
      </c>
      <c r="C8" s="15">
        <f>C9+C10</f>
        <v>52650999</v>
      </c>
      <c r="D8" s="15">
        <f aca="true" t="shared" si="0" ref="D8:J8">D9+D10</f>
        <v>63110001</v>
      </c>
      <c r="E8" s="15">
        <f t="shared" si="0"/>
        <v>66156790</v>
      </c>
      <c r="F8" s="121">
        <f t="shared" si="0"/>
        <v>86007119</v>
      </c>
      <c r="G8" s="15">
        <f t="shared" si="0"/>
        <v>75309245.66000001</v>
      </c>
      <c r="H8" s="15">
        <f t="shared" si="0"/>
        <v>73867798.91606002</v>
      </c>
      <c r="I8" s="15">
        <f t="shared" si="0"/>
        <v>63618120.30507989</v>
      </c>
      <c r="J8" s="15">
        <f t="shared" si="0"/>
        <v>65970000</v>
      </c>
      <c r="K8" s="15">
        <f>K9+K10</f>
        <v>68280000</v>
      </c>
      <c r="L8" s="15">
        <f>L9+L10</f>
        <v>70600000</v>
      </c>
      <c r="M8" s="15">
        <f>M9+M10</f>
        <v>72930000</v>
      </c>
      <c r="N8" s="15">
        <f>N9+N10</f>
        <v>75260000</v>
      </c>
      <c r="O8" s="15">
        <f>O9+O10</f>
        <v>77590000</v>
      </c>
    </row>
    <row r="9" spans="1:15" s="20" customFormat="1" ht="21.75" customHeight="1">
      <c r="A9" s="17" t="s">
        <v>39</v>
      </c>
      <c r="B9" s="18" t="s">
        <v>3</v>
      </c>
      <c r="C9" s="1">
        <v>51161830</v>
      </c>
      <c r="D9" s="1">
        <v>56661415</v>
      </c>
      <c r="E9" s="1">
        <v>58291428</v>
      </c>
      <c r="F9" s="123">
        <f>'[2]1'!$T$309</f>
        <v>64279700</v>
      </c>
      <c r="G9" s="1">
        <f>'[1]DOCHODY ZAŁ 1'!$U$314+151000*103%</f>
        <v>64951372.66000001</v>
      </c>
      <c r="H9" s="1">
        <f>'[1]DOCHODY ZAŁ 1'!$V$314+160000</f>
        <v>63968967.916060016</v>
      </c>
      <c r="I9" s="1">
        <f>'[1]DOCHODY ZAŁ 1'!$W$314</f>
        <v>63618120.30507989</v>
      </c>
      <c r="J9" s="1">
        <f>ROUND(I9*103.7%,-4)</f>
        <v>65970000</v>
      </c>
      <c r="K9" s="1">
        <f>ROUND(J9*103.5%,-4)</f>
        <v>68280000</v>
      </c>
      <c r="L9" s="1">
        <f>ROUND(K9*103.4%,-4)</f>
        <v>70600000</v>
      </c>
      <c r="M9" s="1">
        <f>ROUND(L9*103.3%,-4)</f>
        <v>72930000</v>
      </c>
      <c r="N9" s="1">
        <f>ROUND(M9*103.2%,-4)</f>
        <v>75260000</v>
      </c>
      <c r="O9" s="1">
        <f>ROUND(N9*103.1%,-4)</f>
        <v>77590000</v>
      </c>
    </row>
    <row r="10" spans="1:15" s="20" customFormat="1" ht="21.75" customHeight="1">
      <c r="A10" s="17" t="s">
        <v>40</v>
      </c>
      <c r="B10" s="18" t="s">
        <v>22</v>
      </c>
      <c r="C10" s="1">
        <v>1489169</v>
      </c>
      <c r="D10" s="1">
        <v>6448586</v>
      </c>
      <c r="E10" s="1">
        <v>7865362</v>
      </c>
      <c r="F10" s="124">
        <f>'[2]1'!$T$307</f>
        <v>21727419</v>
      </c>
      <c r="G10" s="124">
        <f>'[1]DOCHODY ZAŁ 1'!$U$312</f>
        <v>10357873</v>
      </c>
      <c r="H10" s="124">
        <f>'[1]DOCHODY ZAŁ 1'!$V$312</f>
        <v>9898831</v>
      </c>
      <c r="I10" s="124"/>
      <c r="J10" s="1"/>
      <c r="K10" s="1"/>
      <c r="L10" s="1"/>
      <c r="M10" s="1"/>
      <c r="N10" s="1"/>
      <c r="O10" s="1"/>
    </row>
    <row r="11" spans="1:15" s="29" customFormat="1" ht="21.75" customHeight="1">
      <c r="A11" s="27" t="s">
        <v>41</v>
      </c>
      <c r="B11" s="57" t="s">
        <v>23</v>
      </c>
      <c r="C11" s="4"/>
      <c r="D11" s="4"/>
      <c r="E11" s="4">
        <v>0</v>
      </c>
      <c r="F11" s="124">
        <v>1300000</v>
      </c>
      <c r="G11" s="124"/>
      <c r="H11" s="124"/>
      <c r="I11" s="124"/>
      <c r="J11" s="4"/>
      <c r="K11" s="4"/>
      <c r="L11" s="4"/>
      <c r="M11" s="4"/>
      <c r="N11" s="4"/>
      <c r="O11" s="4"/>
    </row>
    <row r="12" spans="1:15" s="16" customFormat="1" ht="34.5" customHeight="1">
      <c r="A12" s="13" t="s">
        <v>4</v>
      </c>
      <c r="B12" s="14" t="s">
        <v>46</v>
      </c>
      <c r="C12" s="15">
        <f aca="true" t="shared" si="1" ref="C12:J12">C13+C14+C15+C19</f>
        <v>45803006</v>
      </c>
      <c r="D12" s="15">
        <f t="shared" si="1"/>
        <v>51469495</v>
      </c>
      <c r="E12" s="15">
        <f t="shared" si="1"/>
        <v>55675004</v>
      </c>
      <c r="F12" s="121">
        <f t="shared" si="1"/>
        <v>60926427</v>
      </c>
      <c r="G12" s="15">
        <f t="shared" si="1"/>
        <v>59580814.75</v>
      </c>
      <c r="H12" s="15">
        <f>H13+H14+H15+H19</f>
        <v>57340043.453749985</v>
      </c>
      <c r="I12" s="15">
        <f t="shared" si="1"/>
        <v>56248002.12275625</v>
      </c>
      <c r="J12" s="15">
        <f t="shared" si="1"/>
        <v>58245073.96</v>
      </c>
      <c r="K12" s="15">
        <f>K13+K14+K15+K19</f>
        <v>60107500</v>
      </c>
      <c r="L12" s="15">
        <f>L13+L14+L15+L19</f>
        <v>62153459</v>
      </c>
      <c r="M12" s="15">
        <f>M13+M14+M15+M19</f>
        <v>64040203</v>
      </c>
      <c r="N12" s="15">
        <f>N13+N14+N15+N19</f>
        <v>64800000</v>
      </c>
      <c r="O12" s="15">
        <f>O13+O14+O15+O19</f>
        <v>66810000</v>
      </c>
    </row>
    <row r="13" spans="1:15" s="20" customFormat="1" ht="21.75" customHeight="1">
      <c r="A13" s="17" t="s">
        <v>42</v>
      </c>
      <c r="B13" s="18" t="s">
        <v>56</v>
      </c>
      <c r="C13" s="78">
        <v>28319629</v>
      </c>
      <c r="D13" s="78">
        <v>32278067</v>
      </c>
      <c r="E13" s="1">
        <v>33506767</v>
      </c>
      <c r="F13" s="123">
        <v>36377210</v>
      </c>
      <c r="G13" s="1">
        <v>35764951</v>
      </c>
      <c r="H13" s="1">
        <v>35823022</v>
      </c>
      <c r="I13" s="1">
        <v>36185751</v>
      </c>
      <c r="J13" s="1">
        <f>ROUND(I13*103.7%,-4)</f>
        <v>37520000</v>
      </c>
      <c r="K13" s="1">
        <f>ROUND(J13*103.5%,-4)</f>
        <v>38830000</v>
      </c>
      <c r="L13" s="1">
        <f>ROUND(K13*103.4%,-4)</f>
        <v>40150000</v>
      </c>
      <c r="M13" s="1">
        <f>ROUND(L13*103.3%,-4)</f>
        <v>41470000</v>
      </c>
      <c r="N13" s="1">
        <f>ROUND(M13*103.2%,-4)</f>
        <v>42800000</v>
      </c>
      <c r="O13" s="1">
        <f>ROUND(N13*103.1%,-4)</f>
        <v>44130000</v>
      </c>
    </row>
    <row r="14" spans="1:15" s="20" customFormat="1" ht="21.75" customHeight="1">
      <c r="A14" s="17" t="s">
        <v>43</v>
      </c>
      <c r="B14" s="18" t="s">
        <v>57</v>
      </c>
      <c r="C14" s="78">
        <f>315072+380703</f>
        <v>695775</v>
      </c>
      <c r="D14" s="78">
        <f>329282+383139</f>
        <v>712421</v>
      </c>
      <c r="E14" s="1">
        <v>727282</v>
      </c>
      <c r="F14" s="123">
        <v>755280</v>
      </c>
      <c r="G14" s="1">
        <v>769959</v>
      </c>
      <c r="H14" s="1">
        <v>785152</v>
      </c>
      <c r="I14" s="1">
        <v>800876</v>
      </c>
      <c r="J14" s="1">
        <f>ROUND(I14*103.7%,-4)</f>
        <v>830000</v>
      </c>
      <c r="K14" s="1">
        <f>ROUND(J14*103.5%,-4)</f>
        <v>860000</v>
      </c>
      <c r="L14" s="1">
        <f>ROUND(K14*103.4%,-4)</f>
        <v>890000</v>
      </c>
      <c r="M14" s="1">
        <f>ROUND(L14*103.3%,-4)</f>
        <v>920000</v>
      </c>
      <c r="N14" s="1">
        <f>ROUND(M14*103.2%,-4)</f>
        <v>950000</v>
      </c>
      <c r="O14" s="1">
        <f>ROUND(N14*103.1%,-4)</f>
        <v>980000</v>
      </c>
    </row>
    <row r="15" spans="1:15" s="20" customFormat="1" ht="42.75" customHeight="1">
      <c r="A15" s="17" t="s">
        <v>47</v>
      </c>
      <c r="B15" s="18" t="s">
        <v>139</v>
      </c>
      <c r="C15" s="79">
        <f aca="true" t="shared" si="2" ref="C15:J15">C16+C17+C18</f>
        <v>0</v>
      </c>
      <c r="D15" s="79">
        <f t="shared" si="2"/>
        <v>3468352</v>
      </c>
      <c r="E15" s="19">
        <f t="shared" si="2"/>
        <v>3046262</v>
      </c>
      <c r="F15" s="125">
        <f t="shared" si="2"/>
        <v>7770265.58</v>
      </c>
      <c r="G15" s="19">
        <f t="shared" si="2"/>
        <v>6026103.39</v>
      </c>
      <c r="H15" s="19">
        <f t="shared" si="2"/>
        <v>3377157.21</v>
      </c>
      <c r="I15" s="19">
        <f t="shared" si="2"/>
        <v>1473787.64</v>
      </c>
      <c r="J15" s="19">
        <f t="shared" si="2"/>
        <v>1445073.96</v>
      </c>
      <c r="K15" s="19">
        <f>K16+K17+K18</f>
        <v>1317500</v>
      </c>
      <c r="L15" s="19">
        <f>L16+L17+L18</f>
        <v>1363459</v>
      </c>
      <c r="M15" s="19">
        <f>M16+M17+M18</f>
        <v>1250203</v>
      </c>
      <c r="N15" s="19">
        <f>N16+N17+N18</f>
        <v>0</v>
      </c>
      <c r="O15" s="19">
        <f>O16+O17+O18</f>
        <v>0</v>
      </c>
    </row>
    <row r="16" spans="1:15" s="23" customFormat="1" ht="24.75" customHeight="1">
      <c r="A16" s="147"/>
      <c r="B16" s="22" t="s">
        <v>140</v>
      </c>
      <c r="C16" s="78"/>
      <c r="D16" s="78">
        <v>3468352</v>
      </c>
      <c r="E16" s="1">
        <v>3046262</v>
      </c>
      <c r="F16" s="123">
        <f>zał_2_Przedsięwzięcia!I12</f>
        <v>6394978</v>
      </c>
      <c r="G16" s="1">
        <f>zał_2_Przedsięwzięcia!J12</f>
        <v>4670440</v>
      </c>
      <c r="H16" s="1">
        <f>zał_2_Przedsięwzięcia!K12</f>
        <v>1992359</v>
      </c>
      <c r="I16" s="1">
        <f>zał_2_Przedsięwzięcia!L12</f>
        <v>76148</v>
      </c>
      <c r="J16" s="1">
        <f>zał_2_Przedsięwzięcia!M12</f>
        <v>0</v>
      </c>
      <c r="K16" s="1">
        <v>0</v>
      </c>
      <c r="L16" s="1">
        <f>zał_2_Przedsięwzięcia!R12</f>
        <v>0</v>
      </c>
      <c r="M16" s="1">
        <f>zał_2_Przedsięwzięcia!S12</f>
        <v>0</v>
      </c>
      <c r="N16" s="1">
        <f>zał_2_Przedsięwzięcia!T12</f>
        <v>0</v>
      </c>
      <c r="O16" s="1">
        <f>zał_2_Przedsięwzięcia!U12</f>
        <v>0</v>
      </c>
    </row>
    <row r="17" spans="1:15" s="23" customFormat="1" ht="24.75" customHeight="1">
      <c r="A17" s="147"/>
      <c r="B17" s="22" t="s">
        <v>135</v>
      </c>
      <c r="C17" s="78"/>
      <c r="D17" s="78"/>
      <c r="E17" s="1"/>
      <c r="F17" s="123">
        <f>zał_2_Przedsięwzięcia!I25</f>
        <v>0</v>
      </c>
      <c r="G17" s="1">
        <f>zał_2_Przedsięwzięcia!J25</f>
        <v>0</v>
      </c>
      <c r="H17" s="1">
        <f>zał_2_Przedsięwzięcia!K25</f>
        <v>0</v>
      </c>
      <c r="I17" s="1">
        <f>zał_2_Przedsięwzięcia!L25</f>
        <v>0</v>
      </c>
      <c r="J17" s="1">
        <f>zał_2_Przedsięwzięcia!M25</f>
        <v>0</v>
      </c>
      <c r="K17" s="1">
        <f>zał_2_Przedsięwzięcia!Q25</f>
        <v>0</v>
      </c>
      <c r="L17" s="1">
        <f>zał_2_Przedsięwzięcia!R25</f>
        <v>0</v>
      </c>
      <c r="M17" s="1">
        <f>zał_2_Przedsięwzięcia!S25</f>
        <v>0</v>
      </c>
      <c r="N17" s="1">
        <f>zał_2_Przedsięwzięcia!T25</f>
        <v>0</v>
      </c>
      <c r="O17" s="1">
        <f>zał_2_Przedsięwzięcia!U25</f>
        <v>0</v>
      </c>
    </row>
    <row r="18" spans="1:15" s="23" customFormat="1" ht="24.75" customHeight="1">
      <c r="A18" s="147"/>
      <c r="B18" s="22" t="s">
        <v>137</v>
      </c>
      <c r="C18" s="78"/>
      <c r="D18" s="78"/>
      <c r="E18" s="1"/>
      <c r="F18" s="123">
        <f>zał_2_Przedsięwzięcia!I48</f>
        <v>1375287.58</v>
      </c>
      <c r="G18" s="1">
        <f>zał_2_Przedsięwzięcia!J48</f>
        <v>1355663.39</v>
      </c>
      <c r="H18" s="1">
        <f>zał_2_Przedsięwzięcia!K48</f>
        <v>1384798.21</v>
      </c>
      <c r="I18" s="1">
        <f>zał_2_Przedsięwzięcia!L48</f>
        <v>1397639.64</v>
      </c>
      <c r="J18" s="1">
        <f>zał_2_Przedsięwzięcia!M48</f>
        <v>1445073.96</v>
      </c>
      <c r="K18" s="123">
        <f>zał_2_Przedsięwzięcia!N47</f>
        <v>1317500</v>
      </c>
      <c r="L18" s="1">
        <f>zał_2_Przedsięwzięcia!O47</f>
        <v>1363459</v>
      </c>
      <c r="M18" s="1">
        <f>zał_2_Przedsięwzięcia!P47</f>
        <v>1250203</v>
      </c>
      <c r="N18" s="1">
        <f>zał_2_Przedsięwzięcia!T48</f>
        <v>0</v>
      </c>
      <c r="O18" s="1">
        <f>zał_2_Przedsięwzięcia!U48</f>
        <v>0</v>
      </c>
    </row>
    <row r="19" spans="1:15" ht="21.75" customHeight="1">
      <c r="A19" s="12" t="s">
        <v>44</v>
      </c>
      <c r="B19" s="21" t="s">
        <v>58</v>
      </c>
      <c r="C19" s="83">
        <f>17051520-263918</f>
        <v>16787602</v>
      </c>
      <c r="D19" s="83">
        <v>15010655</v>
      </c>
      <c r="E19" s="77">
        <f>56598369-E15-E14-E13-E29</f>
        <v>18394693</v>
      </c>
      <c r="F19" s="126">
        <f>'[1]BUDŻET CAŁY ZAŁ 2'!$W$1807-F15-F14-F13-F29+151000</f>
        <v>16023671.420000002</v>
      </c>
      <c r="G19" s="77">
        <f>'[1]BUDŻET CAŁY ZAŁ 2'!$Y$1807-G15-G14-G13-G29</f>
        <v>17019801.36</v>
      </c>
      <c r="H19" s="77">
        <f>'[1]BUDŻET CAŁY ZAŁ 2'!$Z$1807-H15-H14-H13-H29</f>
        <v>17354712.243749984</v>
      </c>
      <c r="I19" s="77">
        <f>'[1]BUDŻET CAŁY ZAŁ 2'!$AA$1807-I15-I14-I13-I29</f>
        <v>17787587.48275625</v>
      </c>
      <c r="J19" s="4">
        <f>ROUND(I19*103.7%,-4)</f>
        <v>18450000</v>
      </c>
      <c r="K19" s="4">
        <f>ROUND(J19*103.5%,-4)</f>
        <v>19100000</v>
      </c>
      <c r="L19" s="4">
        <f>ROUND(K19*103.4%,-4)</f>
        <v>19750000</v>
      </c>
      <c r="M19" s="4">
        <f>ROUND(L19*103.3%,-4)</f>
        <v>20400000</v>
      </c>
      <c r="N19" s="4">
        <f>ROUND(M19*103.2%,-4)</f>
        <v>21050000</v>
      </c>
      <c r="O19" s="4">
        <f>ROUND(N19*103.1%,-4)</f>
        <v>21700000</v>
      </c>
    </row>
    <row r="20" spans="1:15" s="16" customFormat="1" ht="34.5" customHeight="1">
      <c r="A20" s="13" t="s">
        <v>5</v>
      </c>
      <c r="B20" s="14" t="s">
        <v>105</v>
      </c>
      <c r="C20" s="15">
        <f>C8-C12</f>
        <v>6847993</v>
      </c>
      <c r="D20" s="15">
        <f aca="true" t="shared" si="3" ref="D20:J20">D8-D12</f>
        <v>11640506</v>
      </c>
      <c r="E20" s="15">
        <f t="shared" si="3"/>
        <v>10481786</v>
      </c>
      <c r="F20" s="121">
        <f t="shared" si="3"/>
        <v>25080692</v>
      </c>
      <c r="G20" s="15">
        <f t="shared" si="3"/>
        <v>15728430.910000011</v>
      </c>
      <c r="H20" s="15">
        <f>H8-H12+1</f>
        <v>16527756.462310031</v>
      </c>
      <c r="I20" s="15">
        <f t="shared" si="3"/>
        <v>7370118.182323642</v>
      </c>
      <c r="J20" s="15">
        <f t="shared" si="3"/>
        <v>7724926.039999999</v>
      </c>
      <c r="K20" s="15">
        <f>K8-K12</f>
        <v>8172500</v>
      </c>
      <c r="L20" s="15">
        <f>L8-L12</f>
        <v>8446541</v>
      </c>
      <c r="M20" s="15">
        <f>M8-M12</f>
        <v>8889797</v>
      </c>
      <c r="N20" s="15">
        <f>N8-N12</f>
        <v>10460000</v>
      </c>
      <c r="O20" s="15">
        <f>O8-O12</f>
        <v>10780000</v>
      </c>
    </row>
    <row r="21" spans="1:15" s="59" customFormat="1" ht="54" customHeight="1">
      <c r="A21" s="60" t="s">
        <v>143</v>
      </c>
      <c r="B21" s="61" t="s">
        <v>150</v>
      </c>
      <c r="C21" s="62">
        <f>C9-C12</f>
        <v>5358824</v>
      </c>
      <c r="D21" s="62">
        <f aca="true" t="shared" si="4" ref="D21:J21">D9-D12</f>
        <v>5191920</v>
      </c>
      <c r="E21" s="62">
        <f t="shared" si="4"/>
        <v>2616424</v>
      </c>
      <c r="F21" s="127">
        <f t="shared" si="4"/>
        <v>3353273</v>
      </c>
      <c r="G21" s="62">
        <f t="shared" si="4"/>
        <v>5370557.910000011</v>
      </c>
      <c r="H21" s="62">
        <f t="shared" si="4"/>
        <v>6628924.462310031</v>
      </c>
      <c r="I21" s="62">
        <f t="shared" si="4"/>
        <v>7370118.182323642</v>
      </c>
      <c r="J21" s="62">
        <f t="shared" si="4"/>
        <v>7724926.039999999</v>
      </c>
      <c r="K21" s="62">
        <f>K9-K12</f>
        <v>8172500</v>
      </c>
      <c r="L21" s="62">
        <f>L9-L12</f>
        <v>8446541</v>
      </c>
      <c r="M21" s="62">
        <f>M9-M12</f>
        <v>8889797</v>
      </c>
      <c r="N21" s="62">
        <f>N9-N12</f>
        <v>10460000</v>
      </c>
      <c r="O21" s="62">
        <f>O9-O12</f>
        <v>10780000</v>
      </c>
    </row>
    <row r="22" spans="1:15" s="16" customFormat="1" ht="34.5" customHeight="1">
      <c r="A22" s="13" t="s">
        <v>7</v>
      </c>
      <c r="B22" s="14" t="s">
        <v>123</v>
      </c>
      <c r="C22" s="15">
        <f>C23+C24+C25</f>
        <v>2642341</v>
      </c>
      <c r="D22" s="15">
        <f aca="true" t="shared" si="5" ref="D22:J22">D23+D24+D25</f>
        <v>4372689</v>
      </c>
      <c r="E22" s="15">
        <f t="shared" si="5"/>
        <v>4584616</v>
      </c>
      <c r="F22" s="121">
        <f t="shared" si="5"/>
        <v>1707157</v>
      </c>
      <c r="G22" s="15">
        <f t="shared" si="5"/>
        <v>0</v>
      </c>
      <c r="H22" s="15">
        <f t="shared" si="5"/>
        <v>0</v>
      </c>
      <c r="I22" s="15">
        <f t="shared" si="5"/>
        <v>0</v>
      </c>
      <c r="J22" s="15">
        <f t="shared" si="5"/>
        <v>0</v>
      </c>
      <c r="K22" s="15">
        <f>K23+K24+K25</f>
        <v>0</v>
      </c>
      <c r="L22" s="15">
        <f>L23+L24+L25</f>
        <v>0</v>
      </c>
      <c r="M22" s="15">
        <f>M23+M24+M25</f>
        <v>0</v>
      </c>
      <c r="N22" s="15">
        <f>N23+N24+N25</f>
        <v>0</v>
      </c>
      <c r="O22" s="15">
        <f>O23+O24+O25</f>
        <v>0</v>
      </c>
    </row>
    <row r="23" spans="1:15" ht="21.75" customHeight="1">
      <c r="A23" s="12" t="s">
        <v>26</v>
      </c>
      <c r="B23" s="21" t="s">
        <v>59</v>
      </c>
      <c r="C23" s="1"/>
      <c r="D23" s="1"/>
      <c r="E23" s="1"/>
      <c r="F23" s="123"/>
      <c r="G23" s="1"/>
      <c r="H23" s="1"/>
      <c r="I23" s="1"/>
      <c r="J23" s="1"/>
      <c r="K23" s="1"/>
      <c r="L23" s="1"/>
      <c r="M23" s="1"/>
      <c r="N23" s="1"/>
      <c r="O23" s="1"/>
    </row>
    <row r="24" spans="1:15" ht="21.75" customHeight="1">
      <c r="A24" s="12" t="s">
        <v>27</v>
      </c>
      <c r="B24" s="21" t="s">
        <v>60</v>
      </c>
      <c r="C24" s="123">
        <v>2642341</v>
      </c>
      <c r="D24" s="123">
        <v>4372689</v>
      </c>
      <c r="E24" s="78">
        <f>3563300+1021316</f>
        <v>4584616</v>
      </c>
      <c r="F24" s="123">
        <f>2728473-1021316</f>
        <v>1707157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21.75" customHeight="1">
      <c r="A25" s="12" t="s">
        <v>48</v>
      </c>
      <c r="B25" s="21" t="s">
        <v>61</v>
      </c>
      <c r="C25" s="1"/>
      <c r="D25" s="1"/>
      <c r="E25" s="1"/>
      <c r="F25" s="123"/>
      <c r="G25" s="1"/>
      <c r="H25" s="1"/>
      <c r="I25" s="1"/>
      <c r="J25" s="1"/>
      <c r="K25" s="1"/>
      <c r="L25" s="1"/>
      <c r="M25" s="1"/>
      <c r="N25" s="1"/>
      <c r="O25" s="1"/>
    </row>
    <row r="26" spans="1:15" s="16" customFormat="1" ht="34.5" customHeight="1">
      <c r="A26" s="13" t="s">
        <v>8</v>
      </c>
      <c r="B26" s="14" t="s">
        <v>49</v>
      </c>
      <c r="C26" s="15">
        <f>C20+C22</f>
        <v>9490334</v>
      </c>
      <c r="D26" s="15">
        <f aca="true" t="shared" si="6" ref="D26:J26">D20+D22</f>
        <v>16013195</v>
      </c>
      <c r="E26" s="15">
        <f t="shared" si="6"/>
        <v>15066402</v>
      </c>
      <c r="F26" s="121">
        <f t="shared" si="6"/>
        <v>26787849</v>
      </c>
      <c r="G26" s="15">
        <f t="shared" si="6"/>
        <v>15728430.910000011</v>
      </c>
      <c r="H26" s="15">
        <f t="shared" si="6"/>
        <v>16527756.462310031</v>
      </c>
      <c r="I26" s="15">
        <f t="shared" si="6"/>
        <v>7370118.182323642</v>
      </c>
      <c r="J26" s="15">
        <f t="shared" si="6"/>
        <v>7724926.039999999</v>
      </c>
      <c r="K26" s="15">
        <f>K20+K22</f>
        <v>8172500</v>
      </c>
      <c r="L26" s="15">
        <f>L20+L22</f>
        <v>8446541</v>
      </c>
      <c r="M26" s="15">
        <f>M20+M22</f>
        <v>8889797</v>
      </c>
      <c r="N26" s="15">
        <f>N20+N22</f>
        <v>10460000</v>
      </c>
      <c r="O26" s="15">
        <f>O20+O22</f>
        <v>10780000</v>
      </c>
    </row>
    <row r="27" spans="1:15" s="59" customFormat="1" ht="55.5" customHeight="1">
      <c r="A27" s="60" t="s">
        <v>143</v>
      </c>
      <c r="B27" s="63" t="s">
        <v>145</v>
      </c>
      <c r="C27" s="64">
        <f>C9-C12+C22</f>
        <v>8001165</v>
      </c>
      <c r="D27" s="64">
        <f aca="true" t="shared" si="7" ref="D27:J27">D9-D12+D22</f>
        <v>9564609</v>
      </c>
      <c r="E27" s="64">
        <f t="shared" si="7"/>
        <v>7201040</v>
      </c>
      <c r="F27" s="123">
        <f t="shared" si="7"/>
        <v>5060430</v>
      </c>
      <c r="G27" s="64">
        <f t="shared" si="7"/>
        <v>5370557.910000011</v>
      </c>
      <c r="H27" s="64">
        <f t="shared" si="7"/>
        <v>6628924.462310031</v>
      </c>
      <c r="I27" s="64">
        <f t="shared" si="7"/>
        <v>7370118.182323642</v>
      </c>
      <c r="J27" s="64">
        <f t="shared" si="7"/>
        <v>7724926.039999999</v>
      </c>
      <c r="K27" s="64">
        <f>K9-K12+K22</f>
        <v>8172500</v>
      </c>
      <c r="L27" s="64">
        <f>L9-L12+L22</f>
        <v>8446541</v>
      </c>
      <c r="M27" s="64">
        <f>M9-M12+M22</f>
        <v>8889797</v>
      </c>
      <c r="N27" s="64">
        <f>N9-N12+N22</f>
        <v>10460000</v>
      </c>
      <c r="O27" s="64">
        <f>O9-O12+O22</f>
        <v>10780000</v>
      </c>
    </row>
    <row r="28" spans="1:15" s="16" customFormat="1" ht="34.5" customHeight="1">
      <c r="A28" s="13" t="s">
        <v>9</v>
      </c>
      <c r="B28" s="14" t="s">
        <v>53</v>
      </c>
      <c r="C28" s="15">
        <f>C29+C36</f>
        <v>2271760</v>
      </c>
      <c r="D28" s="15">
        <f>D29+D36</f>
        <v>1283395</v>
      </c>
      <c r="E28" s="15">
        <f aca="true" t="shared" si="8" ref="E28:J28">E29+E36</f>
        <v>1944681</v>
      </c>
      <c r="F28" s="121">
        <f t="shared" si="8"/>
        <v>1816619</v>
      </c>
      <c r="G28" s="15">
        <f t="shared" si="8"/>
        <v>2153355</v>
      </c>
      <c r="H28" s="15">
        <f t="shared" si="8"/>
        <v>3199698</v>
      </c>
      <c r="I28" s="15">
        <f t="shared" si="8"/>
        <v>2393658</v>
      </c>
      <c r="J28" s="15">
        <f t="shared" si="8"/>
        <v>2318058</v>
      </c>
      <c r="K28" s="15">
        <f>K29+K36</f>
        <v>2243318</v>
      </c>
      <c r="L28" s="15">
        <f>L29+L36</f>
        <v>2468058</v>
      </c>
      <c r="M28" s="15">
        <f>M29+M36</f>
        <v>1954630</v>
      </c>
      <c r="N28" s="15">
        <f>N29+N36</f>
        <v>1021798</v>
      </c>
      <c r="O28" s="15">
        <f>O29+O36</f>
        <v>0</v>
      </c>
    </row>
    <row r="29" spans="1:15" s="20" customFormat="1" ht="21.75" customHeight="1">
      <c r="A29" s="17" t="s">
        <v>29</v>
      </c>
      <c r="B29" s="18" t="s">
        <v>62</v>
      </c>
      <c r="C29" s="19">
        <f>C30+C32+C34</f>
        <v>263918</v>
      </c>
      <c r="D29" s="19">
        <f aca="true" t="shared" si="9" ref="D29:J29">D30+D32+D34</f>
        <v>178395</v>
      </c>
      <c r="E29" s="19">
        <f t="shared" si="9"/>
        <v>923365</v>
      </c>
      <c r="F29" s="125">
        <f t="shared" si="9"/>
        <v>1341619</v>
      </c>
      <c r="G29" s="19">
        <f t="shared" si="9"/>
        <v>1338355</v>
      </c>
      <c r="H29" s="19">
        <f t="shared" si="9"/>
        <v>921928</v>
      </c>
      <c r="I29" s="19">
        <f t="shared" si="9"/>
        <v>893658</v>
      </c>
      <c r="J29" s="19">
        <f t="shared" si="9"/>
        <v>818058</v>
      </c>
      <c r="K29" s="19">
        <f>K30+K32+K34</f>
        <v>743318</v>
      </c>
      <c r="L29" s="19">
        <f>L30+L32+L34</f>
        <v>668058</v>
      </c>
      <c r="M29" s="19">
        <f>M30+M32+M34</f>
        <v>154630</v>
      </c>
      <c r="N29" s="19">
        <f>N30+N32+N34</f>
        <v>51798</v>
      </c>
      <c r="O29" s="19">
        <f>O30+O32+O34</f>
        <v>0</v>
      </c>
    </row>
    <row r="30" spans="1:15" ht="21.75" customHeight="1">
      <c r="A30" s="12" t="s">
        <v>82</v>
      </c>
      <c r="B30" s="24" t="s">
        <v>54</v>
      </c>
      <c r="C30" s="1">
        <v>263918</v>
      </c>
      <c r="D30" s="1">
        <v>178395</v>
      </c>
      <c r="E30" s="1">
        <v>357065</v>
      </c>
      <c r="F30" s="128">
        <v>526919</v>
      </c>
      <c r="G30" s="76">
        <v>523655</v>
      </c>
      <c r="H30" s="76">
        <v>493528</v>
      </c>
      <c r="I30" s="76">
        <v>465258</v>
      </c>
      <c r="J30" s="4">
        <v>389658</v>
      </c>
      <c r="K30" s="4">
        <v>314918</v>
      </c>
      <c r="L30" s="4">
        <v>238458</v>
      </c>
      <c r="M30" s="4">
        <v>154630</v>
      </c>
      <c r="N30" s="1">
        <v>51798</v>
      </c>
      <c r="O30" s="1"/>
    </row>
    <row r="31" spans="1:15" s="26" customFormat="1" ht="38.25" customHeight="1">
      <c r="A31" s="12"/>
      <c r="B31" s="25" t="s">
        <v>52</v>
      </c>
      <c r="C31" s="25"/>
      <c r="D31" s="25"/>
      <c r="E31" s="25"/>
      <c r="F31" s="129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21.75" customHeight="1">
      <c r="A32" s="12" t="s">
        <v>83</v>
      </c>
      <c r="B32" s="24" t="s">
        <v>6</v>
      </c>
      <c r="C32" s="1"/>
      <c r="D32" s="1">
        <v>0</v>
      </c>
      <c r="E32" s="1"/>
      <c r="F32" s="123"/>
      <c r="G32" s="1"/>
      <c r="H32" s="1"/>
      <c r="I32" s="1"/>
      <c r="J32" s="1"/>
      <c r="K32" s="1"/>
      <c r="L32" s="1"/>
      <c r="M32" s="1"/>
      <c r="N32" s="1"/>
      <c r="O32" s="1"/>
    </row>
    <row r="33" spans="1:15" s="26" customFormat="1" ht="38.25" customHeight="1">
      <c r="A33" s="12"/>
      <c r="B33" s="25" t="s">
        <v>50</v>
      </c>
      <c r="C33" s="25"/>
      <c r="D33" s="25"/>
      <c r="E33" s="25"/>
      <c r="F33" s="129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31.5" customHeight="1">
      <c r="A34" s="12" t="s">
        <v>84</v>
      </c>
      <c r="B34" s="24" t="s">
        <v>136</v>
      </c>
      <c r="C34" s="1"/>
      <c r="D34" s="1">
        <v>0</v>
      </c>
      <c r="E34" s="1">
        <v>566300</v>
      </c>
      <c r="F34" s="123">
        <v>814700</v>
      </c>
      <c r="G34" s="1">
        <v>814700</v>
      </c>
      <c r="H34" s="1">
        <v>428400</v>
      </c>
      <c r="I34" s="1">
        <v>428400</v>
      </c>
      <c r="J34" s="1">
        <v>428400</v>
      </c>
      <c r="K34" s="1">
        <v>428400</v>
      </c>
      <c r="L34" s="1">
        <v>429600</v>
      </c>
      <c r="M34" s="1"/>
      <c r="N34" s="1">
        <f>zał_2_Przedsięwzięcia!T120</f>
        <v>0</v>
      </c>
      <c r="O34" s="1">
        <f>zał_2_Przedsięwzięcia!U120</f>
        <v>0</v>
      </c>
    </row>
    <row r="35" spans="1:15" s="20" customFormat="1" ht="38.25" customHeight="1">
      <c r="A35" s="12"/>
      <c r="B35" s="25" t="s">
        <v>51</v>
      </c>
      <c r="C35" s="25"/>
      <c r="D35" s="25"/>
      <c r="E35" s="25"/>
      <c r="F35" s="129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20" customFormat="1" ht="30.75" customHeight="1">
      <c r="A36" s="17" t="s">
        <v>30</v>
      </c>
      <c r="B36" s="18" t="s">
        <v>74</v>
      </c>
      <c r="C36" s="1">
        <v>2007842</v>
      </c>
      <c r="D36" s="1">
        <v>1105000</v>
      </c>
      <c r="E36" s="1">
        <v>1021316</v>
      </c>
      <c r="F36" s="123">
        <f>475000</f>
        <v>475000</v>
      </c>
      <c r="G36" s="1">
        <f>475000+340000</f>
        <v>815000</v>
      </c>
      <c r="H36" s="1">
        <f>1025000+1067994+184776</f>
        <v>2277770</v>
      </c>
      <c r="I36" s="1">
        <v>1500000</v>
      </c>
      <c r="J36" s="1">
        <v>1500000</v>
      </c>
      <c r="K36" s="1">
        <v>1500000</v>
      </c>
      <c r="L36" s="1">
        <v>1800000</v>
      </c>
      <c r="M36" s="1">
        <v>1800000</v>
      </c>
      <c r="N36" s="1">
        <v>970000</v>
      </c>
      <c r="O36" s="1"/>
    </row>
    <row r="37" spans="1:15" s="26" customFormat="1" ht="38.25" customHeight="1">
      <c r="A37" s="30"/>
      <c r="B37" s="25" t="s">
        <v>55</v>
      </c>
      <c r="C37" s="25"/>
      <c r="D37" s="25"/>
      <c r="E37" s="25"/>
      <c r="F37" s="129"/>
      <c r="G37" s="25"/>
      <c r="H37" s="25"/>
      <c r="I37" s="25"/>
      <c r="J37" s="25"/>
      <c r="K37" s="25"/>
      <c r="L37" s="25"/>
      <c r="M37" s="25"/>
      <c r="N37" s="25"/>
      <c r="O37" s="25"/>
    </row>
    <row r="38" spans="1:15" s="20" customFormat="1" ht="30" customHeight="1">
      <c r="A38" s="17" t="s">
        <v>63</v>
      </c>
      <c r="B38" s="18" t="s">
        <v>64</v>
      </c>
      <c r="C38" s="4"/>
      <c r="D38" s="4"/>
      <c r="E38" s="4"/>
      <c r="F38" s="124"/>
      <c r="G38" s="4"/>
      <c r="H38" s="4"/>
      <c r="I38" s="4"/>
      <c r="J38" s="4"/>
      <c r="K38" s="4"/>
      <c r="L38" s="4"/>
      <c r="M38" s="4"/>
      <c r="N38" s="4"/>
      <c r="O38" s="4"/>
    </row>
    <row r="39" spans="1:15" s="20" customFormat="1" ht="50.25" customHeight="1">
      <c r="A39" s="65" t="s">
        <v>143</v>
      </c>
      <c r="B39" s="68" t="s">
        <v>144</v>
      </c>
      <c r="C39" s="66">
        <f>C9-C12+C22-C29</f>
        <v>7737247</v>
      </c>
      <c r="D39" s="66">
        <f aca="true" t="shared" si="10" ref="D39:J39">D9-D12+D22-D29</f>
        <v>9386214</v>
      </c>
      <c r="E39" s="66">
        <f t="shared" si="10"/>
        <v>6277675</v>
      </c>
      <c r="F39" s="130">
        <f t="shared" si="10"/>
        <v>3718811</v>
      </c>
      <c r="G39" s="67">
        <f t="shared" si="10"/>
        <v>4032202.9100000113</v>
      </c>
      <c r="H39" s="67">
        <f t="shared" si="10"/>
        <v>5706996.462310031</v>
      </c>
      <c r="I39" s="67">
        <f t="shared" si="10"/>
        <v>6476460.182323642</v>
      </c>
      <c r="J39" s="67">
        <f t="shared" si="10"/>
        <v>6906868.039999999</v>
      </c>
      <c r="K39" s="67">
        <f>K9-K12+K22-K29</f>
        <v>7429182</v>
      </c>
      <c r="L39" s="67">
        <f>L9-L12+L22-L29</f>
        <v>7778483</v>
      </c>
      <c r="M39" s="67">
        <f>M9-M12+M22-M29</f>
        <v>8735167</v>
      </c>
      <c r="N39" s="67">
        <f>N9-N12+N22-N29</f>
        <v>10408202</v>
      </c>
      <c r="O39" s="67">
        <f>O9-O12+O22-O29</f>
        <v>10780000</v>
      </c>
    </row>
    <row r="40" spans="1:15" s="16" customFormat="1" ht="33.75" customHeight="1">
      <c r="A40" s="13" t="s">
        <v>10</v>
      </c>
      <c r="B40" s="14" t="s">
        <v>65</v>
      </c>
      <c r="C40" s="15">
        <f aca="true" t="shared" si="11" ref="C40:J40">C26-C28-C38</f>
        <v>7218574</v>
      </c>
      <c r="D40" s="15">
        <f t="shared" si="11"/>
        <v>14729800</v>
      </c>
      <c r="E40" s="15">
        <f t="shared" si="11"/>
        <v>13121721</v>
      </c>
      <c r="F40" s="121">
        <f t="shared" si="11"/>
        <v>24971230</v>
      </c>
      <c r="G40" s="15">
        <f t="shared" si="11"/>
        <v>13575075.910000011</v>
      </c>
      <c r="H40" s="15">
        <f t="shared" si="11"/>
        <v>13328058.462310031</v>
      </c>
      <c r="I40" s="15">
        <f t="shared" si="11"/>
        <v>4976460.182323642</v>
      </c>
      <c r="J40" s="15">
        <f t="shared" si="11"/>
        <v>5406868.039999999</v>
      </c>
      <c r="K40" s="15">
        <f>K26-K28-K38</f>
        <v>5929182</v>
      </c>
      <c r="L40" s="15">
        <f>L26-L28-L38</f>
        <v>5978483</v>
      </c>
      <c r="M40" s="15">
        <f>M26-M28-M38</f>
        <v>6935167</v>
      </c>
      <c r="N40" s="15">
        <f>N26-N28-N38</f>
        <v>9438202</v>
      </c>
      <c r="O40" s="15">
        <f>O26-O28-O38</f>
        <v>10780000</v>
      </c>
    </row>
    <row r="41" spans="1:15" s="16" customFormat="1" ht="33.75" customHeight="1">
      <c r="A41" s="13" t="s">
        <v>66</v>
      </c>
      <c r="B41" s="14" t="s">
        <v>67</v>
      </c>
      <c r="C41" s="15">
        <f>C42+C46</f>
        <v>4037306</v>
      </c>
      <c r="D41" s="15">
        <f aca="true" t="shared" si="12" ref="D41:J41">D42+D46</f>
        <v>13902735</v>
      </c>
      <c r="E41" s="15">
        <f t="shared" si="12"/>
        <v>17073956</v>
      </c>
      <c r="F41" s="121">
        <f t="shared" si="12"/>
        <v>26564000</v>
      </c>
      <c r="G41" s="15">
        <f t="shared" si="12"/>
        <v>13415001</v>
      </c>
      <c r="H41" s="15">
        <f t="shared" si="12"/>
        <v>13004237</v>
      </c>
      <c r="I41" s="15">
        <f t="shared" si="12"/>
        <v>1660639.6983168002</v>
      </c>
      <c r="J41" s="15">
        <f t="shared" si="12"/>
        <v>0</v>
      </c>
      <c r="K41" s="15">
        <f>K42+K46</f>
        <v>0</v>
      </c>
      <c r="L41" s="15">
        <f>L42+L46</f>
        <v>0</v>
      </c>
      <c r="M41" s="15">
        <f>M42+M46</f>
        <v>0</v>
      </c>
      <c r="N41" s="15">
        <f>N42+N46</f>
        <v>0</v>
      </c>
      <c r="O41" s="15">
        <f>O42+O46</f>
        <v>0</v>
      </c>
    </row>
    <row r="42" spans="1:15" s="29" customFormat="1" ht="33" customHeight="1">
      <c r="A42" s="27" t="s">
        <v>68</v>
      </c>
      <c r="B42" s="21" t="s">
        <v>69</v>
      </c>
      <c r="C42" s="28">
        <f>C43+C45</f>
        <v>483057</v>
      </c>
      <c r="D42" s="28">
        <f aca="true" t="shared" si="13" ref="D42:J42">D43+D45</f>
        <v>3918959</v>
      </c>
      <c r="E42" s="28">
        <f t="shared" si="13"/>
        <v>6602183</v>
      </c>
      <c r="F42" s="131">
        <f>F43+F45</f>
        <v>15966233</v>
      </c>
      <c r="G42" s="28">
        <f t="shared" si="13"/>
        <v>11850176</v>
      </c>
      <c r="H42" s="28">
        <f t="shared" si="13"/>
        <v>11393391</v>
      </c>
      <c r="I42" s="28">
        <f t="shared" si="13"/>
        <v>0</v>
      </c>
      <c r="J42" s="28">
        <f t="shared" si="13"/>
        <v>0</v>
      </c>
      <c r="K42" s="28">
        <f>K43+K45</f>
        <v>0</v>
      </c>
      <c r="L42" s="28">
        <f>L43+L45</f>
        <v>0</v>
      </c>
      <c r="M42" s="28">
        <f>M43+M45</f>
        <v>0</v>
      </c>
      <c r="N42" s="28">
        <f>N43+N45</f>
        <v>0</v>
      </c>
      <c r="O42" s="28">
        <f>O43+O45</f>
        <v>0</v>
      </c>
    </row>
    <row r="43" spans="1:15" s="29" customFormat="1" ht="30" customHeight="1">
      <c r="A43" s="148"/>
      <c r="B43" s="22" t="s">
        <v>134</v>
      </c>
      <c r="C43" s="4">
        <v>483057</v>
      </c>
      <c r="D43" s="4">
        <v>3918959</v>
      </c>
      <c r="E43" s="4">
        <v>6602183</v>
      </c>
      <c r="F43" s="131">
        <f>zał_2_Przedsięwzięcia!I13</f>
        <v>15966233</v>
      </c>
      <c r="G43" s="28">
        <f>zał_2_Przedsięwzięcia!J13</f>
        <v>11850176</v>
      </c>
      <c r="H43" s="28">
        <f>zał_2_Przedsięwzięcia!K13</f>
        <v>11393391</v>
      </c>
      <c r="I43" s="28">
        <f>zał_2_Przedsięwzięcia!L13</f>
        <v>0</v>
      </c>
      <c r="J43" s="28">
        <f>zał_2_Przedsięwzięcia!M13</f>
        <v>0</v>
      </c>
      <c r="K43" s="28">
        <f>zał_2_Przedsięwzięcia!N13</f>
        <v>0</v>
      </c>
      <c r="L43" s="28">
        <f>zał_2_Przedsięwzięcia!R13</f>
        <v>0</v>
      </c>
      <c r="M43" s="28">
        <f>zał_2_Przedsięwzięcia!S13</f>
        <v>0</v>
      </c>
      <c r="N43" s="28">
        <f>zał_2_Przedsięwzięcia!T13</f>
        <v>0</v>
      </c>
      <c r="O43" s="28">
        <f>zał_2_Przedsięwzięcia!U13</f>
        <v>0</v>
      </c>
    </row>
    <row r="44" spans="1:15" s="29" customFormat="1" ht="30" customHeight="1">
      <c r="A44" s="149"/>
      <c r="B44" s="22" t="s">
        <v>133</v>
      </c>
      <c r="C44" s="4"/>
      <c r="D44" s="4"/>
      <c r="E44" s="4"/>
      <c r="F44" s="131">
        <f>zał_2_Przedsięwzięcia!I34</f>
        <v>0</v>
      </c>
      <c r="G44" s="28">
        <f>zał_2_Przedsięwzięcia!J34</f>
        <v>0</v>
      </c>
      <c r="H44" s="28">
        <f>zał_2_Przedsięwzięcia!K34</f>
        <v>0</v>
      </c>
      <c r="I44" s="28">
        <f>zał_2_Przedsięwzięcia!L34</f>
        <v>0</v>
      </c>
      <c r="J44" s="28">
        <f>zał_2_Przedsięwzięcia!M34</f>
        <v>0</v>
      </c>
      <c r="K44" s="28">
        <f>zał_2_Przedsięwzięcia!Q34</f>
        <v>0</v>
      </c>
      <c r="L44" s="28">
        <f>zał_2_Przedsięwzięcia!R34</f>
        <v>0</v>
      </c>
      <c r="M44" s="28">
        <f>zał_2_Przedsięwzięcia!S34</f>
        <v>0</v>
      </c>
      <c r="N44" s="28">
        <f>zał_2_Przedsięwzięcia!T34</f>
        <v>0</v>
      </c>
      <c r="O44" s="28">
        <f>zał_2_Przedsięwzięcia!U34</f>
        <v>0</v>
      </c>
    </row>
    <row r="45" spans="1:15" s="29" customFormat="1" ht="21.75" customHeight="1">
      <c r="A45" s="150"/>
      <c r="B45" s="22" t="s">
        <v>135</v>
      </c>
      <c r="C45" s="4"/>
      <c r="D45" s="4"/>
      <c r="E45" s="4"/>
      <c r="F45" s="131">
        <f>zał_2_Przedsięwzięcia!I26</f>
        <v>0</v>
      </c>
      <c r="G45" s="28">
        <f>zał_2_Przedsięwzięcia!J26</f>
        <v>0</v>
      </c>
      <c r="H45" s="28">
        <f>zał_2_Przedsięwzięcia!K26</f>
        <v>0</v>
      </c>
      <c r="I45" s="28">
        <f>zał_2_Przedsięwzięcia!L26</f>
        <v>0</v>
      </c>
      <c r="J45" s="28">
        <f>zał_2_Przedsięwzięcia!M26</f>
        <v>0</v>
      </c>
      <c r="K45" s="28">
        <f>zał_2_Przedsięwzięcia!Q26</f>
        <v>0</v>
      </c>
      <c r="L45" s="28">
        <f>zał_2_Przedsięwzięcia!R26</f>
        <v>0</v>
      </c>
      <c r="M45" s="28">
        <f>zał_2_Przedsięwzięcia!S26</f>
        <v>0</v>
      </c>
      <c r="N45" s="28">
        <f>zał_2_Przedsięwzięcia!T26</f>
        <v>0</v>
      </c>
      <c r="O45" s="28">
        <f>zał_2_Przedsięwzięcia!U26</f>
        <v>0</v>
      </c>
    </row>
    <row r="46" spans="1:15" s="29" customFormat="1" ht="21.75" customHeight="1">
      <c r="A46" s="27" t="s">
        <v>70</v>
      </c>
      <c r="B46" s="21" t="s">
        <v>71</v>
      </c>
      <c r="C46" s="4">
        <f>4037306-483057</f>
        <v>3554249</v>
      </c>
      <c r="D46" s="4">
        <f>13902735-D43</f>
        <v>9983776</v>
      </c>
      <c r="E46" s="4">
        <v>10471773</v>
      </c>
      <c r="F46" s="124">
        <v>10597767</v>
      </c>
      <c r="G46" s="4">
        <v>1564825</v>
      </c>
      <c r="H46" s="4">
        <v>1610846</v>
      </c>
      <c r="I46" s="4">
        <f>'[1]BUDŻET CAŁY ZAŁ 2'!$AA$1810</f>
        <v>1660639.6983168002</v>
      </c>
      <c r="J46" s="4"/>
      <c r="K46" s="4"/>
      <c r="L46" s="4"/>
      <c r="M46" s="4"/>
      <c r="N46" s="4"/>
      <c r="O46" s="4"/>
    </row>
    <row r="47" spans="1:15" s="16" customFormat="1" ht="32.25" customHeight="1">
      <c r="A47" s="13" t="s">
        <v>72</v>
      </c>
      <c r="B47" s="14" t="s">
        <v>75</v>
      </c>
      <c r="C47" s="33">
        <v>1230000</v>
      </c>
      <c r="D47" s="33">
        <v>5470000</v>
      </c>
      <c r="E47" s="33">
        <f>3600000+352235</f>
        <v>3952235</v>
      </c>
      <c r="F47" s="132">
        <f>1407994+184776</f>
        <v>1592770</v>
      </c>
      <c r="G47" s="33"/>
      <c r="H47" s="33"/>
      <c r="I47" s="33"/>
      <c r="J47" s="33"/>
      <c r="K47" s="33"/>
      <c r="L47" s="33"/>
      <c r="M47" s="132"/>
      <c r="N47" s="132"/>
      <c r="O47" s="132"/>
    </row>
    <row r="48" spans="1:15" s="26" customFormat="1" ht="38.25" customHeight="1">
      <c r="A48" s="31"/>
      <c r="B48" s="25" t="s">
        <v>52</v>
      </c>
      <c r="C48" s="25"/>
      <c r="D48" s="25"/>
      <c r="E48" s="25"/>
      <c r="F48" s="129"/>
      <c r="G48" s="25"/>
      <c r="H48" s="25"/>
      <c r="I48" s="25"/>
      <c r="J48" s="25"/>
      <c r="K48" s="25"/>
      <c r="L48" s="25"/>
      <c r="M48" s="25"/>
      <c r="N48" s="25"/>
      <c r="O48" s="25"/>
    </row>
    <row r="49" spans="1:15" s="16" customFormat="1" ht="26.25" customHeight="1">
      <c r="A49" s="13" t="s">
        <v>73</v>
      </c>
      <c r="B49" s="14" t="s">
        <v>76</v>
      </c>
      <c r="C49" s="15">
        <f>C40-C41+C47</f>
        <v>4411268</v>
      </c>
      <c r="D49" s="15">
        <f aca="true" t="shared" si="14" ref="D49:J49">D40-D41+D47</f>
        <v>6297065</v>
      </c>
      <c r="E49" s="15">
        <f>E40-E41+E47</f>
        <v>0</v>
      </c>
      <c r="F49" s="121">
        <f t="shared" si="14"/>
        <v>0</v>
      </c>
      <c r="G49" s="15">
        <f t="shared" si="14"/>
        <v>160074.91000001132</v>
      </c>
      <c r="H49" s="15">
        <f t="shared" si="14"/>
        <v>323821.46231003106</v>
      </c>
      <c r="I49" s="15">
        <f t="shared" si="14"/>
        <v>3315820.4840068417</v>
      </c>
      <c r="J49" s="15">
        <f t="shared" si="14"/>
        <v>5406868.039999999</v>
      </c>
      <c r="K49" s="15">
        <f>K40-K41+K47</f>
        <v>5929182</v>
      </c>
      <c r="L49" s="15">
        <f>L40-L41+L47</f>
        <v>5978483</v>
      </c>
      <c r="M49" s="15">
        <f>M40-M41+M47</f>
        <v>6935167</v>
      </c>
      <c r="N49" s="15">
        <f>N40-N41+N47</f>
        <v>9438202</v>
      </c>
      <c r="O49" s="15">
        <f>O40-O41+O47</f>
        <v>10780000</v>
      </c>
    </row>
    <row r="50" spans="1:15" ht="34.5" customHeight="1">
      <c r="A50" s="141" t="s">
        <v>78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9"/>
      <c r="L50" s="9"/>
      <c r="M50" s="9"/>
      <c r="N50" s="9"/>
      <c r="O50" s="9"/>
    </row>
    <row r="51" spans="1:11" s="11" customFormat="1" ht="24.75" customHeight="1">
      <c r="A51" s="142" t="s">
        <v>0</v>
      </c>
      <c r="B51" s="142" t="s">
        <v>1</v>
      </c>
      <c r="C51" s="142" t="s">
        <v>12</v>
      </c>
      <c r="D51" s="142"/>
      <c r="E51" s="142" t="s">
        <v>15</v>
      </c>
      <c r="F51" s="143" t="s">
        <v>16</v>
      </c>
      <c r="G51" s="142" t="s">
        <v>17</v>
      </c>
      <c r="H51" s="142"/>
      <c r="I51" s="142"/>
      <c r="J51" s="142"/>
      <c r="K51" s="10"/>
    </row>
    <row r="52" spans="1:15" s="11" customFormat="1" ht="30" customHeight="1">
      <c r="A52" s="142"/>
      <c r="B52" s="142"/>
      <c r="C52" s="12" t="s">
        <v>13</v>
      </c>
      <c r="D52" s="12" t="s">
        <v>14</v>
      </c>
      <c r="E52" s="142"/>
      <c r="F52" s="143"/>
      <c r="G52" s="12" t="s">
        <v>18</v>
      </c>
      <c r="H52" s="12" t="s">
        <v>19</v>
      </c>
      <c r="I52" s="12" t="s">
        <v>20</v>
      </c>
      <c r="J52" s="12" t="s">
        <v>21</v>
      </c>
      <c r="K52" s="12" t="s">
        <v>21</v>
      </c>
      <c r="L52" s="12" t="s">
        <v>21</v>
      </c>
      <c r="M52" s="12" t="s">
        <v>21</v>
      </c>
      <c r="N52" s="12" t="s">
        <v>21</v>
      </c>
      <c r="O52" s="12" t="s">
        <v>21</v>
      </c>
    </row>
    <row r="53" spans="1:15" s="11" customFormat="1" ht="15" customHeight="1">
      <c r="A53" s="12">
        <v>1</v>
      </c>
      <c r="B53" s="12">
        <v>2</v>
      </c>
      <c r="C53" s="12">
        <v>3</v>
      </c>
      <c r="D53" s="12">
        <v>4</v>
      </c>
      <c r="E53" s="12">
        <v>5</v>
      </c>
      <c r="F53" s="122">
        <v>6</v>
      </c>
      <c r="G53" s="12">
        <v>7</v>
      </c>
      <c r="H53" s="12">
        <v>8</v>
      </c>
      <c r="I53" s="12">
        <v>9</v>
      </c>
      <c r="J53" s="12">
        <v>10</v>
      </c>
      <c r="K53" s="12">
        <v>11</v>
      </c>
      <c r="L53" s="12">
        <v>12</v>
      </c>
      <c r="M53" s="12">
        <v>13</v>
      </c>
      <c r="N53" s="12">
        <v>14</v>
      </c>
      <c r="O53" s="12">
        <v>15</v>
      </c>
    </row>
    <row r="54" spans="1:15" s="16" customFormat="1" ht="26.25" customHeight="1">
      <c r="A54" s="13" t="s">
        <v>98</v>
      </c>
      <c r="B54" s="14" t="s">
        <v>79</v>
      </c>
      <c r="C54" s="33">
        <v>4101316</v>
      </c>
      <c r="D54" s="33">
        <f>C54+D47-D56</f>
        <v>8466316</v>
      </c>
      <c r="E54" s="15">
        <f aca="true" t="shared" si="15" ref="E54:O55">D54+E47-E56</f>
        <v>11397235</v>
      </c>
      <c r="F54" s="121">
        <f t="shared" si="15"/>
        <v>12515005</v>
      </c>
      <c r="G54" s="15">
        <f t="shared" si="15"/>
        <v>11700005</v>
      </c>
      <c r="H54" s="15">
        <f t="shared" si="15"/>
        <v>9070000</v>
      </c>
      <c r="I54" s="15">
        <f t="shared" si="15"/>
        <v>7570000</v>
      </c>
      <c r="J54" s="15">
        <f t="shared" si="15"/>
        <v>6070000</v>
      </c>
      <c r="K54" s="15">
        <f t="shared" si="15"/>
        <v>4570000</v>
      </c>
      <c r="L54" s="15">
        <f t="shared" si="15"/>
        <v>2770000</v>
      </c>
      <c r="M54" s="121">
        <f>L54+M47-M56</f>
        <v>970000</v>
      </c>
      <c r="N54" s="121">
        <f>M54+N47-N56</f>
        <v>0</v>
      </c>
      <c r="O54" s="121">
        <f t="shared" si="15"/>
        <v>0</v>
      </c>
    </row>
    <row r="55" spans="1:15" s="26" customFormat="1" ht="38.25" customHeight="1">
      <c r="A55" s="31"/>
      <c r="B55" s="25" t="s">
        <v>55</v>
      </c>
      <c r="C55" s="58">
        <v>0</v>
      </c>
      <c r="D55" s="58">
        <v>0</v>
      </c>
      <c r="E55" s="32">
        <f t="shared" si="15"/>
        <v>0</v>
      </c>
      <c r="F55" s="117">
        <f t="shared" si="15"/>
        <v>0</v>
      </c>
      <c r="G55" s="32">
        <f t="shared" si="15"/>
        <v>0</v>
      </c>
      <c r="H55" s="32">
        <f t="shared" si="15"/>
        <v>0</v>
      </c>
      <c r="I55" s="32">
        <f t="shared" si="15"/>
        <v>0</v>
      </c>
      <c r="J55" s="32">
        <f t="shared" si="15"/>
        <v>0</v>
      </c>
      <c r="K55" s="32">
        <f t="shared" si="15"/>
        <v>0</v>
      </c>
      <c r="L55" s="32">
        <f t="shared" si="15"/>
        <v>0</v>
      </c>
      <c r="M55" s="32">
        <f t="shared" si="15"/>
        <v>0</v>
      </c>
      <c r="N55" s="32">
        <f t="shared" si="15"/>
        <v>0</v>
      </c>
      <c r="O55" s="32">
        <f t="shared" si="15"/>
        <v>0</v>
      </c>
    </row>
    <row r="56" spans="1:15" s="16" customFormat="1" ht="30.75" customHeight="1">
      <c r="A56" s="13" t="s">
        <v>99</v>
      </c>
      <c r="B56" s="14" t="s">
        <v>106</v>
      </c>
      <c r="C56" s="15">
        <f>C36</f>
        <v>2007842</v>
      </c>
      <c r="D56" s="15">
        <f aca="true" t="shared" si="16" ref="D56:J56">D36</f>
        <v>1105000</v>
      </c>
      <c r="E56" s="15">
        <f t="shared" si="16"/>
        <v>1021316</v>
      </c>
      <c r="F56" s="121">
        <f t="shared" si="16"/>
        <v>475000</v>
      </c>
      <c r="G56" s="15">
        <f t="shared" si="16"/>
        <v>815000</v>
      </c>
      <c r="H56" s="15">
        <f>H36+352235</f>
        <v>2630005</v>
      </c>
      <c r="I56" s="15">
        <f t="shared" si="16"/>
        <v>1500000</v>
      </c>
      <c r="J56" s="15">
        <f t="shared" si="16"/>
        <v>1500000</v>
      </c>
      <c r="K56" s="15">
        <f aca="true" t="shared" si="17" ref="K56:O57">K36</f>
        <v>1500000</v>
      </c>
      <c r="L56" s="15">
        <f t="shared" si="17"/>
        <v>1800000</v>
      </c>
      <c r="M56" s="15">
        <f t="shared" si="17"/>
        <v>1800000</v>
      </c>
      <c r="N56" s="15">
        <f t="shared" si="17"/>
        <v>970000</v>
      </c>
      <c r="O56" s="15">
        <f t="shared" si="17"/>
        <v>0</v>
      </c>
    </row>
    <row r="57" spans="1:15" s="26" customFormat="1" ht="38.25" customHeight="1">
      <c r="A57" s="31"/>
      <c r="B57" s="25" t="s">
        <v>55</v>
      </c>
      <c r="C57" s="32">
        <f>C37</f>
        <v>0</v>
      </c>
      <c r="D57" s="32">
        <f aca="true" t="shared" si="18" ref="D57:J57">D37</f>
        <v>0</v>
      </c>
      <c r="E57" s="32">
        <f t="shared" si="18"/>
        <v>0</v>
      </c>
      <c r="F57" s="117">
        <f t="shared" si="18"/>
        <v>0</v>
      </c>
      <c r="G57" s="32">
        <f t="shared" si="18"/>
        <v>0</v>
      </c>
      <c r="H57" s="32">
        <f t="shared" si="18"/>
        <v>0</v>
      </c>
      <c r="I57" s="32">
        <f t="shared" si="18"/>
        <v>0</v>
      </c>
      <c r="J57" s="32">
        <f t="shared" si="18"/>
        <v>0</v>
      </c>
      <c r="K57" s="32">
        <f t="shared" si="17"/>
        <v>0</v>
      </c>
      <c r="L57" s="32">
        <f t="shared" si="17"/>
        <v>0</v>
      </c>
      <c r="M57" s="32">
        <f t="shared" si="17"/>
        <v>0</v>
      </c>
      <c r="N57" s="32">
        <f t="shared" si="17"/>
        <v>0</v>
      </c>
      <c r="O57" s="32">
        <f t="shared" si="17"/>
        <v>0</v>
      </c>
    </row>
    <row r="58" spans="1:15" s="16" customFormat="1" ht="30.75" customHeight="1">
      <c r="A58" s="13" t="s">
        <v>100</v>
      </c>
      <c r="B58" s="14" t="s">
        <v>120</v>
      </c>
      <c r="C58" s="15">
        <f>C59+C60+C61+C62</f>
        <v>2007842</v>
      </c>
      <c r="D58" s="15">
        <f aca="true" t="shared" si="19" ref="D58:J58">D59+D60+D61+D62</f>
        <v>1105000</v>
      </c>
      <c r="E58" s="15">
        <f t="shared" si="19"/>
        <v>1021316</v>
      </c>
      <c r="F58" s="121">
        <f t="shared" si="19"/>
        <v>475000</v>
      </c>
      <c r="G58" s="15">
        <f t="shared" si="19"/>
        <v>815000</v>
      </c>
      <c r="H58" s="15">
        <f t="shared" si="19"/>
        <v>2630005</v>
      </c>
      <c r="I58" s="15">
        <f t="shared" si="19"/>
        <v>1500000</v>
      </c>
      <c r="J58" s="15">
        <f t="shared" si="19"/>
        <v>1500000</v>
      </c>
      <c r="K58" s="15">
        <f>K59+K60+K61+K62</f>
        <v>1500000</v>
      </c>
      <c r="L58" s="15">
        <f>L59+L60+L61+L62</f>
        <v>1800000</v>
      </c>
      <c r="M58" s="15">
        <f>M59+M60+M61+M62</f>
        <v>1800000</v>
      </c>
      <c r="N58" s="15">
        <f>N59+N60+N61+N62</f>
        <v>970000</v>
      </c>
      <c r="O58" s="15">
        <f>O59+O60+O61+O62</f>
        <v>0</v>
      </c>
    </row>
    <row r="59" spans="1:15" ht="42.75" customHeight="1">
      <c r="A59" s="151"/>
      <c r="B59" s="24" t="s">
        <v>141</v>
      </c>
      <c r="C59" s="4"/>
      <c r="D59" s="4"/>
      <c r="E59" s="4"/>
      <c r="F59" s="124"/>
      <c r="G59" s="4"/>
      <c r="H59" s="4"/>
      <c r="I59" s="4"/>
      <c r="J59" s="4"/>
      <c r="K59" s="4"/>
      <c r="L59" s="4"/>
      <c r="M59" s="4"/>
      <c r="N59" s="4"/>
      <c r="O59" s="4"/>
    </row>
    <row r="60" spans="1:15" s="136" customFormat="1" ht="21.75" customHeight="1">
      <c r="A60" s="152"/>
      <c r="B60" s="135" t="s">
        <v>11</v>
      </c>
      <c r="C60" s="124">
        <f>C56</f>
        <v>2007842</v>
      </c>
      <c r="D60" s="124">
        <f>D56</f>
        <v>1105000</v>
      </c>
      <c r="E60" s="124">
        <f>E56</f>
        <v>1021316</v>
      </c>
      <c r="F60" s="124">
        <f>F56</f>
        <v>475000</v>
      </c>
      <c r="G60" s="124">
        <f aca="true" t="shared" si="20" ref="G60:N60">G56</f>
        <v>815000</v>
      </c>
      <c r="H60" s="124">
        <f t="shared" si="20"/>
        <v>2630005</v>
      </c>
      <c r="I60" s="124">
        <f t="shared" si="20"/>
        <v>1500000</v>
      </c>
      <c r="J60" s="124">
        <f t="shared" si="20"/>
        <v>1500000</v>
      </c>
      <c r="K60" s="124">
        <f t="shared" si="20"/>
        <v>1500000</v>
      </c>
      <c r="L60" s="124">
        <f t="shared" si="20"/>
        <v>1800000</v>
      </c>
      <c r="M60" s="124">
        <f t="shared" si="20"/>
        <v>1800000</v>
      </c>
      <c r="N60" s="124">
        <f t="shared" si="20"/>
        <v>970000</v>
      </c>
      <c r="O60" s="124"/>
    </row>
    <row r="61" spans="1:15" ht="21.75" customHeight="1">
      <c r="A61" s="152"/>
      <c r="B61" s="24" t="s">
        <v>80</v>
      </c>
      <c r="C61" s="4"/>
      <c r="D61" s="4"/>
      <c r="E61" s="4"/>
      <c r="F61" s="124"/>
      <c r="G61" s="4"/>
      <c r="H61" s="4"/>
      <c r="I61" s="4"/>
      <c r="J61" s="4"/>
      <c r="K61" s="4"/>
      <c r="L61" s="4"/>
      <c r="M61" s="4"/>
      <c r="N61" s="4"/>
      <c r="O61" s="4"/>
    </row>
    <row r="62" spans="1:15" ht="34.5" customHeight="1">
      <c r="A62" s="153"/>
      <c r="B62" s="24" t="s">
        <v>185</v>
      </c>
      <c r="C62" s="4"/>
      <c r="D62" s="4"/>
      <c r="E62" s="4"/>
      <c r="F62" s="124"/>
      <c r="G62" s="4"/>
      <c r="H62" s="4"/>
      <c r="I62" s="4"/>
      <c r="J62" s="4"/>
      <c r="K62" s="4"/>
      <c r="L62" s="4"/>
      <c r="M62" s="4"/>
      <c r="N62" s="4"/>
      <c r="O62" s="4"/>
    </row>
    <row r="63" spans="1:15" s="16" customFormat="1" ht="36" customHeight="1">
      <c r="A63" s="13" t="s">
        <v>101</v>
      </c>
      <c r="B63" s="14" t="s">
        <v>107</v>
      </c>
      <c r="C63" s="15" t="s">
        <v>25</v>
      </c>
      <c r="D63" s="15" t="s">
        <v>25</v>
      </c>
      <c r="E63" s="15" t="s">
        <v>25</v>
      </c>
      <c r="F63" s="132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26" customFormat="1" ht="38.25" customHeight="1">
      <c r="A64" s="31"/>
      <c r="B64" s="25" t="s">
        <v>55</v>
      </c>
      <c r="C64" s="32" t="s">
        <v>25</v>
      </c>
      <c r="D64" s="32" t="s">
        <v>25</v>
      </c>
      <c r="E64" s="32" t="s">
        <v>25</v>
      </c>
      <c r="F64" s="133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16" customFormat="1" ht="30.75" customHeight="1">
      <c r="A65" s="13" t="s">
        <v>109</v>
      </c>
      <c r="B65" s="14" t="s">
        <v>108</v>
      </c>
      <c r="C65" s="15" t="s">
        <v>25</v>
      </c>
      <c r="D65" s="15" t="s">
        <v>25</v>
      </c>
      <c r="E65" s="15" t="s">
        <v>25</v>
      </c>
      <c r="F65" s="132"/>
      <c r="G65" s="33"/>
      <c r="H65" s="33"/>
      <c r="I65" s="33"/>
      <c r="J65" s="33"/>
      <c r="K65" s="33"/>
      <c r="L65" s="33"/>
      <c r="M65" s="33"/>
      <c r="N65" s="33"/>
      <c r="O65" s="33"/>
    </row>
    <row r="66" spans="1:15" s="26" customFormat="1" ht="38.25" customHeight="1">
      <c r="A66" s="31"/>
      <c r="B66" s="25" t="s">
        <v>55</v>
      </c>
      <c r="C66" s="32" t="s">
        <v>25</v>
      </c>
      <c r="D66" s="32" t="s">
        <v>25</v>
      </c>
      <c r="E66" s="32" t="s">
        <v>25</v>
      </c>
      <c r="F66" s="133"/>
      <c r="G66" s="34"/>
      <c r="H66" s="34"/>
      <c r="I66" s="34"/>
      <c r="J66" s="34"/>
      <c r="K66" s="34"/>
      <c r="L66" s="34"/>
      <c r="M66" s="34"/>
      <c r="N66" s="34"/>
      <c r="O66" s="34"/>
    </row>
    <row r="67" spans="1:10" s="16" customFormat="1" ht="26.25" customHeight="1">
      <c r="A67" s="13" t="s">
        <v>110</v>
      </c>
      <c r="B67" s="154" t="s">
        <v>24</v>
      </c>
      <c r="C67" s="155"/>
      <c r="D67" s="155"/>
      <c r="E67" s="155"/>
      <c r="F67" s="156"/>
      <c r="G67" s="155"/>
      <c r="H67" s="155"/>
      <c r="I67" s="155"/>
      <c r="J67" s="157"/>
    </row>
    <row r="68" spans="1:15" ht="37.5" customHeight="1">
      <c r="A68" s="12" t="s">
        <v>111</v>
      </c>
      <c r="B68" s="21" t="s">
        <v>36</v>
      </c>
      <c r="C68" s="35">
        <f aca="true" t="shared" si="21" ref="C68:H68">C28/C8</f>
        <v>0.04314751938514975</v>
      </c>
      <c r="D68" s="35">
        <f t="shared" si="21"/>
        <v>0.020335841858091556</v>
      </c>
      <c r="E68" s="35">
        <f t="shared" si="21"/>
        <v>0.029395032618722887</v>
      </c>
      <c r="F68" s="120">
        <f t="shared" si="21"/>
        <v>0.0211217283071649</v>
      </c>
      <c r="G68" s="35">
        <f t="shared" si="21"/>
        <v>0.02859350111833267</v>
      </c>
      <c r="H68" s="35">
        <f t="shared" si="21"/>
        <v>0.043316547222910895</v>
      </c>
      <c r="I68" s="35" t="s">
        <v>25</v>
      </c>
      <c r="J68" s="35" t="s">
        <v>25</v>
      </c>
      <c r="K68" s="35" t="s">
        <v>25</v>
      </c>
      <c r="L68" s="35" t="s">
        <v>25</v>
      </c>
      <c r="M68" s="35" t="s">
        <v>25</v>
      </c>
      <c r="N68" s="35" t="s">
        <v>25</v>
      </c>
      <c r="O68" s="35" t="s">
        <v>25</v>
      </c>
    </row>
    <row r="69" spans="1:15" s="20" customFormat="1" ht="37.5" customHeight="1">
      <c r="A69" s="12"/>
      <c r="B69" s="25" t="s">
        <v>31</v>
      </c>
      <c r="C69" s="36">
        <f aca="true" t="shared" si="22" ref="C69:H69">(C28-C31-C33-C35-C37)/C8</f>
        <v>0.04314751938514975</v>
      </c>
      <c r="D69" s="36">
        <f t="shared" si="22"/>
        <v>0.020335841858091556</v>
      </c>
      <c r="E69" s="36">
        <f t="shared" si="22"/>
        <v>0.029395032618722887</v>
      </c>
      <c r="F69" s="119">
        <f t="shared" si="22"/>
        <v>0.0211217283071649</v>
      </c>
      <c r="G69" s="36">
        <f t="shared" si="22"/>
        <v>0.02859350111833267</v>
      </c>
      <c r="H69" s="36">
        <f t="shared" si="22"/>
        <v>0.043316547222910895</v>
      </c>
      <c r="I69" s="36" t="s">
        <v>25</v>
      </c>
      <c r="J69" s="36" t="s">
        <v>25</v>
      </c>
      <c r="K69" s="36" t="s">
        <v>25</v>
      </c>
      <c r="L69" s="36" t="s">
        <v>25</v>
      </c>
      <c r="M69" s="36" t="s">
        <v>25</v>
      </c>
      <c r="N69" s="36" t="s">
        <v>25</v>
      </c>
      <c r="O69" s="36" t="s">
        <v>25</v>
      </c>
    </row>
    <row r="70" spans="1:15" ht="37.5" customHeight="1">
      <c r="A70" s="12" t="s">
        <v>112</v>
      </c>
      <c r="B70" s="21" t="s">
        <v>32</v>
      </c>
      <c r="C70" s="35">
        <f aca="true" t="shared" si="23" ref="C70:H70">C54/C8</f>
        <v>0.07789626175943974</v>
      </c>
      <c r="D70" s="35">
        <f t="shared" si="23"/>
        <v>0.13415173294007712</v>
      </c>
      <c r="E70" s="35">
        <f t="shared" si="23"/>
        <v>0.1722761185964434</v>
      </c>
      <c r="F70" s="120">
        <f t="shared" si="23"/>
        <v>0.1455112686660275</v>
      </c>
      <c r="G70" s="35">
        <f t="shared" si="23"/>
        <v>0.15535947674767878</v>
      </c>
      <c r="H70" s="35">
        <f t="shared" si="23"/>
        <v>0.12278692655113134</v>
      </c>
      <c r="I70" s="35" t="s">
        <v>25</v>
      </c>
      <c r="J70" s="35" t="s">
        <v>25</v>
      </c>
      <c r="K70" s="35" t="s">
        <v>25</v>
      </c>
      <c r="L70" s="35" t="s">
        <v>25</v>
      </c>
      <c r="M70" s="35" t="s">
        <v>25</v>
      </c>
      <c r="N70" s="35" t="s">
        <v>25</v>
      </c>
      <c r="O70" s="35" t="s">
        <v>25</v>
      </c>
    </row>
    <row r="71" spans="1:15" s="20" customFormat="1" ht="37.5" customHeight="1">
      <c r="A71" s="12"/>
      <c r="B71" s="25" t="s">
        <v>33</v>
      </c>
      <c r="C71" s="36">
        <f aca="true" t="shared" si="24" ref="C71:H71">(C54-C55)/C8</f>
        <v>0.07789626175943974</v>
      </c>
      <c r="D71" s="36">
        <f t="shared" si="24"/>
        <v>0.13415173294007712</v>
      </c>
      <c r="E71" s="36">
        <f t="shared" si="24"/>
        <v>0.1722761185964434</v>
      </c>
      <c r="F71" s="119">
        <f t="shared" si="24"/>
        <v>0.1455112686660275</v>
      </c>
      <c r="G71" s="36">
        <f t="shared" si="24"/>
        <v>0.15535947674767878</v>
      </c>
      <c r="H71" s="36">
        <f t="shared" si="24"/>
        <v>0.12278692655113134</v>
      </c>
      <c r="I71" s="36" t="s">
        <v>25</v>
      </c>
      <c r="J71" s="36" t="s">
        <v>25</v>
      </c>
      <c r="K71" s="36" t="s">
        <v>25</v>
      </c>
      <c r="L71" s="36" t="s">
        <v>25</v>
      </c>
      <c r="M71" s="36" t="s">
        <v>25</v>
      </c>
      <c r="N71" s="36" t="s">
        <v>25</v>
      </c>
      <c r="O71" s="36" t="s">
        <v>25</v>
      </c>
    </row>
    <row r="72" spans="1:15" ht="37.5" customHeight="1">
      <c r="A72" s="12" t="s">
        <v>113</v>
      </c>
      <c r="B72" s="21" t="s">
        <v>35</v>
      </c>
      <c r="C72" s="35">
        <f aca="true" t="shared" si="25" ref="C72:J72">(C9+C11-C12-C29)/C8</f>
        <v>0.09676750862789897</v>
      </c>
      <c r="D72" s="35">
        <f t="shared" si="25"/>
        <v>0.07944105404149811</v>
      </c>
      <c r="E72" s="35">
        <f t="shared" si="25"/>
        <v>0.0255916134987807</v>
      </c>
      <c r="F72" s="120">
        <f t="shared" si="25"/>
        <v>0.038504417291317476</v>
      </c>
      <c r="G72" s="35">
        <f t="shared" si="25"/>
        <v>0.05354193731011819</v>
      </c>
      <c r="H72" s="35">
        <f t="shared" si="25"/>
        <v>0.07725959817477708</v>
      </c>
      <c r="I72" s="35">
        <f t="shared" si="25"/>
        <v>0.10180213045066185</v>
      </c>
      <c r="J72" s="35">
        <f t="shared" si="25"/>
        <v>0.10469710535091707</v>
      </c>
      <c r="K72" s="35">
        <f>(K9+K11-K12-K29)/K8</f>
        <v>0.10880465729349736</v>
      </c>
      <c r="L72" s="35">
        <f>(L9+L11-L12-L29)/L8</f>
        <v>0.11017681303116147</v>
      </c>
      <c r="M72" s="35">
        <f>(M9+M11-M12-M29)/M8</f>
        <v>0.11977467434526258</v>
      </c>
      <c r="N72" s="35">
        <f>(N9+N11-N12-N29)/N8</f>
        <v>0.1382965984586766</v>
      </c>
      <c r="O72" s="35">
        <f>(O9+O11-O12-O29)/O8</f>
        <v>0.13893542982343085</v>
      </c>
    </row>
    <row r="73" spans="1:15" ht="40.5" customHeight="1">
      <c r="A73" s="12" t="s">
        <v>114</v>
      </c>
      <c r="B73" s="21" t="s">
        <v>34</v>
      </c>
      <c r="C73" s="35" t="s">
        <v>25</v>
      </c>
      <c r="D73" s="35" t="s">
        <v>25</v>
      </c>
      <c r="E73" s="37" t="s">
        <v>25</v>
      </c>
      <c r="F73" s="120">
        <f aca="true" t="shared" si="26" ref="F73:O73">(C72+D72+E72)/3</f>
        <v>0.06726672538939259</v>
      </c>
      <c r="G73" s="38">
        <f t="shared" si="26"/>
        <v>0.047845694943865424</v>
      </c>
      <c r="H73" s="35">
        <f t="shared" si="26"/>
        <v>0.03921265603340546</v>
      </c>
      <c r="I73" s="35">
        <f t="shared" si="26"/>
        <v>0.05643531759207091</v>
      </c>
      <c r="J73" s="35">
        <f t="shared" si="26"/>
        <v>0.07753455531185237</v>
      </c>
      <c r="K73" s="35">
        <f t="shared" si="26"/>
        <v>0.09458627799211866</v>
      </c>
      <c r="L73" s="35">
        <f t="shared" si="26"/>
        <v>0.10510129769835876</v>
      </c>
      <c r="M73" s="35">
        <f t="shared" si="26"/>
        <v>0.1078928585585253</v>
      </c>
      <c r="N73" s="35">
        <f t="shared" si="26"/>
        <v>0.1129187148899738</v>
      </c>
      <c r="O73" s="35">
        <f t="shared" si="26"/>
        <v>0.12274936194503355</v>
      </c>
    </row>
    <row r="74" spans="1:15" ht="43.5" customHeight="1">
      <c r="A74" s="12" t="s">
        <v>115</v>
      </c>
      <c r="B74" s="21" t="s">
        <v>121</v>
      </c>
      <c r="C74" s="35" t="s">
        <v>25</v>
      </c>
      <c r="D74" s="35" t="s">
        <v>25</v>
      </c>
      <c r="E74" s="37" t="s">
        <v>25</v>
      </c>
      <c r="F74" s="120">
        <f aca="true" t="shared" si="27" ref="F74:O74">F28/F8</f>
        <v>0.0211217283071649</v>
      </c>
      <c r="G74" s="35">
        <f t="shared" si="27"/>
        <v>0.02859350111833267</v>
      </c>
      <c r="H74" s="35">
        <f t="shared" si="27"/>
        <v>0.043316547222910895</v>
      </c>
      <c r="I74" s="35">
        <f t="shared" si="27"/>
        <v>0.0376254122020777</v>
      </c>
      <c r="J74" s="35">
        <f t="shared" si="27"/>
        <v>0.03513806275579809</v>
      </c>
      <c r="K74" s="35">
        <f t="shared" si="27"/>
        <v>0.03285468658465143</v>
      </c>
      <c r="L74" s="35">
        <f t="shared" si="27"/>
        <v>0.034958328611898015</v>
      </c>
      <c r="M74" s="35">
        <f t="shared" si="27"/>
        <v>0.026801453448512272</v>
      </c>
      <c r="N74" s="35">
        <f t="shared" si="27"/>
        <v>0.013576906723359022</v>
      </c>
      <c r="O74" s="35">
        <f t="shared" si="27"/>
        <v>0</v>
      </c>
    </row>
    <row r="75" spans="1:15" s="20" customFormat="1" ht="37.5" customHeight="1">
      <c r="A75" s="12"/>
      <c r="B75" s="25" t="s">
        <v>122</v>
      </c>
      <c r="C75" s="35" t="s">
        <v>25</v>
      </c>
      <c r="D75" s="35" t="s">
        <v>25</v>
      </c>
      <c r="E75" s="37" t="s">
        <v>25</v>
      </c>
      <c r="F75" s="119">
        <f aca="true" t="shared" si="28" ref="F75:O75">(F28-F31-F33-F35-F37)/F8</f>
        <v>0.0211217283071649</v>
      </c>
      <c r="G75" s="36">
        <f t="shared" si="28"/>
        <v>0.02859350111833267</v>
      </c>
      <c r="H75" s="36">
        <f t="shared" si="28"/>
        <v>0.043316547222910895</v>
      </c>
      <c r="I75" s="36">
        <f t="shared" si="28"/>
        <v>0.0376254122020777</v>
      </c>
      <c r="J75" s="36">
        <f t="shared" si="28"/>
        <v>0.03513806275579809</v>
      </c>
      <c r="K75" s="36">
        <f t="shared" si="28"/>
        <v>0.03285468658465143</v>
      </c>
      <c r="L75" s="36">
        <f t="shared" si="28"/>
        <v>0.034958328611898015</v>
      </c>
      <c r="M75" s="36">
        <f t="shared" si="28"/>
        <v>0.026801453448512272</v>
      </c>
      <c r="N75" s="36">
        <f t="shared" si="28"/>
        <v>0.013576906723359022</v>
      </c>
      <c r="O75" s="36">
        <f t="shared" si="28"/>
        <v>0</v>
      </c>
    </row>
    <row r="76" spans="1:15" ht="34.5" customHeight="1">
      <c r="A76" s="141" t="s">
        <v>152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9"/>
      <c r="L76" s="9"/>
      <c r="M76" s="9"/>
      <c r="N76" s="9"/>
      <c r="O76" s="9"/>
    </row>
    <row r="77" spans="1:11" s="11" customFormat="1" ht="24.75" customHeight="1">
      <c r="A77" s="142" t="s">
        <v>0</v>
      </c>
      <c r="B77" s="142" t="s">
        <v>1</v>
      </c>
      <c r="C77" s="142" t="s">
        <v>12</v>
      </c>
      <c r="D77" s="142"/>
      <c r="E77" s="142" t="s">
        <v>15</v>
      </c>
      <c r="F77" s="143" t="s">
        <v>16</v>
      </c>
      <c r="G77" s="142" t="s">
        <v>17</v>
      </c>
      <c r="H77" s="142"/>
      <c r="I77" s="142"/>
      <c r="J77" s="142"/>
      <c r="K77" s="10"/>
    </row>
    <row r="78" spans="1:15" s="11" customFormat="1" ht="12.75">
      <c r="A78" s="142"/>
      <c r="B78" s="142"/>
      <c r="C78" s="12" t="s">
        <v>13</v>
      </c>
      <c r="D78" s="12" t="s">
        <v>14</v>
      </c>
      <c r="E78" s="142"/>
      <c r="F78" s="143"/>
      <c r="G78" s="12" t="s">
        <v>18</v>
      </c>
      <c r="H78" s="12" t="s">
        <v>19</v>
      </c>
      <c r="I78" s="12" t="s">
        <v>20</v>
      </c>
      <c r="J78" s="12" t="s">
        <v>21</v>
      </c>
      <c r="K78" s="12" t="s">
        <v>21</v>
      </c>
      <c r="L78" s="12" t="s">
        <v>21</v>
      </c>
      <c r="M78" s="12" t="s">
        <v>21</v>
      </c>
      <c r="N78" s="12" t="s">
        <v>21</v>
      </c>
      <c r="O78" s="12" t="s">
        <v>21</v>
      </c>
    </row>
    <row r="79" spans="1:15" s="11" customFormat="1" ht="15" customHeight="1">
      <c r="A79" s="12">
        <v>1</v>
      </c>
      <c r="B79" s="12">
        <v>2</v>
      </c>
      <c r="C79" s="12">
        <v>3</v>
      </c>
      <c r="D79" s="12">
        <v>4</v>
      </c>
      <c r="E79" s="12">
        <v>5</v>
      </c>
      <c r="F79" s="122">
        <v>6</v>
      </c>
      <c r="G79" s="12">
        <v>7</v>
      </c>
      <c r="H79" s="12">
        <v>8</v>
      </c>
      <c r="I79" s="12">
        <v>9</v>
      </c>
      <c r="J79" s="12">
        <v>10</v>
      </c>
      <c r="K79" s="12">
        <v>11</v>
      </c>
      <c r="L79" s="12">
        <v>12</v>
      </c>
      <c r="M79" s="12">
        <v>13</v>
      </c>
      <c r="N79" s="12">
        <v>14</v>
      </c>
      <c r="O79" s="12">
        <v>15</v>
      </c>
    </row>
    <row r="80" spans="1:15" s="20" customFormat="1" ht="21.75" customHeight="1">
      <c r="A80" s="17" t="s">
        <v>153</v>
      </c>
      <c r="B80" s="18" t="s">
        <v>45</v>
      </c>
      <c r="C80" s="19">
        <f>C8</f>
        <v>52650999</v>
      </c>
      <c r="D80" s="19">
        <f aca="true" t="shared" si="29" ref="D80:J80">D8</f>
        <v>63110001</v>
      </c>
      <c r="E80" s="19">
        <f t="shared" si="29"/>
        <v>66156790</v>
      </c>
      <c r="F80" s="125">
        <f t="shared" si="29"/>
        <v>86007119</v>
      </c>
      <c r="G80" s="19">
        <f t="shared" si="29"/>
        <v>75309245.66000001</v>
      </c>
      <c r="H80" s="19">
        <f t="shared" si="29"/>
        <v>73867798.91606002</v>
      </c>
      <c r="I80" s="19">
        <f t="shared" si="29"/>
        <v>63618120.30507989</v>
      </c>
      <c r="J80" s="19">
        <f t="shared" si="29"/>
        <v>65970000</v>
      </c>
      <c r="K80" s="19">
        <f>K8</f>
        <v>68280000</v>
      </c>
      <c r="L80" s="19">
        <f>L8</f>
        <v>70600000</v>
      </c>
      <c r="M80" s="19">
        <f>M8</f>
        <v>72930000</v>
      </c>
      <c r="N80" s="19">
        <f>N8</f>
        <v>75260000</v>
      </c>
      <c r="O80" s="19">
        <f>O8</f>
        <v>77590000</v>
      </c>
    </row>
    <row r="81" spans="1:15" s="20" customFormat="1" ht="21.75" customHeight="1">
      <c r="A81" s="17" t="s">
        <v>116</v>
      </c>
      <c r="B81" s="18" t="s">
        <v>102</v>
      </c>
      <c r="C81" s="19">
        <f aca="true" t="shared" si="30" ref="C81:J81">C12+C29+C41</f>
        <v>50104230</v>
      </c>
      <c r="D81" s="19">
        <f t="shared" si="30"/>
        <v>65550625</v>
      </c>
      <c r="E81" s="19">
        <f t="shared" si="30"/>
        <v>73672325</v>
      </c>
      <c r="F81" s="125">
        <f t="shared" si="30"/>
        <v>88832046</v>
      </c>
      <c r="G81" s="19">
        <f t="shared" si="30"/>
        <v>74334170.75</v>
      </c>
      <c r="H81" s="19">
        <f t="shared" si="30"/>
        <v>71266208.45374998</v>
      </c>
      <c r="I81" s="19">
        <f t="shared" si="30"/>
        <v>58802299.82107305</v>
      </c>
      <c r="J81" s="19">
        <f t="shared" si="30"/>
        <v>59063131.96</v>
      </c>
      <c r="K81" s="19">
        <f>K12+K29+K41</f>
        <v>60850818</v>
      </c>
      <c r="L81" s="19">
        <f>L12+L29+L41</f>
        <v>62821517</v>
      </c>
      <c r="M81" s="19">
        <f>M12+M29+M41</f>
        <v>64194833</v>
      </c>
      <c r="N81" s="19">
        <f>N12+N29+N41</f>
        <v>64851798</v>
      </c>
      <c r="O81" s="19">
        <f>O12+O29+O41</f>
        <v>66810000</v>
      </c>
    </row>
    <row r="82" spans="1:15" s="20" customFormat="1" ht="29.25" customHeight="1">
      <c r="A82" s="17"/>
      <c r="B82" s="18" t="s">
        <v>119</v>
      </c>
      <c r="C82" s="19">
        <f aca="true" t="shared" si="31" ref="C82:J82">C15+C34+C42</f>
        <v>483057</v>
      </c>
      <c r="D82" s="19">
        <f t="shared" si="31"/>
        <v>7387311</v>
      </c>
      <c r="E82" s="19">
        <f t="shared" si="31"/>
        <v>10214745</v>
      </c>
      <c r="F82" s="125">
        <f t="shared" si="31"/>
        <v>24551198.58</v>
      </c>
      <c r="G82" s="19">
        <f t="shared" si="31"/>
        <v>18690979.39</v>
      </c>
      <c r="H82" s="19">
        <f t="shared" si="31"/>
        <v>15198948.21</v>
      </c>
      <c r="I82" s="19">
        <f t="shared" si="31"/>
        <v>1902187.64</v>
      </c>
      <c r="J82" s="19">
        <f t="shared" si="31"/>
        <v>1873473.96</v>
      </c>
      <c r="K82" s="19">
        <f>K15+K34+K42</f>
        <v>1745900</v>
      </c>
      <c r="L82" s="19">
        <f>L15+L34+L42</f>
        <v>1793059</v>
      </c>
      <c r="M82" s="19">
        <f>M15+M34+M42</f>
        <v>1250203</v>
      </c>
      <c r="N82" s="19">
        <f>N15+N34+N42</f>
        <v>0</v>
      </c>
      <c r="O82" s="19">
        <f>O15+O34+O42</f>
        <v>0</v>
      </c>
    </row>
    <row r="83" spans="1:15" s="20" customFormat="1" ht="21.75" customHeight="1">
      <c r="A83" s="17" t="s">
        <v>117</v>
      </c>
      <c r="B83" s="18" t="s">
        <v>81</v>
      </c>
      <c r="C83" s="19">
        <f>C8-C81</f>
        <v>2546769</v>
      </c>
      <c r="D83" s="19">
        <f aca="true" t="shared" si="32" ref="D83:J83">D8-D81</f>
        <v>-2440624</v>
      </c>
      <c r="E83" s="19">
        <f t="shared" si="32"/>
        <v>-7515535</v>
      </c>
      <c r="F83" s="125">
        <f t="shared" si="32"/>
        <v>-2824927</v>
      </c>
      <c r="G83" s="19">
        <f t="shared" si="32"/>
        <v>975074.9100000113</v>
      </c>
      <c r="H83" s="19">
        <f t="shared" si="32"/>
        <v>2601590.462310031</v>
      </c>
      <c r="I83" s="19">
        <f t="shared" si="32"/>
        <v>4815820.484006844</v>
      </c>
      <c r="J83" s="19">
        <f t="shared" si="32"/>
        <v>6906868.039999999</v>
      </c>
      <c r="K83" s="19">
        <f>K8-K81</f>
        <v>7429182</v>
      </c>
      <c r="L83" s="19">
        <f>L8-L81</f>
        <v>7778483</v>
      </c>
      <c r="M83" s="19">
        <f>M8-M81</f>
        <v>8735167</v>
      </c>
      <c r="N83" s="19">
        <f>N8-N81</f>
        <v>10408202</v>
      </c>
      <c r="O83" s="19">
        <f>O8-O81</f>
        <v>10780000</v>
      </c>
    </row>
    <row r="84" spans="1:15" s="20" customFormat="1" ht="21.75" customHeight="1">
      <c r="A84" s="17" t="s">
        <v>118</v>
      </c>
      <c r="B84" s="18" t="s">
        <v>103</v>
      </c>
      <c r="C84" s="19">
        <f>C22+C47</f>
        <v>3872341</v>
      </c>
      <c r="D84" s="19">
        <f aca="true" t="shared" si="33" ref="D84:J84">D22+D47</f>
        <v>9842689</v>
      </c>
      <c r="E84" s="19">
        <f t="shared" si="33"/>
        <v>8536851</v>
      </c>
      <c r="F84" s="125">
        <f t="shared" si="33"/>
        <v>3299927</v>
      </c>
      <c r="G84" s="19">
        <f t="shared" si="33"/>
        <v>0</v>
      </c>
      <c r="H84" s="19">
        <f t="shared" si="33"/>
        <v>0</v>
      </c>
      <c r="I84" s="19">
        <f t="shared" si="33"/>
        <v>0</v>
      </c>
      <c r="J84" s="19">
        <f t="shared" si="33"/>
        <v>0</v>
      </c>
      <c r="K84" s="19">
        <f>K22+K47</f>
        <v>0</v>
      </c>
      <c r="L84" s="19">
        <f>L22+L47</f>
        <v>0</v>
      </c>
      <c r="M84" s="19">
        <f>M22+M47</f>
        <v>0</v>
      </c>
      <c r="N84" s="19">
        <f>N22+N47</f>
        <v>0</v>
      </c>
      <c r="O84" s="19">
        <f>O22+O47</f>
        <v>0</v>
      </c>
    </row>
    <row r="85" spans="1:15" s="20" customFormat="1" ht="21.75" customHeight="1">
      <c r="A85" s="17" t="s">
        <v>142</v>
      </c>
      <c r="B85" s="18" t="s">
        <v>104</v>
      </c>
      <c r="C85" s="19">
        <f>C36+C38</f>
        <v>2007842</v>
      </c>
      <c r="D85" s="19">
        <f aca="true" t="shared" si="34" ref="D85:J85">D36+D38</f>
        <v>1105000</v>
      </c>
      <c r="E85" s="19">
        <f t="shared" si="34"/>
        <v>1021316</v>
      </c>
      <c r="F85" s="125">
        <f t="shared" si="34"/>
        <v>475000</v>
      </c>
      <c r="G85" s="19">
        <f t="shared" si="34"/>
        <v>815000</v>
      </c>
      <c r="H85" s="19">
        <f t="shared" si="34"/>
        <v>2277770</v>
      </c>
      <c r="I85" s="19">
        <f t="shared" si="34"/>
        <v>1500000</v>
      </c>
      <c r="J85" s="19">
        <f t="shared" si="34"/>
        <v>1500000</v>
      </c>
      <c r="K85" s="19">
        <f>K36+K38</f>
        <v>1500000</v>
      </c>
      <c r="L85" s="19">
        <f>L36+L38</f>
        <v>1800000</v>
      </c>
      <c r="M85" s="19">
        <f>M36+M38</f>
        <v>1800000</v>
      </c>
      <c r="N85" s="19">
        <f>N36+N38</f>
        <v>970000</v>
      </c>
      <c r="O85" s="19">
        <f>O36+O38</f>
        <v>0</v>
      </c>
    </row>
    <row r="86" spans="1:15" s="20" customFormat="1" ht="50.25" customHeight="1">
      <c r="A86" s="139" t="s">
        <v>151</v>
      </c>
      <c r="B86" s="68" t="s">
        <v>124</v>
      </c>
      <c r="C86" s="66">
        <f>C80-C81+C84-C85</f>
        <v>4411268</v>
      </c>
      <c r="D86" s="66">
        <f>D80-D81+D84-D85</f>
        <v>6297065</v>
      </c>
      <c r="E86" s="66">
        <f aca="true" t="shared" si="35" ref="E86:J86">E8-E81+E84-E85</f>
        <v>0</v>
      </c>
      <c r="F86" s="130">
        <f t="shared" si="35"/>
        <v>0</v>
      </c>
      <c r="G86" s="67">
        <f t="shared" si="35"/>
        <v>160074.91000001132</v>
      </c>
      <c r="H86" s="67">
        <f t="shared" si="35"/>
        <v>323820.46231003106</v>
      </c>
      <c r="I86" s="67">
        <f t="shared" si="35"/>
        <v>3315820.4840068445</v>
      </c>
      <c r="J86" s="67">
        <f t="shared" si="35"/>
        <v>5406868.039999999</v>
      </c>
      <c r="K86" s="67">
        <f>K8-K81+K84-K85</f>
        <v>5929182</v>
      </c>
      <c r="L86" s="67">
        <f>L8-L81+L84-L85</f>
        <v>5978483</v>
      </c>
      <c r="M86" s="67">
        <f>M8-M81+M84-M85</f>
        <v>6935167</v>
      </c>
      <c r="N86" s="67">
        <f>N8-N81+N84-N85</f>
        <v>9438202</v>
      </c>
      <c r="O86" s="67">
        <f>O8-O81+O84-O85</f>
        <v>10780000</v>
      </c>
    </row>
    <row r="87" spans="1:15" s="20" customFormat="1" ht="50.25" customHeight="1">
      <c r="A87" s="140"/>
      <c r="B87" s="68" t="s">
        <v>146</v>
      </c>
      <c r="C87" s="66">
        <f>C9-C12-C29+C23+C24</f>
        <v>7737247</v>
      </c>
      <c r="D87" s="66">
        <f aca="true" t="shared" si="36" ref="D87:J87">D9-D12-D29+D23+D24</f>
        <v>9386214</v>
      </c>
      <c r="E87" s="66">
        <f t="shared" si="36"/>
        <v>6277675</v>
      </c>
      <c r="F87" s="137">
        <f t="shared" si="36"/>
        <v>3718811</v>
      </c>
      <c r="G87" s="138">
        <f t="shared" si="36"/>
        <v>4032202.9100000113</v>
      </c>
      <c r="H87" s="138">
        <f t="shared" si="36"/>
        <v>5706996.462310031</v>
      </c>
      <c r="I87" s="138">
        <f t="shared" si="36"/>
        <v>6476460.182323642</v>
      </c>
      <c r="J87" s="138">
        <f t="shared" si="36"/>
        <v>6906868.039999999</v>
      </c>
      <c r="K87" s="138">
        <f>K9-K12-K29+K23+K24</f>
        <v>7429182</v>
      </c>
      <c r="L87" s="138">
        <f>L9-L12-L29+L23+L24</f>
        <v>7778483</v>
      </c>
      <c r="M87" s="138">
        <f>M9-M12-M29+M23+M24</f>
        <v>8735167</v>
      </c>
      <c r="N87" s="138">
        <f>N9-N12-N29+N23+N24</f>
        <v>10408202</v>
      </c>
      <c r="O87" s="138">
        <f>O9-O12-O29+O23+O24</f>
        <v>10780000</v>
      </c>
    </row>
  </sheetData>
  <sheetProtection/>
  <mergeCells count="28">
    <mergeCell ref="B77:B78"/>
    <mergeCell ref="C77:D77"/>
    <mergeCell ref="A51:A52"/>
    <mergeCell ref="B51:B52"/>
    <mergeCell ref="C51:D51"/>
    <mergeCell ref="A16:A18"/>
    <mergeCell ref="A43:A45"/>
    <mergeCell ref="A59:A62"/>
    <mergeCell ref="B67:J67"/>
    <mergeCell ref="A3:J3"/>
    <mergeCell ref="A2:J2"/>
    <mergeCell ref="A1:J1"/>
    <mergeCell ref="C5:D5"/>
    <mergeCell ref="A5:A6"/>
    <mergeCell ref="B5:B6"/>
    <mergeCell ref="E5:E6"/>
    <mergeCell ref="F5:F6"/>
    <mergeCell ref="G5:O5"/>
    <mergeCell ref="A86:A87"/>
    <mergeCell ref="A50:J50"/>
    <mergeCell ref="E77:E78"/>
    <mergeCell ref="F77:F78"/>
    <mergeCell ref="G77:J77"/>
    <mergeCell ref="A76:J76"/>
    <mergeCell ref="F51:F52"/>
    <mergeCell ref="G51:J51"/>
    <mergeCell ref="E51:E52"/>
    <mergeCell ref="A77:A78"/>
  </mergeCells>
  <printOptions horizontalCentered="1"/>
  <pageMargins left="0.31496062992125984" right="0.31496062992125984" top="0.5511811023622047" bottom="0.35433070866141736" header="0.11811023622047245" footer="0.11811023622047245"/>
  <pageSetup fitToHeight="2" fitToWidth="1" horizontalDpi="600" verticalDpi="600" orientation="portrait" paperSize="9" scale="60" r:id="rId1"/>
  <headerFooter>
    <oddFooter>&amp;C&amp;P</oddFooter>
  </headerFooter>
  <rowBreaks count="1" manualBreakCount="1"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SheetLayoutView="100" workbookViewId="0" topLeftCell="E1">
      <pane ySplit="5" topLeftCell="A6" activePane="bottomLeft" state="frozen"/>
      <selection pane="topLeft" activeCell="A1" sqref="A1"/>
      <selection pane="bottomLeft" activeCell="A1" sqref="A1:Q1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47" customWidth="1"/>
    <col min="9" max="9" width="10.3984375" style="84" customWidth="1"/>
    <col min="10" max="10" width="9.8984375" style="84" customWidth="1"/>
    <col min="11" max="11" width="10.09765625" style="84" customWidth="1"/>
    <col min="12" max="12" width="10.59765625" style="84" customWidth="1"/>
    <col min="13" max="13" width="10.19921875" style="84" customWidth="1"/>
    <col min="14" max="14" width="9.59765625" style="101" customWidth="1"/>
    <col min="15" max="15" width="9.09765625" style="101" customWidth="1"/>
    <col min="16" max="16" width="9.19921875" style="101" customWidth="1"/>
    <col min="17" max="17" width="9.09765625" style="84" customWidth="1"/>
  </cols>
  <sheetData>
    <row r="1" spans="1:17" ht="14.25">
      <c r="A1" s="167" t="s">
        <v>214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38.25" customHeight="1">
      <c r="A2" s="166" t="s">
        <v>186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ht="15" customHeight="1"/>
    <row r="4" spans="1:17" s="3" customFormat="1" ht="42.75" customHeight="1">
      <c r="A4" s="174" t="s">
        <v>0</v>
      </c>
      <c r="B4" s="181" t="s">
        <v>1</v>
      </c>
      <c r="C4" s="182"/>
      <c r="D4" s="183"/>
      <c r="E4" s="168" t="s">
        <v>125</v>
      </c>
      <c r="F4" s="170" t="s">
        <v>126</v>
      </c>
      <c r="G4" s="171"/>
      <c r="H4" s="172" t="s">
        <v>128</v>
      </c>
      <c r="I4" s="178" t="s">
        <v>127</v>
      </c>
      <c r="J4" s="179"/>
      <c r="K4" s="179"/>
      <c r="L4" s="179"/>
      <c r="M4" s="180"/>
      <c r="N4" s="102"/>
      <c r="O4" s="102"/>
      <c r="P4" s="102"/>
      <c r="Q4" s="176" t="s">
        <v>131</v>
      </c>
    </row>
    <row r="5" spans="1:17" s="3" customFormat="1" ht="24" customHeight="1">
      <c r="A5" s="175"/>
      <c r="B5" s="184"/>
      <c r="C5" s="185"/>
      <c r="D5" s="186"/>
      <c r="E5" s="169"/>
      <c r="F5" s="40" t="s">
        <v>129</v>
      </c>
      <c r="G5" s="40" t="s">
        <v>130</v>
      </c>
      <c r="H5" s="173"/>
      <c r="I5" s="85" t="s">
        <v>16</v>
      </c>
      <c r="J5" s="85" t="s">
        <v>18</v>
      </c>
      <c r="K5" s="85" t="s">
        <v>19</v>
      </c>
      <c r="L5" s="85" t="s">
        <v>20</v>
      </c>
      <c r="M5" s="85" t="s">
        <v>21</v>
      </c>
      <c r="N5" s="103" t="s">
        <v>155</v>
      </c>
      <c r="O5" s="103" t="s">
        <v>156</v>
      </c>
      <c r="P5" s="103" t="s">
        <v>157</v>
      </c>
      <c r="Q5" s="177"/>
    </row>
    <row r="6" spans="1:17" s="39" customFormat="1" ht="12">
      <c r="A6" s="41">
        <v>1</v>
      </c>
      <c r="B6" s="187">
        <v>2</v>
      </c>
      <c r="C6" s="187"/>
      <c r="D6" s="187"/>
      <c r="E6" s="41">
        <v>3</v>
      </c>
      <c r="F6" s="41">
        <v>4</v>
      </c>
      <c r="G6" s="41">
        <v>5</v>
      </c>
      <c r="H6" s="48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104">
        <v>11</v>
      </c>
      <c r="O6" s="104">
        <v>11</v>
      </c>
      <c r="P6" s="104">
        <v>11</v>
      </c>
      <c r="Q6" s="41">
        <v>12</v>
      </c>
    </row>
    <row r="7" spans="1:17" s="7" customFormat="1" ht="18.75" customHeight="1">
      <c r="A7" s="42" t="s">
        <v>2</v>
      </c>
      <c r="B7" s="162" t="s">
        <v>132</v>
      </c>
      <c r="C7" s="162"/>
      <c r="D7" s="162"/>
      <c r="E7" s="50" t="s">
        <v>25</v>
      </c>
      <c r="F7" s="50" t="s">
        <v>25</v>
      </c>
      <c r="G7" s="50" t="s">
        <v>25</v>
      </c>
      <c r="H7" s="50" t="s">
        <v>25</v>
      </c>
      <c r="I7" s="86">
        <f aca="true" t="shared" si="0" ref="I7:Q7">I8+I9</f>
        <v>24551198.58</v>
      </c>
      <c r="J7" s="86">
        <f t="shared" si="0"/>
        <v>18690979.39</v>
      </c>
      <c r="K7" s="86">
        <f t="shared" si="0"/>
        <v>15198948.21</v>
      </c>
      <c r="L7" s="86">
        <f t="shared" si="0"/>
        <v>1902187.64</v>
      </c>
      <c r="M7" s="86">
        <f t="shared" si="0"/>
        <v>1873473.96</v>
      </c>
      <c r="N7" s="105">
        <f>N8+N9</f>
        <v>1745900</v>
      </c>
      <c r="O7" s="105">
        <f>O8+O9</f>
        <v>1793059</v>
      </c>
      <c r="P7" s="105">
        <f>P8+P9</f>
        <v>1250203</v>
      </c>
      <c r="Q7" s="86">
        <f t="shared" si="0"/>
        <v>67005949.78</v>
      </c>
    </row>
    <row r="8" spans="1:17" s="7" customFormat="1" ht="21" customHeight="1">
      <c r="A8" s="42" t="s">
        <v>39</v>
      </c>
      <c r="B8" s="163" t="s">
        <v>85</v>
      </c>
      <c r="C8" s="163"/>
      <c r="D8" s="163"/>
      <c r="E8" s="50" t="s">
        <v>25</v>
      </c>
      <c r="F8" s="50" t="s">
        <v>25</v>
      </c>
      <c r="G8" s="50" t="s">
        <v>25</v>
      </c>
      <c r="H8" s="50" t="s">
        <v>25</v>
      </c>
      <c r="I8" s="86">
        <f aca="true" t="shared" si="1" ref="I8:Q8">I12+I25+I35+I48+I120</f>
        <v>8584965.58</v>
      </c>
      <c r="J8" s="86">
        <f t="shared" si="1"/>
        <v>6840803.39</v>
      </c>
      <c r="K8" s="86">
        <f t="shared" si="1"/>
        <v>3805557.21</v>
      </c>
      <c r="L8" s="86">
        <f t="shared" si="1"/>
        <v>1902187.64</v>
      </c>
      <c r="M8" s="86">
        <f t="shared" si="1"/>
        <v>1873473.96</v>
      </c>
      <c r="N8" s="105">
        <f t="shared" si="1"/>
        <v>1745900</v>
      </c>
      <c r="O8" s="105">
        <f t="shared" si="1"/>
        <v>1793059</v>
      </c>
      <c r="P8" s="105">
        <f t="shared" si="1"/>
        <v>1250203</v>
      </c>
      <c r="Q8" s="86">
        <f t="shared" si="1"/>
        <v>27796149.78</v>
      </c>
    </row>
    <row r="9" spans="1:17" s="7" customFormat="1" ht="21" customHeight="1">
      <c r="A9" s="42" t="s">
        <v>40</v>
      </c>
      <c r="B9" s="163" t="s">
        <v>86</v>
      </c>
      <c r="C9" s="163"/>
      <c r="D9" s="163"/>
      <c r="E9" s="50" t="s">
        <v>25</v>
      </c>
      <c r="F9" s="50" t="s">
        <v>25</v>
      </c>
      <c r="G9" s="50" t="s">
        <v>25</v>
      </c>
      <c r="H9" s="50" t="s">
        <v>25</v>
      </c>
      <c r="I9" s="86">
        <f aca="true" t="shared" si="2" ref="I9:Q9">I13+I26+I36+I49</f>
        <v>15966233</v>
      </c>
      <c r="J9" s="86">
        <f t="shared" si="2"/>
        <v>11850176</v>
      </c>
      <c r="K9" s="86">
        <f t="shared" si="2"/>
        <v>11393391</v>
      </c>
      <c r="L9" s="86">
        <f t="shared" si="2"/>
        <v>0</v>
      </c>
      <c r="M9" s="86">
        <f t="shared" si="2"/>
        <v>0</v>
      </c>
      <c r="N9" s="105">
        <f t="shared" si="2"/>
        <v>0</v>
      </c>
      <c r="O9" s="105">
        <f t="shared" si="2"/>
        <v>0</v>
      </c>
      <c r="P9" s="105">
        <f t="shared" si="2"/>
        <v>0</v>
      </c>
      <c r="Q9" s="86">
        <f t="shared" si="2"/>
        <v>39209800</v>
      </c>
    </row>
    <row r="10" spans="1:17" s="2" customFormat="1" ht="14.25">
      <c r="A10" s="158"/>
      <c r="B10" s="159" t="s">
        <v>87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1"/>
    </row>
    <row r="11" spans="1:17" s="5" customFormat="1" ht="45.75" customHeight="1">
      <c r="A11" s="158"/>
      <c r="B11" s="165" t="s">
        <v>88</v>
      </c>
      <c r="C11" s="164" t="s">
        <v>92</v>
      </c>
      <c r="D11" s="164"/>
      <c r="E11" s="50" t="s">
        <v>25</v>
      </c>
      <c r="F11" s="50" t="s">
        <v>25</v>
      </c>
      <c r="G11" s="50" t="s">
        <v>25</v>
      </c>
      <c r="H11" s="45">
        <f aca="true" t="shared" si="3" ref="H11:M11">H12+H13</f>
        <v>55979493</v>
      </c>
      <c r="I11" s="86">
        <f t="shared" si="3"/>
        <v>22361211</v>
      </c>
      <c r="J11" s="86">
        <f t="shared" si="3"/>
        <v>16520616</v>
      </c>
      <c r="K11" s="86">
        <f t="shared" si="3"/>
        <v>13385750</v>
      </c>
      <c r="L11" s="86">
        <f t="shared" si="3"/>
        <v>76148</v>
      </c>
      <c r="M11" s="86">
        <f t="shared" si="3"/>
        <v>0</v>
      </c>
      <c r="N11" s="105">
        <f>N12+N13</f>
        <v>0</v>
      </c>
      <c r="O11" s="105">
        <f>O12+O13</f>
        <v>0</v>
      </c>
      <c r="P11" s="105">
        <f>P12+P13</f>
        <v>0</v>
      </c>
      <c r="Q11" s="88">
        <f>SUM(I11:P11)</f>
        <v>52343725</v>
      </c>
    </row>
    <row r="12" spans="1:17" s="7" customFormat="1" ht="18.75" customHeight="1">
      <c r="A12" s="158"/>
      <c r="B12" s="165"/>
      <c r="C12" s="163" t="s">
        <v>85</v>
      </c>
      <c r="D12" s="163"/>
      <c r="E12" s="50" t="s">
        <v>25</v>
      </c>
      <c r="F12" s="50" t="s">
        <v>25</v>
      </c>
      <c r="G12" s="50" t="s">
        <v>25</v>
      </c>
      <c r="H12" s="45">
        <f aca="true" t="shared" si="4" ref="H12:M13">H16+H19+H22</f>
        <v>15135507</v>
      </c>
      <c r="I12" s="86">
        <f t="shared" si="4"/>
        <v>6394978</v>
      </c>
      <c r="J12" s="86">
        <f t="shared" si="4"/>
        <v>4670440</v>
      </c>
      <c r="K12" s="86">
        <f t="shared" si="4"/>
        <v>1992359</v>
      </c>
      <c r="L12" s="86">
        <f t="shared" si="4"/>
        <v>76148</v>
      </c>
      <c r="M12" s="86">
        <f t="shared" si="4"/>
        <v>0</v>
      </c>
      <c r="N12" s="105">
        <f aca="true" t="shared" si="5" ref="N12:P13">N16+N19+N22</f>
        <v>0</v>
      </c>
      <c r="O12" s="105">
        <f t="shared" si="5"/>
        <v>0</v>
      </c>
      <c r="P12" s="105">
        <f t="shared" si="5"/>
        <v>0</v>
      </c>
      <c r="Q12" s="88">
        <f>SUM(I12:P12)</f>
        <v>13133925</v>
      </c>
    </row>
    <row r="13" spans="1:17" s="7" customFormat="1" ht="18.75" customHeight="1">
      <c r="A13" s="158"/>
      <c r="B13" s="165"/>
      <c r="C13" s="163" t="s">
        <v>86</v>
      </c>
      <c r="D13" s="163"/>
      <c r="E13" s="50" t="s">
        <v>25</v>
      </c>
      <c r="F13" s="50" t="s">
        <v>25</v>
      </c>
      <c r="G13" s="50" t="s">
        <v>25</v>
      </c>
      <c r="H13" s="45">
        <f t="shared" si="4"/>
        <v>40843986</v>
      </c>
      <c r="I13" s="86">
        <f t="shared" si="4"/>
        <v>15966233</v>
      </c>
      <c r="J13" s="86">
        <f t="shared" si="4"/>
        <v>11850176</v>
      </c>
      <c r="K13" s="86">
        <f t="shared" si="4"/>
        <v>11393391</v>
      </c>
      <c r="L13" s="86">
        <f t="shared" si="4"/>
        <v>0</v>
      </c>
      <c r="M13" s="86">
        <f t="shared" si="4"/>
        <v>0</v>
      </c>
      <c r="N13" s="105">
        <f t="shared" si="5"/>
        <v>0</v>
      </c>
      <c r="O13" s="105">
        <f t="shared" si="5"/>
        <v>0</v>
      </c>
      <c r="P13" s="105">
        <f t="shared" si="5"/>
        <v>0</v>
      </c>
      <c r="Q13" s="88">
        <f>SUM(I13:P13)</f>
        <v>39209800</v>
      </c>
    </row>
    <row r="14" spans="1:17" s="2" customFormat="1" ht="14.25">
      <c r="A14" s="158"/>
      <c r="B14" s="165"/>
      <c r="C14" s="159" t="s">
        <v>89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</row>
    <row r="15" spans="1:17" s="6" customFormat="1" ht="18.75" customHeight="1">
      <c r="A15" s="158"/>
      <c r="B15" s="165"/>
      <c r="C15" s="50" t="s">
        <v>28</v>
      </c>
      <c r="D15" s="72" t="s">
        <v>147</v>
      </c>
      <c r="E15" s="72"/>
      <c r="F15" s="72"/>
      <c r="G15" s="72"/>
      <c r="H15" s="75">
        <f aca="true" t="shared" si="6" ref="H15:Q15">H16+H17</f>
        <v>40843986</v>
      </c>
      <c r="I15" s="87">
        <f t="shared" si="6"/>
        <v>15966233</v>
      </c>
      <c r="J15" s="87">
        <f t="shared" si="6"/>
        <v>11850176</v>
      </c>
      <c r="K15" s="87">
        <f t="shared" si="6"/>
        <v>11393391</v>
      </c>
      <c r="L15" s="87">
        <f t="shared" si="6"/>
        <v>0</v>
      </c>
      <c r="M15" s="87">
        <f t="shared" si="6"/>
        <v>0</v>
      </c>
      <c r="N15" s="106">
        <f>N16+N17</f>
        <v>0</v>
      </c>
      <c r="O15" s="106">
        <f>O16+O17</f>
        <v>0</v>
      </c>
      <c r="P15" s="106">
        <f>P16+P17</f>
        <v>0</v>
      </c>
      <c r="Q15" s="87">
        <f t="shared" si="6"/>
        <v>39209800</v>
      </c>
    </row>
    <row r="16" spans="1:17" s="6" customFormat="1" ht="19.5" customHeight="1">
      <c r="A16" s="158"/>
      <c r="B16" s="165"/>
      <c r="C16" s="44"/>
      <c r="D16" s="53" t="s">
        <v>85</v>
      </c>
      <c r="E16" s="73" t="s">
        <v>25</v>
      </c>
      <c r="F16" s="73" t="s">
        <v>25</v>
      </c>
      <c r="G16" s="73" t="s">
        <v>25</v>
      </c>
      <c r="H16" s="73"/>
      <c r="I16" s="88"/>
      <c r="J16" s="88"/>
      <c r="K16" s="88"/>
      <c r="L16" s="88"/>
      <c r="M16" s="88"/>
      <c r="N16" s="107"/>
      <c r="O16" s="107"/>
      <c r="P16" s="107"/>
      <c r="Q16" s="88">
        <f>SUM(I16:P16)</f>
        <v>0</v>
      </c>
    </row>
    <row r="17" spans="1:17" s="6" customFormat="1" ht="19.5" customHeight="1">
      <c r="A17" s="158"/>
      <c r="B17" s="165"/>
      <c r="C17" s="44"/>
      <c r="D17" s="53" t="s">
        <v>187</v>
      </c>
      <c r="E17" s="73" t="s">
        <v>25</v>
      </c>
      <c r="F17" s="73" t="s">
        <v>25</v>
      </c>
      <c r="G17" s="73" t="s">
        <v>25</v>
      </c>
      <c r="H17" s="54">
        <v>40843986</v>
      </c>
      <c r="I17" s="89">
        <v>15966233</v>
      </c>
      <c r="J17" s="89">
        <v>11850176</v>
      </c>
      <c r="K17" s="89">
        <v>11393391</v>
      </c>
      <c r="L17" s="89"/>
      <c r="M17" s="89"/>
      <c r="N17" s="108"/>
      <c r="O17" s="108"/>
      <c r="P17" s="108"/>
      <c r="Q17" s="88">
        <f>SUM(I17:P17)</f>
        <v>39209800</v>
      </c>
    </row>
    <row r="18" spans="1:17" s="6" customFormat="1" ht="19.5" customHeight="1">
      <c r="A18" s="158"/>
      <c r="B18" s="165"/>
      <c r="C18" s="50" t="s">
        <v>37</v>
      </c>
      <c r="D18" s="72" t="s">
        <v>148</v>
      </c>
      <c r="E18" s="72"/>
      <c r="F18" s="72"/>
      <c r="G18" s="72"/>
      <c r="H18" s="75">
        <f aca="true" t="shared" si="7" ref="H18:Q18">H19+H20</f>
        <v>15135507</v>
      </c>
      <c r="I18" s="87">
        <f t="shared" si="7"/>
        <v>6394978</v>
      </c>
      <c r="J18" s="87">
        <f t="shared" si="7"/>
        <v>4670440</v>
      </c>
      <c r="K18" s="87">
        <f t="shared" si="7"/>
        <v>1992359</v>
      </c>
      <c r="L18" s="87">
        <f t="shared" si="7"/>
        <v>76148</v>
      </c>
      <c r="M18" s="87">
        <f t="shared" si="7"/>
        <v>0</v>
      </c>
      <c r="N18" s="106">
        <f>N19+N20</f>
        <v>0</v>
      </c>
      <c r="O18" s="106">
        <f>O19+O20</f>
        <v>0</v>
      </c>
      <c r="P18" s="106">
        <f>P19+P20</f>
        <v>0</v>
      </c>
      <c r="Q18" s="87">
        <f t="shared" si="7"/>
        <v>13133925</v>
      </c>
    </row>
    <row r="19" spans="1:17" s="6" customFormat="1" ht="19.5" customHeight="1">
      <c r="A19" s="158"/>
      <c r="B19" s="165"/>
      <c r="C19" s="44"/>
      <c r="D19" s="56" t="s">
        <v>188</v>
      </c>
      <c r="E19" s="73" t="s">
        <v>25</v>
      </c>
      <c r="F19" s="73" t="s">
        <v>25</v>
      </c>
      <c r="G19" s="73" t="s">
        <v>25</v>
      </c>
      <c r="H19" s="73">
        <v>15135507</v>
      </c>
      <c r="I19" s="88">
        <v>6394978</v>
      </c>
      <c r="J19" s="88">
        <v>4670440</v>
      </c>
      <c r="K19" s="88">
        <v>1992359</v>
      </c>
      <c r="L19" s="88">
        <v>76148</v>
      </c>
      <c r="M19" s="88"/>
      <c r="N19" s="107"/>
      <c r="O19" s="107"/>
      <c r="P19" s="107"/>
      <c r="Q19" s="88">
        <f>SUM(I19:P19)</f>
        <v>13133925</v>
      </c>
    </row>
    <row r="20" spans="1:17" s="6" customFormat="1" ht="19.5" customHeight="1">
      <c r="A20" s="158"/>
      <c r="B20" s="165"/>
      <c r="C20" s="44"/>
      <c r="D20" s="53" t="s">
        <v>149</v>
      </c>
      <c r="E20" s="73" t="s">
        <v>25</v>
      </c>
      <c r="F20" s="73" t="s">
        <v>25</v>
      </c>
      <c r="G20" s="73" t="s">
        <v>25</v>
      </c>
      <c r="H20" s="51"/>
      <c r="I20" s="88"/>
      <c r="J20" s="88"/>
      <c r="K20" s="88"/>
      <c r="L20" s="88"/>
      <c r="M20" s="88"/>
      <c r="N20" s="107"/>
      <c r="O20" s="107"/>
      <c r="P20" s="107"/>
      <c r="Q20" s="88">
        <f>SUM(I20:P20)</f>
        <v>0</v>
      </c>
    </row>
    <row r="21" spans="1:17" s="2" customFormat="1" ht="32.25" customHeight="1">
      <c r="A21" s="158"/>
      <c r="B21" s="165"/>
      <c r="C21" s="69" t="s">
        <v>38</v>
      </c>
      <c r="D21" s="70"/>
      <c r="E21" s="71"/>
      <c r="F21" s="71"/>
      <c r="G21" s="71"/>
      <c r="H21" s="75">
        <f aca="true" t="shared" si="8" ref="H21:Q21">H22+H23</f>
        <v>0</v>
      </c>
      <c r="I21" s="87">
        <f t="shared" si="8"/>
        <v>0</v>
      </c>
      <c r="J21" s="87">
        <f t="shared" si="8"/>
        <v>0</v>
      </c>
      <c r="K21" s="87">
        <f t="shared" si="8"/>
        <v>0</v>
      </c>
      <c r="L21" s="87">
        <f t="shared" si="8"/>
        <v>0</v>
      </c>
      <c r="M21" s="87">
        <f t="shared" si="8"/>
        <v>0</v>
      </c>
      <c r="N21" s="106">
        <f>N22+N23</f>
        <v>0</v>
      </c>
      <c r="O21" s="106">
        <f>O22+O23</f>
        <v>0</v>
      </c>
      <c r="P21" s="106">
        <f>P22+P23</f>
        <v>0</v>
      </c>
      <c r="Q21" s="87">
        <f t="shared" si="8"/>
        <v>0</v>
      </c>
    </row>
    <row r="22" spans="1:17" s="6" customFormat="1" ht="19.5" customHeight="1">
      <c r="A22" s="158"/>
      <c r="B22" s="165"/>
      <c r="C22" s="44"/>
      <c r="D22" s="56" t="s">
        <v>85</v>
      </c>
      <c r="E22" s="73" t="s">
        <v>25</v>
      </c>
      <c r="F22" s="73" t="s">
        <v>25</v>
      </c>
      <c r="G22" s="73" t="s">
        <v>25</v>
      </c>
      <c r="H22" s="51"/>
      <c r="I22" s="88"/>
      <c r="J22" s="88"/>
      <c r="K22" s="88"/>
      <c r="L22" s="88"/>
      <c r="M22" s="88"/>
      <c r="N22" s="107"/>
      <c r="O22" s="107"/>
      <c r="P22" s="107"/>
      <c r="Q22" s="88">
        <f>SUM(I22:P22)</f>
        <v>0</v>
      </c>
    </row>
    <row r="23" spans="1:17" s="6" customFormat="1" ht="19.5" customHeight="1">
      <c r="A23" s="158"/>
      <c r="B23" s="165"/>
      <c r="C23" s="44"/>
      <c r="D23" s="53" t="s">
        <v>149</v>
      </c>
      <c r="E23" s="73" t="s">
        <v>25</v>
      </c>
      <c r="F23" s="73" t="s">
        <v>25</v>
      </c>
      <c r="G23" s="73" t="s">
        <v>25</v>
      </c>
      <c r="H23" s="51"/>
      <c r="I23" s="88"/>
      <c r="J23" s="88"/>
      <c r="K23" s="88"/>
      <c r="L23" s="88"/>
      <c r="M23" s="88"/>
      <c r="N23" s="107"/>
      <c r="O23" s="107"/>
      <c r="P23" s="107"/>
      <c r="Q23" s="88">
        <f>SUM(I23:P23)</f>
        <v>0</v>
      </c>
    </row>
    <row r="24" spans="1:17" s="5" customFormat="1" ht="45.75" customHeight="1">
      <c r="A24" s="158"/>
      <c r="B24" s="165" t="s">
        <v>91</v>
      </c>
      <c r="C24" s="164" t="s">
        <v>94</v>
      </c>
      <c r="D24" s="164"/>
      <c r="E24" s="50" t="s">
        <v>25</v>
      </c>
      <c r="F24" s="50" t="s">
        <v>25</v>
      </c>
      <c r="G24" s="50" t="s">
        <v>25</v>
      </c>
      <c r="H24" s="75">
        <f aca="true" t="shared" si="9" ref="H24:Q24">H25+H26</f>
        <v>0</v>
      </c>
      <c r="I24" s="87">
        <f t="shared" si="9"/>
        <v>0</v>
      </c>
      <c r="J24" s="87">
        <f t="shared" si="9"/>
        <v>0</v>
      </c>
      <c r="K24" s="87">
        <f t="shared" si="9"/>
        <v>0</v>
      </c>
      <c r="L24" s="87">
        <f t="shared" si="9"/>
        <v>0</v>
      </c>
      <c r="M24" s="87">
        <f t="shared" si="9"/>
        <v>0</v>
      </c>
      <c r="N24" s="106">
        <f>N25+N26</f>
        <v>0</v>
      </c>
      <c r="O24" s="106">
        <f>O25+O26</f>
        <v>0</v>
      </c>
      <c r="P24" s="106">
        <f>P25+P26</f>
        <v>0</v>
      </c>
      <c r="Q24" s="87">
        <f t="shared" si="9"/>
        <v>0</v>
      </c>
    </row>
    <row r="25" spans="1:17" s="7" customFormat="1" ht="20.25" customHeight="1">
      <c r="A25" s="158"/>
      <c r="B25" s="165"/>
      <c r="C25" s="163" t="s">
        <v>85</v>
      </c>
      <c r="D25" s="163"/>
      <c r="E25" s="50" t="s">
        <v>25</v>
      </c>
      <c r="F25" s="50" t="s">
        <v>25</v>
      </c>
      <c r="G25" s="50" t="s">
        <v>25</v>
      </c>
      <c r="H25" s="45">
        <f aca="true" t="shared" si="10" ref="H25:M26">H29+H32</f>
        <v>0</v>
      </c>
      <c r="I25" s="86">
        <f t="shared" si="10"/>
        <v>0</v>
      </c>
      <c r="J25" s="86">
        <f t="shared" si="10"/>
        <v>0</v>
      </c>
      <c r="K25" s="86">
        <f t="shared" si="10"/>
        <v>0</v>
      </c>
      <c r="L25" s="86">
        <f t="shared" si="10"/>
        <v>0</v>
      </c>
      <c r="M25" s="86">
        <f t="shared" si="10"/>
        <v>0</v>
      </c>
      <c r="N25" s="105">
        <f aca="true" t="shared" si="11" ref="N25:P26">N29+N32</f>
        <v>0</v>
      </c>
      <c r="O25" s="105">
        <f t="shared" si="11"/>
        <v>0</v>
      </c>
      <c r="P25" s="105">
        <f t="shared" si="11"/>
        <v>0</v>
      </c>
      <c r="Q25" s="88">
        <f>SUM(I25:P25)</f>
        <v>0</v>
      </c>
    </row>
    <row r="26" spans="1:17" s="7" customFormat="1" ht="20.25" customHeight="1">
      <c r="A26" s="158"/>
      <c r="B26" s="165"/>
      <c r="C26" s="163" t="s">
        <v>86</v>
      </c>
      <c r="D26" s="163"/>
      <c r="E26" s="50" t="s">
        <v>25</v>
      </c>
      <c r="F26" s="50" t="s">
        <v>25</v>
      </c>
      <c r="G26" s="50" t="s">
        <v>25</v>
      </c>
      <c r="H26" s="45">
        <f t="shared" si="10"/>
        <v>0</v>
      </c>
      <c r="I26" s="86">
        <f t="shared" si="10"/>
        <v>0</v>
      </c>
      <c r="J26" s="86">
        <f t="shared" si="10"/>
        <v>0</v>
      </c>
      <c r="K26" s="86">
        <f t="shared" si="10"/>
        <v>0</v>
      </c>
      <c r="L26" s="86">
        <f t="shared" si="10"/>
        <v>0</v>
      </c>
      <c r="M26" s="86">
        <f t="shared" si="10"/>
        <v>0</v>
      </c>
      <c r="N26" s="105">
        <f t="shared" si="11"/>
        <v>0</v>
      </c>
      <c r="O26" s="105">
        <f t="shared" si="11"/>
        <v>0</v>
      </c>
      <c r="P26" s="105">
        <f t="shared" si="11"/>
        <v>0</v>
      </c>
      <c r="Q26" s="88">
        <f>SUM(I26:P26)</f>
        <v>0</v>
      </c>
    </row>
    <row r="27" spans="1:17" s="2" customFormat="1" ht="14.25">
      <c r="A27" s="158"/>
      <c r="B27" s="165"/>
      <c r="C27" s="159" t="s">
        <v>89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1"/>
    </row>
    <row r="28" spans="1:17" ht="30">
      <c r="A28" s="158"/>
      <c r="B28" s="165"/>
      <c r="C28" s="69" t="s">
        <v>28</v>
      </c>
      <c r="D28" s="70" t="s">
        <v>90</v>
      </c>
      <c r="E28" s="74"/>
      <c r="F28" s="74"/>
      <c r="G28" s="74"/>
      <c r="H28" s="75">
        <f aca="true" t="shared" si="12" ref="H28:Q28">H29+H30</f>
        <v>0</v>
      </c>
      <c r="I28" s="87">
        <f t="shared" si="12"/>
        <v>0</v>
      </c>
      <c r="J28" s="87">
        <f t="shared" si="12"/>
        <v>0</v>
      </c>
      <c r="K28" s="87">
        <f t="shared" si="12"/>
        <v>0</v>
      </c>
      <c r="L28" s="87">
        <f t="shared" si="12"/>
        <v>0</v>
      </c>
      <c r="M28" s="87">
        <f t="shared" si="12"/>
        <v>0</v>
      </c>
      <c r="N28" s="106">
        <f>N29+N30</f>
        <v>0</v>
      </c>
      <c r="O28" s="106">
        <f>O29+O30</f>
        <v>0</v>
      </c>
      <c r="P28" s="106">
        <f>P29+P30</f>
        <v>0</v>
      </c>
      <c r="Q28" s="87">
        <f t="shared" si="12"/>
        <v>0</v>
      </c>
    </row>
    <row r="29" spans="1:17" s="46" customFormat="1" ht="19.5" customHeight="1">
      <c r="A29" s="158"/>
      <c r="B29" s="165"/>
      <c r="C29" s="44"/>
      <c r="D29" s="56" t="s">
        <v>85</v>
      </c>
      <c r="E29" s="73" t="s">
        <v>25</v>
      </c>
      <c r="F29" s="73" t="s">
        <v>25</v>
      </c>
      <c r="G29" s="73" t="s">
        <v>25</v>
      </c>
      <c r="H29" s="51"/>
      <c r="I29" s="88"/>
      <c r="J29" s="88"/>
      <c r="K29" s="88"/>
      <c r="L29" s="88"/>
      <c r="M29" s="88"/>
      <c r="N29" s="107"/>
      <c r="O29" s="107"/>
      <c r="P29" s="107"/>
      <c r="Q29" s="88">
        <f>SUM(I29:P29)</f>
        <v>0</v>
      </c>
    </row>
    <row r="30" spans="1:17" s="46" customFormat="1" ht="19.5" customHeight="1">
      <c r="A30" s="158"/>
      <c r="B30" s="165"/>
      <c r="C30" s="44"/>
      <c r="D30" s="53" t="s">
        <v>149</v>
      </c>
      <c r="E30" s="73" t="s">
        <v>25</v>
      </c>
      <c r="F30" s="73" t="s">
        <v>25</v>
      </c>
      <c r="G30" s="73" t="s">
        <v>25</v>
      </c>
      <c r="H30" s="51"/>
      <c r="I30" s="88"/>
      <c r="J30" s="88"/>
      <c r="K30" s="88"/>
      <c r="L30" s="88"/>
      <c r="M30" s="88"/>
      <c r="N30" s="107"/>
      <c r="O30" s="107"/>
      <c r="P30" s="107"/>
      <c r="Q30" s="88">
        <f>SUM(I30:P30)</f>
        <v>0</v>
      </c>
    </row>
    <row r="31" spans="1:17" ht="30">
      <c r="A31" s="158"/>
      <c r="B31" s="165"/>
      <c r="C31" s="69" t="s">
        <v>37</v>
      </c>
      <c r="D31" s="70" t="s">
        <v>90</v>
      </c>
      <c r="E31" s="74"/>
      <c r="F31" s="74"/>
      <c r="G31" s="74"/>
      <c r="H31" s="75">
        <f aca="true" t="shared" si="13" ref="H31:Q31">H32+H33</f>
        <v>0</v>
      </c>
      <c r="I31" s="87">
        <f t="shared" si="13"/>
        <v>0</v>
      </c>
      <c r="J31" s="87">
        <f t="shared" si="13"/>
        <v>0</v>
      </c>
      <c r="K31" s="87">
        <f t="shared" si="13"/>
        <v>0</v>
      </c>
      <c r="L31" s="87">
        <f t="shared" si="13"/>
        <v>0</v>
      </c>
      <c r="M31" s="87">
        <f t="shared" si="13"/>
        <v>0</v>
      </c>
      <c r="N31" s="106">
        <f>N32+N33</f>
        <v>0</v>
      </c>
      <c r="O31" s="106">
        <f>O32+O33</f>
        <v>0</v>
      </c>
      <c r="P31" s="106">
        <f>P32+P33</f>
        <v>0</v>
      </c>
      <c r="Q31" s="87">
        <f t="shared" si="13"/>
        <v>0</v>
      </c>
    </row>
    <row r="32" spans="1:17" s="46" customFormat="1" ht="19.5" customHeight="1">
      <c r="A32" s="158"/>
      <c r="B32" s="165"/>
      <c r="C32" s="44"/>
      <c r="D32" s="56" t="s">
        <v>85</v>
      </c>
      <c r="E32" s="73" t="s">
        <v>25</v>
      </c>
      <c r="F32" s="73" t="s">
        <v>25</v>
      </c>
      <c r="G32" s="73" t="s">
        <v>25</v>
      </c>
      <c r="H32" s="51"/>
      <c r="I32" s="88"/>
      <c r="J32" s="88"/>
      <c r="K32" s="88"/>
      <c r="L32" s="88"/>
      <c r="M32" s="88"/>
      <c r="N32" s="107"/>
      <c r="O32" s="107"/>
      <c r="P32" s="107"/>
      <c r="Q32" s="88">
        <f>SUM(I32:P32)</f>
        <v>0</v>
      </c>
    </row>
    <row r="33" spans="1:17" s="46" customFormat="1" ht="19.5" customHeight="1">
      <c r="A33" s="158"/>
      <c r="B33" s="165"/>
      <c r="C33" s="44"/>
      <c r="D33" s="53" t="s">
        <v>149</v>
      </c>
      <c r="E33" s="73" t="s">
        <v>25</v>
      </c>
      <c r="F33" s="73" t="s">
        <v>25</v>
      </c>
      <c r="G33" s="73" t="s">
        <v>25</v>
      </c>
      <c r="H33" s="51"/>
      <c r="I33" s="88"/>
      <c r="J33" s="88"/>
      <c r="K33" s="88"/>
      <c r="L33" s="88"/>
      <c r="M33" s="88"/>
      <c r="N33" s="107"/>
      <c r="O33" s="107"/>
      <c r="P33" s="107"/>
      <c r="Q33" s="88">
        <f>SUM(I33:P33)</f>
        <v>0</v>
      </c>
    </row>
    <row r="34" spans="1:17" s="5" customFormat="1" ht="30.75" customHeight="1">
      <c r="A34" s="158"/>
      <c r="B34" s="165" t="s">
        <v>93</v>
      </c>
      <c r="C34" s="164" t="s">
        <v>138</v>
      </c>
      <c r="D34" s="164"/>
      <c r="E34" s="50" t="s">
        <v>25</v>
      </c>
      <c r="F34" s="50" t="s">
        <v>25</v>
      </c>
      <c r="G34" s="50" t="s">
        <v>25</v>
      </c>
      <c r="H34" s="75">
        <f>H35+H36+H44</f>
        <v>0</v>
      </c>
      <c r="I34" s="87">
        <f aca="true" t="shared" si="14" ref="I34:P34">I35+I36+I44</f>
        <v>0</v>
      </c>
      <c r="J34" s="87">
        <f t="shared" si="14"/>
        <v>0</v>
      </c>
      <c r="K34" s="87">
        <f t="shared" si="14"/>
        <v>0</v>
      </c>
      <c r="L34" s="87">
        <f t="shared" si="14"/>
        <v>0</v>
      </c>
      <c r="M34" s="87">
        <f t="shared" si="14"/>
        <v>0</v>
      </c>
      <c r="N34" s="106">
        <f t="shared" si="14"/>
        <v>0</v>
      </c>
      <c r="O34" s="106">
        <f t="shared" si="14"/>
        <v>0</v>
      </c>
      <c r="P34" s="106">
        <f t="shared" si="14"/>
        <v>0</v>
      </c>
      <c r="Q34" s="87">
        <f>Q35+Q36</f>
        <v>0</v>
      </c>
    </row>
    <row r="35" spans="1:17" s="55" customFormat="1" ht="20.25" customHeight="1">
      <c r="A35" s="158"/>
      <c r="B35" s="165"/>
      <c r="C35" s="163" t="s">
        <v>85</v>
      </c>
      <c r="D35" s="163"/>
      <c r="E35" s="50" t="s">
        <v>25</v>
      </c>
      <c r="F35" s="50" t="s">
        <v>25</v>
      </c>
      <c r="G35" s="50" t="s">
        <v>25</v>
      </c>
      <c r="H35" s="75">
        <f aca="true" t="shared" si="15" ref="H35:M36">H39+H42</f>
        <v>0</v>
      </c>
      <c r="I35" s="87">
        <f t="shared" si="15"/>
        <v>0</v>
      </c>
      <c r="J35" s="87">
        <f t="shared" si="15"/>
        <v>0</v>
      </c>
      <c r="K35" s="87">
        <f t="shared" si="15"/>
        <v>0</v>
      </c>
      <c r="L35" s="87">
        <f t="shared" si="15"/>
        <v>0</v>
      </c>
      <c r="M35" s="87">
        <f t="shared" si="15"/>
        <v>0</v>
      </c>
      <c r="N35" s="106">
        <f aca="true" t="shared" si="16" ref="N35:P36">N39+N42</f>
        <v>0</v>
      </c>
      <c r="O35" s="106">
        <f t="shared" si="16"/>
        <v>0</v>
      </c>
      <c r="P35" s="106">
        <f t="shared" si="16"/>
        <v>0</v>
      </c>
      <c r="Q35" s="88">
        <f>SUM(I35:P35)</f>
        <v>0</v>
      </c>
    </row>
    <row r="36" spans="1:17" s="55" customFormat="1" ht="20.25" customHeight="1">
      <c r="A36" s="158"/>
      <c r="B36" s="165"/>
      <c r="C36" s="163" t="s">
        <v>86</v>
      </c>
      <c r="D36" s="163"/>
      <c r="E36" s="50" t="s">
        <v>25</v>
      </c>
      <c r="F36" s="50" t="s">
        <v>25</v>
      </c>
      <c r="G36" s="50" t="s">
        <v>25</v>
      </c>
      <c r="H36" s="75">
        <f t="shared" si="15"/>
        <v>0</v>
      </c>
      <c r="I36" s="87">
        <f t="shared" si="15"/>
        <v>0</v>
      </c>
      <c r="J36" s="87">
        <f t="shared" si="15"/>
        <v>0</v>
      </c>
      <c r="K36" s="87">
        <f t="shared" si="15"/>
        <v>0</v>
      </c>
      <c r="L36" s="87">
        <f t="shared" si="15"/>
        <v>0</v>
      </c>
      <c r="M36" s="87">
        <f t="shared" si="15"/>
        <v>0</v>
      </c>
      <c r="N36" s="106">
        <f t="shared" si="16"/>
        <v>0</v>
      </c>
      <c r="O36" s="106">
        <f t="shared" si="16"/>
        <v>0</v>
      </c>
      <c r="P36" s="106">
        <f t="shared" si="16"/>
        <v>0</v>
      </c>
      <c r="Q36" s="88">
        <f>SUM(I36:P36)</f>
        <v>0</v>
      </c>
    </row>
    <row r="37" spans="1:17" ht="14.25">
      <c r="A37" s="158"/>
      <c r="B37" s="165"/>
      <c r="C37" s="159" t="s">
        <v>89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</row>
    <row r="38" spans="1:17" ht="15">
      <c r="A38" s="158"/>
      <c r="B38" s="165"/>
      <c r="C38" s="69" t="s">
        <v>28</v>
      </c>
      <c r="D38" s="70"/>
      <c r="E38" s="74"/>
      <c r="F38" s="74"/>
      <c r="G38" s="74"/>
      <c r="H38" s="75">
        <f aca="true" t="shared" si="17" ref="H38:Q38">H39+H40</f>
        <v>0</v>
      </c>
      <c r="I38" s="87">
        <f t="shared" si="17"/>
        <v>0</v>
      </c>
      <c r="J38" s="87">
        <f t="shared" si="17"/>
        <v>0</v>
      </c>
      <c r="K38" s="87">
        <f t="shared" si="17"/>
        <v>0</v>
      </c>
      <c r="L38" s="87">
        <f t="shared" si="17"/>
        <v>0</v>
      </c>
      <c r="M38" s="87">
        <f t="shared" si="17"/>
        <v>0</v>
      </c>
      <c r="N38" s="106">
        <f>N39+N40</f>
        <v>0</v>
      </c>
      <c r="O38" s="106">
        <f>O39+O40</f>
        <v>0</v>
      </c>
      <c r="P38" s="106">
        <f>P39+P40</f>
        <v>0</v>
      </c>
      <c r="Q38" s="87">
        <f t="shared" si="17"/>
        <v>0</v>
      </c>
    </row>
    <row r="39" spans="1:17" s="46" customFormat="1" ht="18.75" customHeight="1">
      <c r="A39" s="158"/>
      <c r="B39" s="165"/>
      <c r="C39" s="44"/>
      <c r="D39" s="56" t="s">
        <v>85</v>
      </c>
      <c r="E39" s="73" t="s">
        <v>25</v>
      </c>
      <c r="F39" s="73" t="s">
        <v>25</v>
      </c>
      <c r="G39" s="73" t="s">
        <v>25</v>
      </c>
      <c r="H39" s="51"/>
      <c r="I39" s="88"/>
      <c r="J39" s="88"/>
      <c r="K39" s="88"/>
      <c r="L39" s="88"/>
      <c r="M39" s="88"/>
      <c r="N39" s="107"/>
      <c r="O39" s="107"/>
      <c r="P39" s="107"/>
      <c r="Q39" s="88">
        <f>SUM(I39:P39)</f>
        <v>0</v>
      </c>
    </row>
    <row r="40" spans="1:17" s="46" customFormat="1" ht="18.75" customHeight="1">
      <c r="A40" s="158"/>
      <c r="B40" s="165"/>
      <c r="C40" s="44"/>
      <c r="D40" s="53" t="s">
        <v>149</v>
      </c>
      <c r="E40" s="73" t="s">
        <v>25</v>
      </c>
      <c r="F40" s="73" t="s">
        <v>25</v>
      </c>
      <c r="G40" s="73" t="s">
        <v>25</v>
      </c>
      <c r="H40" s="51"/>
      <c r="I40" s="88">
        <f>H40</f>
        <v>0</v>
      </c>
      <c r="J40" s="88"/>
      <c r="K40" s="88"/>
      <c r="L40" s="88"/>
      <c r="M40" s="88"/>
      <c r="N40" s="107"/>
      <c r="O40" s="107"/>
      <c r="P40" s="107"/>
      <c r="Q40" s="88">
        <f>SUM(I40:P40)</f>
        <v>0</v>
      </c>
    </row>
    <row r="41" spans="1:17" ht="15">
      <c r="A41" s="158"/>
      <c r="B41" s="165"/>
      <c r="C41" s="69" t="s">
        <v>37</v>
      </c>
      <c r="D41" s="70"/>
      <c r="E41" s="74"/>
      <c r="F41" s="74"/>
      <c r="G41" s="74"/>
      <c r="H41" s="75">
        <f aca="true" t="shared" si="18" ref="H41:Q41">H42+H43</f>
        <v>0</v>
      </c>
      <c r="I41" s="87">
        <f t="shared" si="18"/>
        <v>0</v>
      </c>
      <c r="J41" s="87">
        <f t="shared" si="18"/>
        <v>0</v>
      </c>
      <c r="K41" s="87">
        <f t="shared" si="18"/>
        <v>0</v>
      </c>
      <c r="L41" s="87">
        <f t="shared" si="18"/>
        <v>0</v>
      </c>
      <c r="M41" s="87">
        <f t="shared" si="18"/>
        <v>0</v>
      </c>
      <c r="N41" s="106">
        <f>N42+N43</f>
        <v>0</v>
      </c>
      <c r="O41" s="106">
        <f>O42+O43</f>
        <v>0</v>
      </c>
      <c r="P41" s="106">
        <f>P42+P43</f>
        <v>0</v>
      </c>
      <c r="Q41" s="87">
        <f t="shared" si="18"/>
        <v>0</v>
      </c>
    </row>
    <row r="42" spans="1:17" s="46" customFormat="1" ht="18" customHeight="1">
      <c r="A42" s="158"/>
      <c r="B42" s="165"/>
      <c r="C42" s="44"/>
      <c r="D42" s="56" t="s">
        <v>85</v>
      </c>
      <c r="E42" s="73" t="s">
        <v>25</v>
      </c>
      <c r="F42" s="73" t="s">
        <v>25</v>
      </c>
      <c r="G42" s="73" t="s">
        <v>25</v>
      </c>
      <c r="H42" s="51"/>
      <c r="I42" s="88"/>
      <c r="J42" s="88"/>
      <c r="K42" s="88"/>
      <c r="L42" s="88"/>
      <c r="M42" s="88"/>
      <c r="N42" s="107"/>
      <c r="O42" s="107"/>
      <c r="P42" s="107"/>
      <c r="Q42" s="88">
        <f>SUM(I42:P42)</f>
        <v>0</v>
      </c>
    </row>
    <row r="43" spans="1:17" s="46" customFormat="1" ht="18" customHeight="1">
      <c r="A43" s="158"/>
      <c r="B43" s="165"/>
      <c r="C43" s="44"/>
      <c r="D43" s="53" t="s">
        <v>149</v>
      </c>
      <c r="E43" s="73" t="s">
        <v>25</v>
      </c>
      <c r="F43" s="73" t="s">
        <v>25</v>
      </c>
      <c r="G43" s="73" t="s">
        <v>25</v>
      </c>
      <c r="H43" s="51"/>
      <c r="I43" s="88">
        <f>H43</f>
        <v>0</v>
      </c>
      <c r="J43" s="88"/>
      <c r="K43" s="88"/>
      <c r="L43" s="88"/>
      <c r="M43" s="88"/>
      <c r="N43" s="107"/>
      <c r="O43" s="107"/>
      <c r="P43" s="107"/>
      <c r="Q43" s="88">
        <f>SUM(I43:P43)</f>
        <v>0</v>
      </c>
    </row>
    <row r="44" spans="1:17" ht="15">
      <c r="A44" s="158"/>
      <c r="B44" s="69"/>
      <c r="C44" s="69" t="s">
        <v>38</v>
      </c>
      <c r="D44" s="70"/>
      <c r="E44" s="74"/>
      <c r="F44" s="74"/>
      <c r="G44" s="74"/>
      <c r="H44" s="75">
        <f aca="true" t="shared" si="19" ref="H44:M44">H45+H46</f>
        <v>0</v>
      </c>
      <c r="I44" s="87">
        <f t="shared" si="19"/>
        <v>0</v>
      </c>
      <c r="J44" s="87">
        <f t="shared" si="19"/>
        <v>0</v>
      </c>
      <c r="K44" s="87">
        <f t="shared" si="19"/>
        <v>0</v>
      </c>
      <c r="L44" s="87">
        <f t="shared" si="19"/>
        <v>0</v>
      </c>
      <c r="M44" s="87">
        <f t="shared" si="19"/>
        <v>0</v>
      </c>
      <c r="N44" s="106">
        <f>N45+N46</f>
        <v>0</v>
      </c>
      <c r="O44" s="106">
        <f>O45+O46</f>
        <v>0</v>
      </c>
      <c r="P44" s="106">
        <f>P45+P46</f>
        <v>0</v>
      </c>
      <c r="Q44" s="87">
        <f>Q45+Q46</f>
        <v>0</v>
      </c>
    </row>
    <row r="45" spans="1:17" s="46" customFormat="1" ht="18" customHeight="1">
      <c r="A45" s="158"/>
      <c r="B45" s="69"/>
      <c r="C45" s="44"/>
      <c r="D45" s="56" t="s">
        <v>85</v>
      </c>
      <c r="E45" s="73" t="s">
        <v>25</v>
      </c>
      <c r="F45" s="73" t="s">
        <v>25</v>
      </c>
      <c r="G45" s="73" t="s">
        <v>25</v>
      </c>
      <c r="H45" s="51"/>
      <c r="I45" s="88"/>
      <c r="J45" s="88"/>
      <c r="K45" s="88"/>
      <c r="L45" s="88"/>
      <c r="M45" s="88"/>
      <c r="N45" s="107"/>
      <c r="O45" s="107"/>
      <c r="P45" s="107"/>
      <c r="Q45" s="88">
        <f>SUM(I45:P45)</f>
        <v>0</v>
      </c>
    </row>
    <row r="46" spans="1:17" s="46" customFormat="1" ht="18" customHeight="1">
      <c r="A46" s="158"/>
      <c r="B46" s="69"/>
      <c r="C46" s="44"/>
      <c r="D46" s="53" t="s">
        <v>149</v>
      </c>
      <c r="E46" s="73" t="s">
        <v>25</v>
      </c>
      <c r="F46" s="73" t="s">
        <v>25</v>
      </c>
      <c r="G46" s="73" t="s">
        <v>25</v>
      </c>
      <c r="H46" s="51"/>
      <c r="I46" s="88">
        <f>H46</f>
        <v>0</v>
      </c>
      <c r="J46" s="88"/>
      <c r="K46" s="88"/>
      <c r="L46" s="88"/>
      <c r="M46" s="88"/>
      <c r="N46" s="107"/>
      <c r="O46" s="107"/>
      <c r="P46" s="107"/>
      <c r="Q46" s="88">
        <f>SUM(I46:P46)</f>
        <v>0</v>
      </c>
    </row>
    <row r="47" spans="1:17" s="8" customFormat="1" ht="79.5" customHeight="1">
      <c r="A47" s="158"/>
      <c r="B47" s="165" t="s">
        <v>95</v>
      </c>
      <c r="C47" s="164" t="s">
        <v>154</v>
      </c>
      <c r="D47" s="164"/>
      <c r="E47" s="50" t="s">
        <v>25</v>
      </c>
      <c r="F47" s="50" t="s">
        <v>25</v>
      </c>
      <c r="G47" s="50" t="s">
        <v>25</v>
      </c>
      <c r="H47" s="75">
        <f>H48+H49</f>
        <v>12756461.2</v>
      </c>
      <c r="I47" s="87">
        <f aca="true" t="shared" si="20" ref="I47:Q47">I48+I49</f>
        <v>1375287.58</v>
      </c>
      <c r="J47" s="87">
        <f t="shared" si="20"/>
        <v>1355663.39</v>
      </c>
      <c r="K47" s="87">
        <f t="shared" si="20"/>
        <v>1384798.21</v>
      </c>
      <c r="L47" s="87">
        <f t="shared" si="20"/>
        <v>1397639.64</v>
      </c>
      <c r="M47" s="87">
        <f t="shared" si="20"/>
        <v>1445073.96</v>
      </c>
      <c r="N47" s="106">
        <f>N48+N49</f>
        <v>1317500</v>
      </c>
      <c r="O47" s="106">
        <f>O48+O49</f>
        <v>1363459</v>
      </c>
      <c r="P47" s="106">
        <f>P48+P49</f>
        <v>1250203</v>
      </c>
      <c r="Q47" s="87">
        <f t="shared" si="20"/>
        <v>10889624.78</v>
      </c>
    </row>
    <row r="48" spans="1:17" s="55" customFormat="1" ht="18.75" customHeight="1">
      <c r="A48" s="158"/>
      <c r="B48" s="165"/>
      <c r="C48" s="163" t="s">
        <v>85</v>
      </c>
      <c r="D48" s="163"/>
      <c r="E48" s="50" t="s">
        <v>25</v>
      </c>
      <c r="F48" s="50" t="s">
        <v>25</v>
      </c>
      <c r="G48" s="50" t="s">
        <v>25</v>
      </c>
      <c r="H48" s="75">
        <f>H52+H55+H58+H61+H64+H67+H70+H73+H76+H79+H82+H85+H88+H91+H94+H97+H100+H103+H106+H109+H112+H115+H118</f>
        <v>12756461.2</v>
      </c>
      <c r="I48" s="87">
        <f aca="true" t="shared" si="21" ref="I48:Q48">I52+I55+I58+I61+I64+I67+I70+I73+I76+I79+I82+I85+I88+I91+I94+I97+I100+I103+I106+I109+I112+I115+I118</f>
        <v>1375287.58</v>
      </c>
      <c r="J48" s="87">
        <f t="shared" si="21"/>
        <v>1355663.39</v>
      </c>
      <c r="K48" s="87">
        <f t="shared" si="21"/>
        <v>1384798.21</v>
      </c>
      <c r="L48" s="87">
        <f t="shared" si="21"/>
        <v>1397639.64</v>
      </c>
      <c r="M48" s="87">
        <f t="shared" si="21"/>
        <v>1445073.96</v>
      </c>
      <c r="N48" s="106">
        <f aca="true" t="shared" si="22" ref="N48:P49">N52+N55+N58+N61+N64+N67+N70+N73+N76+N79+N82+N85+N88+N91+N94+N97+N100+N103+N106+N109+N112+N115+N118</f>
        <v>1317500</v>
      </c>
      <c r="O48" s="106">
        <f t="shared" si="22"/>
        <v>1363459</v>
      </c>
      <c r="P48" s="106">
        <f t="shared" si="22"/>
        <v>1250203</v>
      </c>
      <c r="Q48" s="87">
        <f t="shared" si="21"/>
        <v>10889624.78</v>
      </c>
    </row>
    <row r="49" spans="1:17" s="55" customFormat="1" ht="18.75" customHeight="1">
      <c r="A49" s="158"/>
      <c r="B49" s="165"/>
      <c r="C49" s="163" t="s">
        <v>86</v>
      </c>
      <c r="D49" s="163"/>
      <c r="E49" s="50" t="s">
        <v>25</v>
      </c>
      <c r="F49" s="50" t="s">
        <v>25</v>
      </c>
      <c r="G49" s="50" t="s">
        <v>25</v>
      </c>
      <c r="H49" s="75">
        <f>H53+H56+H59+H62+H65+H68+H71+H74+H77+H80+H83+H86+H89+H92+H95+H98+H101+H104+H107+H110+H113+H116+H119</f>
        <v>0</v>
      </c>
      <c r="I49" s="87">
        <f aca="true" t="shared" si="23" ref="I49:Q49">I53+I56+I59+I62+I65+I68+I71+I74+I77+I80+I83+I86+I89+I92+I95+I98+I101+I104+I107+I110+I113+I116+I119</f>
        <v>0</v>
      </c>
      <c r="J49" s="87">
        <f t="shared" si="23"/>
        <v>0</v>
      </c>
      <c r="K49" s="87">
        <f t="shared" si="23"/>
        <v>0</v>
      </c>
      <c r="L49" s="87">
        <f t="shared" si="23"/>
        <v>0</v>
      </c>
      <c r="M49" s="87">
        <f t="shared" si="23"/>
        <v>0</v>
      </c>
      <c r="N49" s="106">
        <f t="shared" si="22"/>
        <v>0</v>
      </c>
      <c r="O49" s="106">
        <f t="shared" si="22"/>
        <v>0</v>
      </c>
      <c r="P49" s="106">
        <f t="shared" si="22"/>
        <v>0</v>
      </c>
      <c r="Q49" s="87">
        <f t="shared" si="23"/>
        <v>0</v>
      </c>
    </row>
    <row r="50" spans="1:17" ht="14.25">
      <c r="A50" s="158"/>
      <c r="B50" s="165"/>
      <c r="C50" s="159" t="s">
        <v>89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1"/>
    </row>
    <row r="51" spans="1:17" ht="30">
      <c r="A51" s="158"/>
      <c r="B51" s="165"/>
      <c r="C51" s="69" t="s">
        <v>28</v>
      </c>
      <c r="D51" s="70" t="s">
        <v>193</v>
      </c>
      <c r="E51" s="74" t="s">
        <v>200</v>
      </c>
      <c r="F51" s="74"/>
      <c r="G51" s="74"/>
      <c r="H51" s="75">
        <f>H52+H53</f>
        <v>7482.4</v>
      </c>
      <c r="I51" s="87">
        <f aca="true" t="shared" si="24" ref="I51:Q51">I52+I53</f>
        <v>757.62</v>
      </c>
      <c r="J51" s="87">
        <f t="shared" si="24"/>
        <v>784.53</v>
      </c>
      <c r="K51" s="87">
        <f t="shared" si="24"/>
        <v>812.48</v>
      </c>
      <c r="L51" s="87">
        <f t="shared" si="24"/>
        <v>840.42</v>
      </c>
      <c r="M51" s="87">
        <f t="shared" si="24"/>
        <v>869.4</v>
      </c>
      <c r="N51" s="106">
        <f>N52+N53</f>
        <v>0</v>
      </c>
      <c r="O51" s="106">
        <f>O52+O53</f>
        <v>0</v>
      </c>
      <c r="P51" s="106">
        <f>P52+P53</f>
        <v>0</v>
      </c>
      <c r="Q51" s="87">
        <f t="shared" si="24"/>
        <v>4064.4500000000003</v>
      </c>
    </row>
    <row r="52" spans="1:17" s="46" customFormat="1" ht="19.5" customHeight="1">
      <c r="A52" s="158"/>
      <c r="B52" s="165"/>
      <c r="C52" s="44"/>
      <c r="D52" s="53" t="s">
        <v>85</v>
      </c>
      <c r="E52" s="73" t="s">
        <v>25</v>
      </c>
      <c r="F52" s="73" t="s">
        <v>25</v>
      </c>
      <c r="G52" s="73" t="s">
        <v>25</v>
      </c>
      <c r="H52" s="80">
        <v>7482.4</v>
      </c>
      <c r="I52" s="90">
        <v>757.62</v>
      </c>
      <c r="J52" s="90">
        <v>784.53</v>
      </c>
      <c r="K52" s="90">
        <v>812.48</v>
      </c>
      <c r="L52" s="90">
        <v>840.42</v>
      </c>
      <c r="M52" s="90">
        <v>869.4</v>
      </c>
      <c r="N52" s="109"/>
      <c r="O52" s="109"/>
      <c r="P52" s="109"/>
      <c r="Q52" s="88">
        <f>SUM(I52:P52)</f>
        <v>4064.4500000000003</v>
      </c>
    </row>
    <row r="53" spans="1:17" s="46" customFormat="1" ht="19.5" customHeight="1">
      <c r="A53" s="158"/>
      <c r="B53" s="165"/>
      <c r="C53" s="44"/>
      <c r="D53" s="53" t="s">
        <v>149</v>
      </c>
      <c r="E53" s="73" t="s">
        <v>25</v>
      </c>
      <c r="F53" s="73" t="s">
        <v>25</v>
      </c>
      <c r="G53" s="73" t="s">
        <v>25</v>
      </c>
      <c r="H53" s="52"/>
      <c r="I53" s="89"/>
      <c r="J53" s="89"/>
      <c r="K53" s="89"/>
      <c r="L53" s="89"/>
      <c r="M53" s="89"/>
      <c r="N53" s="108"/>
      <c r="O53" s="108"/>
      <c r="P53" s="108"/>
      <c r="Q53" s="88">
        <f>SUM(I53:P53)</f>
        <v>0</v>
      </c>
    </row>
    <row r="54" spans="1:17" s="46" customFormat="1" ht="33.75" customHeight="1">
      <c r="A54" s="158"/>
      <c r="B54" s="165"/>
      <c r="C54" s="69" t="s">
        <v>37</v>
      </c>
      <c r="D54" s="70" t="s">
        <v>194</v>
      </c>
      <c r="E54" s="74" t="s">
        <v>201</v>
      </c>
      <c r="F54" s="74"/>
      <c r="G54" s="74"/>
      <c r="H54" s="75">
        <f>H55+H56</f>
        <v>12858.78</v>
      </c>
      <c r="I54" s="87">
        <f aca="true" t="shared" si="25" ref="I54:Q54">I55+I56</f>
        <v>1318.26</v>
      </c>
      <c r="J54" s="87">
        <f t="shared" si="25"/>
        <v>1364.4</v>
      </c>
      <c r="K54" s="87">
        <f t="shared" si="25"/>
        <v>1412.15</v>
      </c>
      <c r="L54" s="87">
        <f t="shared" si="25"/>
        <v>1461.58</v>
      </c>
      <c r="M54" s="87">
        <f t="shared" si="25"/>
        <v>1512.74</v>
      </c>
      <c r="N54" s="106">
        <f>N55+N56</f>
        <v>0</v>
      </c>
      <c r="O54" s="106">
        <f>O55+O56</f>
        <v>0</v>
      </c>
      <c r="P54" s="106">
        <f>P55+P56</f>
        <v>0</v>
      </c>
      <c r="Q54" s="87">
        <f t="shared" si="25"/>
        <v>7069.129999999999</v>
      </c>
    </row>
    <row r="55" spans="1:17" s="46" customFormat="1" ht="19.5" customHeight="1">
      <c r="A55" s="158"/>
      <c r="B55" s="165"/>
      <c r="C55" s="44"/>
      <c r="D55" s="53" t="s">
        <v>85</v>
      </c>
      <c r="E55" s="73" t="s">
        <v>25</v>
      </c>
      <c r="F55" s="73" t="s">
        <v>25</v>
      </c>
      <c r="G55" s="73" t="s">
        <v>25</v>
      </c>
      <c r="H55" s="80">
        <v>12858.78</v>
      </c>
      <c r="I55" s="90">
        <v>1318.26</v>
      </c>
      <c r="J55" s="90">
        <v>1364.4</v>
      </c>
      <c r="K55" s="90">
        <v>1412.15</v>
      </c>
      <c r="L55" s="90">
        <v>1461.58</v>
      </c>
      <c r="M55" s="90">
        <v>1512.74</v>
      </c>
      <c r="N55" s="109"/>
      <c r="O55" s="109"/>
      <c r="P55" s="109"/>
      <c r="Q55" s="88">
        <f>SUM(I55:P55)</f>
        <v>7069.129999999999</v>
      </c>
    </row>
    <row r="56" spans="1:17" s="46" customFormat="1" ht="19.5" customHeight="1">
      <c r="A56" s="158"/>
      <c r="B56" s="165"/>
      <c r="C56" s="44"/>
      <c r="D56" s="53" t="s">
        <v>149</v>
      </c>
      <c r="E56" s="73" t="s">
        <v>25</v>
      </c>
      <c r="F56" s="73" t="s">
        <v>25</v>
      </c>
      <c r="G56" s="73" t="s">
        <v>25</v>
      </c>
      <c r="H56" s="52"/>
      <c r="I56" s="89"/>
      <c r="J56" s="89"/>
      <c r="K56" s="89"/>
      <c r="L56" s="89"/>
      <c r="M56" s="89"/>
      <c r="N56" s="108"/>
      <c r="O56" s="108"/>
      <c r="P56" s="108"/>
      <c r="Q56" s="88">
        <f>SUM(I56:P56)</f>
        <v>0</v>
      </c>
    </row>
    <row r="57" spans="1:17" s="46" customFormat="1" ht="37.5" customHeight="1">
      <c r="A57" s="158"/>
      <c r="B57" s="165"/>
      <c r="C57" s="69" t="s">
        <v>38</v>
      </c>
      <c r="D57" s="70" t="s">
        <v>195</v>
      </c>
      <c r="E57" s="74" t="s">
        <v>201</v>
      </c>
      <c r="F57" s="74"/>
      <c r="G57" s="74"/>
      <c r="H57" s="75">
        <f>H58+H59</f>
        <v>8148.88</v>
      </c>
      <c r="I57" s="87">
        <f aca="true" t="shared" si="26" ref="I57:Q57">I58+I59</f>
        <v>870.27</v>
      </c>
      <c r="J57" s="87">
        <f t="shared" si="26"/>
        <v>900.73</v>
      </c>
      <c r="K57" s="87">
        <f t="shared" si="26"/>
        <v>932.26</v>
      </c>
      <c r="L57" s="87">
        <f t="shared" si="26"/>
        <v>964.89</v>
      </c>
      <c r="M57" s="87">
        <f t="shared" si="26"/>
        <v>998.66</v>
      </c>
      <c r="N57" s="106">
        <f>N58+N59</f>
        <v>0</v>
      </c>
      <c r="O57" s="106">
        <f>O58+O59</f>
        <v>0</v>
      </c>
      <c r="P57" s="106">
        <f>P58+P59</f>
        <v>0</v>
      </c>
      <c r="Q57" s="87">
        <f t="shared" si="26"/>
        <v>4666.81</v>
      </c>
    </row>
    <row r="58" spans="1:17" s="46" customFormat="1" ht="19.5" customHeight="1">
      <c r="A58" s="158"/>
      <c r="B58" s="165"/>
      <c r="C58" s="44"/>
      <c r="D58" s="53" t="s">
        <v>85</v>
      </c>
      <c r="E58" s="73" t="s">
        <v>25</v>
      </c>
      <c r="F58" s="73" t="s">
        <v>25</v>
      </c>
      <c r="G58" s="73" t="s">
        <v>25</v>
      </c>
      <c r="H58" s="80">
        <v>8148.88</v>
      </c>
      <c r="I58" s="90">
        <v>870.27</v>
      </c>
      <c r="J58" s="90">
        <v>900.73</v>
      </c>
      <c r="K58" s="90">
        <v>932.26</v>
      </c>
      <c r="L58" s="90">
        <v>964.89</v>
      </c>
      <c r="M58" s="90">
        <v>998.66</v>
      </c>
      <c r="N58" s="109"/>
      <c r="O58" s="109"/>
      <c r="P58" s="109"/>
      <c r="Q58" s="88">
        <f>SUM(I58:P58)</f>
        <v>4666.81</v>
      </c>
    </row>
    <row r="59" spans="1:17" s="46" customFormat="1" ht="19.5" customHeight="1">
      <c r="A59" s="158"/>
      <c r="B59" s="165"/>
      <c r="C59" s="44"/>
      <c r="D59" s="53" t="s">
        <v>149</v>
      </c>
      <c r="E59" s="73" t="s">
        <v>25</v>
      </c>
      <c r="F59" s="73" t="s">
        <v>25</v>
      </c>
      <c r="G59" s="73" t="s">
        <v>25</v>
      </c>
      <c r="H59" s="52"/>
      <c r="I59" s="89"/>
      <c r="J59" s="89"/>
      <c r="K59" s="89"/>
      <c r="L59" s="89"/>
      <c r="M59" s="89"/>
      <c r="N59" s="108"/>
      <c r="O59" s="108"/>
      <c r="P59" s="108"/>
      <c r="Q59" s="88">
        <f>SUM(I59:P59)</f>
        <v>0</v>
      </c>
    </row>
    <row r="60" spans="1:17" s="46" customFormat="1" ht="31.5" customHeight="1">
      <c r="A60" s="158"/>
      <c r="B60" s="165"/>
      <c r="C60" s="69" t="s">
        <v>160</v>
      </c>
      <c r="D60" s="70" t="s">
        <v>199</v>
      </c>
      <c r="E60" s="74" t="s">
        <v>201</v>
      </c>
      <c r="F60" s="74"/>
      <c r="G60" s="74"/>
      <c r="H60" s="75">
        <f>H61+H62</f>
        <v>60360.1</v>
      </c>
      <c r="I60" s="87">
        <f aca="true" t="shared" si="27" ref="I60:Q60">I61+I62</f>
        <v>15411.09</v>
      </c>
      <c r="J60" s="87">
        <f t="shared" si="27"/>
        <v>15411.09</v>
      </c>
      <c r="K60" s="87">
        <f t="shared" si="27"/>
        <v>15411.09</v>
      </c>
      <c r="L60" s="87">
        <f t="shared" si="27"/>
        <v>1284.26</v>
      </c>
      <c r="M60" s="87">
        <f t="shared" si="27"/>
        <v>0</v>
      </c>
      <c r="N60" s="106">
        <f>N61+N62</f>
        <v>0</v>
      </c>
      <c r="O60" s="106">
        <f>O61+O62</f>
        <v>0</v>
      </c>
      <c r="P60" s="106">
        <f>P61+P62</f>
        <v>0</v>
      </c>
      <c r="Q60" s="87">
        <f t="shared" si="27"/>
        <v>47517.530000000006</v>
      </c>
    </row>
    <row r="61" spans="1:17" s="46" customFormat="1" ht="19.5" customHeight="1">
      <c r="A61" s="158"/>
      <c r="B61" s="165"/>
      <c r="C61" s="44"/>
      <c r="D61" s="53" t="s">
        <v>85</v>
      </c>
      <c r="E61" s="73" t="s">
        <v>25</v>
      </c>
      <c r="F61" s="73" t="s">
        <v>25</v>
      </c>
      <c r="G61" s="73" t="s">
        <v>25</v>
      </c>
      <c r="H61" s="80">
        <v>60360.1</v>
      </c>
      <c r="I61" s="90">
        <v>15411.09</v>
      </c>
      <c r="J61" s="90">
        <v>15411.09</v>
      </c>
      <c r="K61" s="90">
        <v>15411.09</v>
      </c>
      <c r="L61" s="90">
        <v>1284.26</v>
      </c>
      <c r="M61" s="90">
        <v>0</v>
      </c>
      <c r="N61" s="109">
        <v>0</v>
      </c>
      <c r="O61" s="109">
        <v>0</v>
      </c>
      <c r="P61" s="109">
        <v>0</v>
      </c>
      <c r="Q61" s="88">
        <f>SUM(I61:P61)</f>
        <v>47517.530000000006</v>
      </c>
    </row>
    <row r="62" spans="1:17" s="46" customFormat="1" ht="19.5" customHeight="1">
      <c r="A62" s="158"/>
      <c r="B62" s="165"/>
      <c r="C62" s="44"/>
      <c r="D62" s="53" t="s">
        <v>149</v>
      </c>
      <c r="E62" s="73" t="s">
        <v>25</v>
      </c>
      <c r="F62" s="73" t="s">
        <v>25</v>
      </c>
      <c r="G62" s="73" t="s">
        <v>25</v>
      </c>
      <c r="H62" s="52"/>
      <c r="I62" s="89"/>
      <c r="J62" s="89"/>
      <c r="K62" s="89"/>
      <c r="L62" s="89"/>
      <c r="M62" s="89"/>
      <c r="N62" s="108"/>
      <c r="O62" s="108"/>
      <c r="P62" s="108"/>
      <c r="Q62" s="88">
        <f>SUM(I62:P62)</f>
        <v>0</v>
      </c>
    </row>
    <row r="63" spans="1:17" s="46" customFormat="1" ht="36" customHeight="1">
      <c r="A63" s="158"/>
      <c r="B63" s="165"/>
      <c r="C63" s="69" t="s">
        <v>161</v>
      </c>
      <c r="D63" s="70" t="s">
        <v>196</v>
      </c>
      <c r="E63" s="74" t="s">
        <v>201</v>
      </c>
      <c r="F63" s="74"/>
      <c r="G63" s="74"/>
      <c r="H63" s="75">
        <f>H64+H65</f>
        <v>25905.11</v>
      </c>
      <c r="I63" s="87">
        <f aca="true" t="shared" si="28" ref="I63:Q63">I64+I65</f>
        <v>3105</v>
      </c>
      <c r="J63" s="87">
        <f t="shared" si="28"/>
        <v>3213.68</v>
      </c>
      <c r="K63" s="87">
        <f t="shared" si="28"/>
        <v>3326.16</v>
      </c>
      <c r="L63" s="87">
        <f t="shared" si="28"/>
        <v>3442.58</v>
      </c>
      <c r="M63" s="87">
        <f t="shared" si="28"/>
        <v>3563.07</v>
      </c>
      <c r="N63" s="106">
        <f>N64+N65</f>
        <v>0</v>
      </c>
      <c r="O63" s="106">
        <f>O64+O65</f>
        <v>0</v>
      </c>
      <c r="P63" s="106">
        <f>P64+P65</f>
        <v>0</v>
      </c>
      <c r="Q63" s="87">
        <f t="shared" si="28"/>
        <v>16650.49</v>
      </c>
    </row>
    <row r="64" spans="1:17" s="46" customFormat="1" ht="19.5" customHeight="1">
      <c r="A64" s="158"/>
      <c r="B64" s="165"/>
      <c r="C64" s="44"/>
      <c r="D64" s="53" t="s">
        <v>85</v>
      </c>
      <c r="E64" s="73" t="s">
        <v>25</v>
      </c>
      <c r="F64" s="73" t="s">
        <v>25</v>
      </c>
      <c r="G64" s="73" t="s">
        <v>25</v>
      </c>
      <c r="H64" s="80">
        <v>25905.11</v>
      </c>
      <c r="I64" s="90">
        <v>3105</v>
      </c>
      <c r="J64" s="90">
        <v>3213.68</v>
      </c>
      <c r="K64" s="90">
        <v>3326.16</v>
      </c>
      <c r="L64" s="90">
        <v>3442.58</v>
      </c>
      <c r="M64" s="90">
        <v>3563.07</v>
      </c>
      <c r="N64" s="109"/>
      <c r="O64" s="109"/>
      <c r="P64" s="109"/>
      <c r="Q64" s="88">
        <f>SUM(I64:P64)</f>
        <v>16650.49</v>
      </c>
    </row>
    <row r="65" spans="1:17" s="46" customFormat="1" ht="19.5" customHeight="1">
      <c r="A65" s="158"/>
      <c r="B65" s="165"/>
      <c r="C65" s="44"/>
      <c r="D65" s="53" t="s">
        <v>149</v>
      </c>
      <c r="E65" s="73" t="s">
        <v>25</v>
      </c>
      <c r="F65" s="73" t="s">
        <v>25</v>
      </c>
      <c r="G65" s="73" t="s">
        <v>25</v>
      </c>
      <c r="H65" s="52"/>
      <c r="I65" s="89"/>
      <c r="J65" s="89"/>
      <c r="K65" s="89"/>
      <c r="L65" s="89"/>
      <c r="M65" s="89"/>
      <c r="N65" s="108"/>
      <c r="O65" s="108"/>
      <c r="P65" s="108"/>
      <c r="Q65" s="88">
        <f>SUM(I65:P65)</f>
        <v>0</v>
      </c>
    </row>
    <row r="66" spans="1:17" s="46" customFormat="1" ht="35.25" customHeight="1">
      <c r="A66" s="158"/>
      <c r="B66" s="165"/>
      <c r="C66" s="69" t="s">
        <v>162</v>
      </c>
      <c r="D66" s="70" t="s">
        <v>197</v>
      </c>
      <c r="E66" s="74" t="s">
        <v>201</v>
      </c>
      <c r="F66" s="74"/>
      <c r="G66" s="74"/>
      <c r="H66" s="75">
        <f>H67+H68</f>
        <v>45524.93</v>
      </c>
      <c r="I66" s="87">
        <f aca="true" t="shared" si="29" ref="I66:Q66">I67+I68</f>
        <v>5303.34</v>
      </c>
      <c r="J66" s="87">
        <f t="shared" si="29"/>
        <v>5488.96</v>
      </c>
      <c r="K66" s="87">
        <f t="shared" si="29"/>
        <v>5681.07</v>
      </c>
      <c r="L66" s="87">
        <f t="shared" si="29"/>
        <v>5879.91</v>
      </c>
      <c r="M66" s="87">
        <f t="shared" si="29"/>
        <v>6085.09</v>
      </c>
      <c r="N66" s="106">
        <f>N67+N68</f>
        <v>0</v>
      </c>
      <c r="O66" s="106">
        <f>O67+O68</f>
        <v>0</v>
      </c>
      <c r="P66" s="106">
        <f>P67+P68</f>
        <v>0</v>
      </c>
      <c r="Q66" s="87">
        <f t="shared" si="29"/>
        <v>28438.37</v>
      </c>
    </row>
    <row r="67" spans="1:17" s="46" customFormat="1" ht="19.5" customHeight="1">
      <c r="A67" s="158"/>
      <c r="B67" s="165"/>
      <c r="C67" s="44"/>
      <c r="D67" s="53" t="s">
        <v>85</v>
      </c>
      <c r="E67" s="73" t="s">
        <v>25</v>
      </c>
      <c r="F67" s="73" t="s">
        <v>25</v>
      </c>
      <c r="G67" s="73" t="s">
        <v>25</v>
      </c>
      <c r="H67" s="80">
        <v>45524.93</v>
      </c>
      <c r="I67" s="90">
        <v>5303.34</v>
      </c>
      <c r="J67" s="90">
        <v>5488.96</v>
      </c>
      <c r="K67" s="90">
        <v>5681.07</v>
      </c>
      <c r="L67" s="90">
        <v>5879.91</v>
      </c>
      <c r="M67" s="90">
        <v>6085.09</v>
      </c>
      <c r="N67" s="109"/>
      <c r="O67" s="109"/>
      <c r="P67" s="109"/>
      <c r="Q67" s="88">
        <f>SUM(I67:P67)</f>
        <v>28438.37</v>
      </c>
    </row>
    <row r="68" spans="1:17" s="46" customFormat="1" ht="19.5" customHeight="1">
      <c r="A68" s="158"/>
      <c r="B68" s="165"/>
      <c r="C68" s="44"/>
      <c r="D68" s="53" t="s">
        <v>149</v>
      </c>
      <c r="E68" s="73"/>
      <c r="F68" s="73" t="s">
        <v>25</v>
      </c>
      <c r="G68" s="73" t="s">
        <v>25</v>
      </c>
      <c r="H68" s="52"/>
      <c r="I68" s="89"/>
      <c r="J68" s="89"/>
      <c r="K68" s="89"/>
      <c r="L68" s="89"/>
      <c r="M68" s="89"/>
      <c r="N68" s="108"/>
      <c r="O68" s="108"/>
      <c r="P68" s="108"/>
      <c r="Q68" s="88">
        <f>SUM(I68:P68)</f>
        <v>0</v>
      </c>
    </row>
    <row r="69" spans="1:17" s="46" customFormat="1" ht="37.5" customHeight="1">
      <c r="A69" s="158"/>
      <c r="B69" s="165"/>
      <c r="C69" s="69" t="s">
        <v>163</v>
      </c>
      <c r="D69" s="70" t="s">
        <v>198</v>
      </c>
      <c r="E69" s="74" t="s">
        <v>202</v>
      </c>
      <c r="F69" s="74"/>
      <c r="G69" s="74"/>
      <c r="H69" s="75">
        <f>H70+H71</f>
        <v>31228</v>
      </c>
      <c r="I69" s="87">
        <f aca="true" t="shared" si="30" ref="I69:Q69">I70+I71</f>
        <v>7862</v>
      </c>
      <c r="J69" s="87">
        <f t="shared" si="30"/>
        <v>7862</v>
      </c>
      <c r="K69" s="87">
        <f t="shared" si="30"/>
        <v>1310</v>
      </c>
      <c r="L69" s="87">
        <f t="shared" si="30"/>
        <v>0</v>
      </c>
      <c r="M69" s="87">
        <f t="shared" si="30"/>
        <v>0</v>
      </c>
      <c r="N69" s="106">
        <f>N70+N71</f>
        <v>0</v>
      </c>
      <c r="O69" s="106">
        <f>O70+O71</f>
        <v>0</v>
      </c>
      <c r="P69" s="106">
        <f>P70+P71</f>
        <v>0</v>
      </c>
      <c r="Q69" s="87">
        <f t="shared" si="30"/>
        <v>17034</v>
      </c>
    </row>
    <row r="70" spans="1:17" s="46" customFormat="1" ht="19.5" customHeight="1">
      <c r="A70" s="158"/>
      <c r="B70" s="165"/>
      <c r="C70" s="44"/>
      <c r="D70" s="53" t="s">
        <v>85</v>
      </c>
      <c r="E70" s="73" t="s">
        <v>25</v>
      </c>
      <c r="F70" s="73" t="s">
        <v>25</v>
      </c>
      <c r="G70" s="73" t="s">
        <v>25</v>
      </c>
      <c r="H70" s="80">
        <v>31228</v>
      </c>
      <c r="I70" s="91">
        <v>7862</v>
      </c>
      <c r="J70" s="91">
        <v>7862</v>
      </c>
      <c r="K70" s="91">
        <v>1310</v>
      </c>
      <c r="L70" s="91">
        <v>0</v>
      </c>
      <c r="M70" s="91">
        <v>0</v>
      </c>
      <c r="N70" s="110">
        <v>0</v>
      </c>
      <c r="O70" s="110">
        <v>0</v>
      </c>
      <c r="P70" s="110">
        <v>0</v>
      </c>
      <c r="Q70" s="88">
        <f>SUM(I70:P70)</f>
        <v>17034</v>
      </c>
    </row>
    <row r="71" spans="1:17" s="46" customFormat="1" ht="19.5" customHeight="1">
      <c r="A71" s="158"/>
      <c r="B71" s="165"/>
      <c r="C71" s="44"/>
      <c r="D71" s="53" t="s">
        <v>149</v>
      </c>
      <c r="E71" s="73" t="s">
        <v>25</v>
      </c>
      <c r="F71" s="73" t="s">
        <v>25</v>
      </c>
      <c r="G71" s="73" t="s">
        <v>25</v>
      </c>
      <c r="H71" s="52"/>
      <c r="I71" s="89"/>
      <c r="J71" s="89"/>
      <c r="K71" s="89"/>
      <c r="L71" s="89"/>
      <c r="M71" s="89"/>
      <c r="N71" s="108"/>
      <c r="O71" s="108"/>
      <c r="P71" s="108"/>
      <c r="Q71" s="88">
        <f>SUM(I71:P71)</f>
        <v>0</v>
      </c>
    </row>
    <row r="72" spans="1:17" s="46" customFormat="1" ht="42" customHeight="1">
      <c r="A72" s="158"/>
      <c r="B72" s="165"/>
      <c r="C72" s="69" t="s">
        <v>164</v>
      </c>
      <c r="D72" s="70" t="s">
        <v>208</v>
      </c>
      <c r="E72" s="74" t="s">
        <v>201</v>
      </c>
      <c r="F72" s="74"/>
      <c r="G72" s="74"/>
      <c r="H72" s="75">
        <f>H73+H74</f>
        <v>11712</v>
      </c>
      <c r="I72" s="87">
        <f aca="true" t="shared" si="31" ref="I72:Q72">I73+I74</f>
        <v>488</v>
      </c>
      <c r="J72" s="87">
        <f t="shared" si="31"/>
        <v>0</v>
      </c>
      <c r="K72" s="87">
        <f t="shared" si="31"/>
        <v>0</v>
      </c>
      <c r="L72" s="87">
        <f t="shared" si="31"/>
        <v>0</v>
      </c>
      <c r="M72" s="87">
        <f t="shared" si="31"/>
        <v>0</v>
      </c>
      <c r="N72" s="106">
        <f>N73+N74</f>
        <v>0</v>
      </c>
      <c r="O72" s="106">
        <f>O73+O74</f>
        <v>0</v>
      </c>
      <c r="P72" s="106">
        <f>P73+P74</f>
        <v>0</v>
      </c>
      <c r="Q72" s="87">
        <f t="shared" si="31"/>
        <v>488</v>
      </c>
    </row>
    <row r="73" spans="1:17" s="46" customFormat="1" ht="19.5" customHeight="1">
      <c r="A73" s="158"/>
      <c r="B73" s="165"/>
      <c r="C73" s="44"/>
      <c r="D73" s="53" t="s">
        <v>85</v>
      </c>
      <c r="E73" s="73" t="s">
        <v>25</v>
      </c>
      <c r="F73" s="73" t="s">
        <v>25</v>
      </c>
      <c r="G73" s="73" t="s">
        <v>25</v>
      </c>
      <c r="H73" s="80">
        <v>11712</v>
      </c>
      <c r="I73" s="91">
        <v>488</v>
      </c>
      <c r="J73" s="90">
        <v>0</v>
      </c>
      <c r="K73" s="90">
        <v>0</v>
      </c>
      <c r="L73" s="90">
        <v>0</v>
      </c>
      <c r="M73" s="90">
        <v>0</v>
      </c>
      <c r="N73" s="109">
        <v>0</v>
      </c>
      <c r="O73" s="109">
        <v>0</v>
      </c>
      <c r="P73" s="109">
        <v>0</v>
      </c>
      <c r="Q73" s="88">
        <f>SUM(I73:P73)</f>
        <v>488</v>
      </c>
    </row>
    <row r="74" spans="1:17" s="46" customFormat="1" ht="19.5" customHeight="1">
      <c r="A74" s="158"/>
      <c r="B74" s="165"/>
      <c r="C74" s="44"/>
      <c r="D74" s="53" t="s">
        <v>149</v>
      </c>
      <c r="E74" s="73" t="s">
        <v>25</v>
      </c>
      <c r="F74" s="73" t="s">
        <v>25</v>
      </c>
      <c r="G74" s="73" t="s">
        <v>25</v>
      </c>
      <c r="H74" s="52"/>
      <c r="I74" s="89"/>
      <c r="J74" s="89"/>
      <c r="K74" s="89"/>
      <c r="L74" s="89"/>
      <c r="M74" s="89"/>
      <c r="N74" s="108"/>
      <c r="O74" s="108"/>
      <c r="P74" s="108"/>
      <c r="Q74" s="88">
        <f>SUM(I74:P74)</f>
        <v>0</v>
      </c>
    </row>
    <row r="75" spans="1:17" s="46" customFormat="1" ht="49.5" customHeight="1">
      <c r="A75" s="158"/>
      <c r="B75" s="165"/>
      <c r="C75" s="69" t="s">
        <v>165</v>
      </c>
      <c r="D75" s="70" t="s">
        <v>206</v>
      </c>
      <c r="E75" s="74" t="s">
        <v>201</v>
      </c>
      <c r="F75" s="74"/>
      <c r="G75" s="74"/>
      <c r="H75" s="75">
        <f>H76+H77</f>
        <v>8346</v>
      </c>
      <c r="I75" s="87">
        <f aca="true" t="shared" si="32" ref="I75:Q75">I76+I77</f>
        <v>2782</v>
      </c>
      <c r="J75" s="87">
        <f t="shared" si="32"/>
        <v>1159</v>
      </c>
      <c r="K75" s="87">
        <f t="shared" si="32"/>
        <v>0</v>
      </c>
      <c r="L75" s="87">
        <f t="shared" si="32"/>
        <v>0</v>
      </c>
      <c r="M75" s="87">
        <f t="shared" si="32"/>
        <v>0</v>
      </c>
      <c r="N75" s="106">
        <f>N76+N77</f>
        <v>0</v>
      </c>
      <c r="O75" s="106">
        <f>O76+O77</f>
        <v>0</v>
      </c>
      <c r="P75" s="106">
        <f>P76+P77</f>
        <v>0</v>
      </c>
      <c r="Q75" s="87">
        <f t="shared" si="32"/>
        <v>3941</v>
      </c>
    </row>
    <row r="76" spans="1:17" s="46" customFormat="1" ht="19.5" customHeight="1">
      <c r="A76" s="158"/>
      <c r="B76" s="165"/>
      <c r="C76" s="44"/>
      <c r="D76" s="53" t="s">
        <v>85</v>
      </c>
      <c r="E76" s="73" t="s">
        <v>25</v>
      </c>
      <c r="F76" s="73" t="s">
        <v>25</v>
      </c>
      <c r="G76" s="73" t="s">
        <v>25</v>
      </c>
      <c r="H76" s="80">
        <v>8346</v>
      </c>
      <c r="I76" s="92">
        <v>2782</v>
      </c>
      <c r="J76" s="92">
        <v>1159</v>
      </c>
      <c r="K76" s="90">
        <v>0</v>
      </c>
      <c r="L76" s="90">
        <v>0</v>
      </c>
      <c r="M76" s="90">
        <v>0</v>
      </c>
      <c r="N76" s="109">
        <v>0</v>
      </c>
      <c r="O76" s="109">
        <v>0</v>
      </c>
      <c r="P76" s="109">
        <v>0</v>
      </c>
      <c r="Q76" s="88">
        <f>SUM(I76:P76)</f>
        <v>3941</v>
      </c>
    </row>
    <row r="77" spans="1:17" s="46" customFormat="1" ht="19.5" customHeight="1">
      <c r="A77" s="158"/>
      <c r="B77" s="165"/>
      <c r="C77" s="44"/>
      <c r="D77" s="53" t="s">
        <v>149</v>
      </c>
      <c r="E77" s="73" t="s">
        <v>25</v>
      </c>
      <c r="F77" s="73" t="s">
        <v>25</v>
      </c>
      <c r="G77" s="73" t="s">
        <v>25</v>
      </c>
      <c r="H77" s="52"/>
      <c r="I77" s="89"/>
      <c r="J77" s="89"/>
      <c r="K77" s="89"/>
      <c r="L77" s="89"/>
      <c r="M77" s="89"/>
      <c r="N77" s="108"/>
      <c r="O77" s="108"/>
      <c r="P77" s="108"/>
      <c r="Q77" s="88">
        <f>SUM(I77:P77)</f>
        <v>0</v>
      </c>
    </row>
    <row r="78" spans="1:17" s="46" customFormat="1" ht="60.75" customHeight="1">
      <c r="A78" s="158"/>
      <c r="B78" s="165"/>
      <c r="C78" s="69" t="s">
        <v>166</v>
      </c>
      <c r="D78" s="70" t="s">
        <v>207</v>
      </c>
      <c r="E78" s="74" t="s">
        <v>201</v>
      </c>
      <c r="F78" s="74"/>
      <c r="G78" s="74"/>
      <c r="H78" s="75">
        <f>H79+H80</f>
        <v>11285</v>
      </c>
      <c r="I78" s="87">
        <f aca="true" t="shared" si="33" ref="I78:Q78">I79+I80</f>
        <v>3806</v>
      </c>
      <c r="J78" s="87">
        <f t="shared" si="33"/>
        <v>184</v>
      </c>
      <c r="K78" s="87">
        <f t="shared" si="33"/>
        <v>0</v>
      </c>
      <c r="L78" s="87">
        <f t="shared" si="33"/>
        <v>0</v>
      </c>
      <c r="M78" s="87">
        <f t="shared" si="33"/>
        <v>0</v>
      </c>
      <c r="N78" s="106">
        <f>N79+N80</f>
        <v>0</v>
      </c>
      <c r="O78" s="106">
        <f>O79+O80</f>
        <v>0</v>
      </c>
      <c r="P78" s="106">
        <f>P79+P80</f>
        <v>0</v>
      </c>
      <c r="Q78" s="87">
        <f t="shared" si="33"/>
        <v>3990</v>
      </c>
    </row>
    <row r="79" spans="1:17" s="46" customFormat="1" ht="19.5" customHeight="1">
      <c r="A79" s="158"/>
      <c r="B79" s="165"/>
      <c r="C79" s="44"/>
      <c r="D79" s="53" t="s">
        <v>85</v>
      </c>
      <c r="E79" s="73"/>
      <c r="F79" s="73" t="s">
        <v>25</v>
      </c>
      <c r="G79" s="73" t="s">
        <v>25</v>
      </c>
      <c r="H79" s="80">
        <v>11285</v>
      </c>
      <c r="I79" s="92">
        <v>3806</v>
      </c>
      <c r="J79" s="92">
        <v>184</v>
      </c>
      <c r="K79" s="93">
        <v>0</v>
      </c>
      <c r="L79" s="93">
        <v>0</v>
      </c>
      <c r="M79" s="93">
        <v>0</v>
      </c>
      <c r="N79" s="111">
        <v>0</v>
      </c>
      <c r="O79" s="111">
        <v>0</v>
      </c>
      <c r="P79" s="111">
        <v>0</v>
      </c>
      <c r="Q79" s="88">
        <f>SUM(I79:P79)</f>
        <v>3990</v>
      </c>
    </row>
    <row r="80" spans="1:17" s="46" customFormat="1" ht="19.5" customHeight="1">
      <c r="A80" s="158"/>
      <c r="B80" s="165"/>
      <c r="C80" s="44"/>
      <c r="D80" s="53" t="s">
        <v>149</v>
      </c>
      <c r="E80" s="73" t="s">
        <v>25</v>
      </c>
      <c r="F80" s="73" t="s">
        <v>25</v>
      </c>
      <c r="G80" s="73" t="s">
        <v>25</v>
      </c>
      <c r="H80" s="52"/>
      <c r="I80" s="89"/>
      <c r="J80" s="89"/>
      <c r="K80" s="89"/>
      <c r="L80" s="89"/>
      <c r="M80" s="89"/>
      <c r="N80" s="108"/>
      <c r="O80" s="108"/>
      <c r="P80" s="108"/>
      <c r="Q80" s="88">
        <f>SUM(I80:P80)</f>
        <v>0</v>
      </c>
    </row>
    <row r="81" spans="1:17" s="46" customFormat="1" ht="45" customHeight="1">
      <c r="A81" s="158"/>
      <c r="B81" s="165"/>
      <c r="C81" s="69" t="s">
        <v>167</v>
      </c>
      <c r="D81" s="70" t="s">
        <v>205</v>
      </c>
      <c r="E81" s="74"/>
      <c r="F81" s="74"/>
      <c r="G81" s="74"/>
      <c r="H81" s="75">
        <v>45018</v>
      </c>
      <c r="I81" s="87">
        <f aca="true" t="shared" si="34" ref="I81:Q81">I82+I83</f>
        <v>4392</v>
      </c>
      <c r="J81" s="87">
        <f t="shared" si="34"/>
        <v>4392</v>
      </c>
      <c r="K81" s="87">
        <f t="shared" si="34"/>
        <v>4392</v>
      </c>
      <c r="L81" s="87">
        <f t="shared" si="34"/>
        <v>4392</v>
      </c>
      <c r="M81" s="87">
        <f t="shared" si="34"/>
        <v>4392</v>
      </c>
      <c r="N81" s="106">
        <f>N82+N83</f>
        <v>4392</v>
      </c>
      <c r="O81" s="106">
        <f>O82+O83</f>
        <v>4392</v>
      </c>
      <c r="P81" s="106">
        <f>P82+P83</f>
        <v>4392</v>
      </c>
      <c r="Q81" s="87">
        <f t="shared" si="34"/>
        <v>35136</v>
      </c>
    </row>
    <row r="82" spans="1:17" s="46" customFormat="1" ht="19.5" customHeight="1">
      <c r="A82" s="158"/>
      <c r="B82" s="165"/>
      <c r="C82" s="44"/>
      <c r="D82" s="53" t="s">
        <v>85</v>
      </c>
      <c r="E82" s="73" t="s">
        <v>25</v>
      </c>
      <c r="F82" s="73" t="s">
        <v>25</v>
      </c>
      <c r="G82" s="73" t="s">
        <v>25</v>
      </c>
      <c r="H82" s="80">
        <f>Q82</f>
        <v>35136</v>
      </c>
      <c r="I82" s="92">
        <v>4392</v>
      </c>
      <c r="J82" s="92">
        <v>4392</v>
      </c>
      <c r="K82" s="92">
        <v>4392</v>
      </c>
      <c r="L82" s="92">
        <v>4392</v>
      </c>
      <c r="M82" s="92">
        <v>4392</v>
      </c>
      <c r="N82" s="112">
        <v>4392</v>
      </c>
      <c r="O82" s="112">
        <v>4392</v>
      </c>
      <c r="P82" s="112">
        <v>4392</v>
      </c>
      <c r="Q82" s="88">
        <f>SUM(I82:P82)</f>
        <v>35136</v>
      </c>
    </row>
    <row r="83" spans="1:17" s="46" customFormat="1" ht="19.5" customHeight="1">
      <c r="A83" s="158"/>
      <c r="B83" s="165"/>
      <c r="C83" s="44"/>
      <c r="D83" s="53" t="s">
        <v>149</v>
      </c>
      <c r="E83" s="73" t="s">
        <v>25</v>
      </c>
      <c r="F83" s="73" t="s">
        <v>25</v>
      </c>
      <c r="G83" s="73" t="s">
        <v>25</v>
      </c>
      <c r="H83" s="52"/>
      <c r="I83" s="89"/>
      <c r="J83" s="89"/>
      <c r="K83" s="89"/>
      <c r="L83" s="89"/>
      <c r="M83" s="89"/>
      <c r="N83" s="108"/>
      <c r="O83" s="108"/>
      <c r="P83" s="108"/>
      <c r="Q83" s="88">
        <f>SUM(I83:P83)</f>
        <v>0</v>
      </c>
    </row>
    <row r="84" spans="1:17" s="46" customFormat="1" ht="44.25" customHeight="1">
      <c r="A84" s="158"/>
      <c r="B84" s="165"/>
      <c r="C84" s="69" t="s">
        <v>168</v>
      </c>
      <c r="D84" s="70" t="s">
        <v>171</v>
      </c>
      <c r="E84" s="74" t="s">
        <v>201</v>
      </c>
      <c r="F84" s="74"/>
      <c r="G84" s="74"/>
      <c r="H84" s="75">
        <f>H85+H86</f>
        <v>31784</v>
      </c>
      <c r="I84" s="87">
        <f aca="true" t="shared" si="35" ref="I84:Q84">I85+I86</f>
        <v>9924</v>
      </c>
      <c r="J84" s="87">
        <f t="shared" si="35"/>
        <v>5654</v>
      </c>
      <c r="K84" s="87">
        <f t="shared" si="35"/>
        <v>1200</v>
      </c>
      <c r="L84" s="87">
        <f t="shared" si="35"/>
        <v>0</v>
      </c>
      <c r="M84" s="87">
        <f t="shared" si="35"/>
        <v>0</v>
      </c>
      <c r="N84" s="106">
        <f>N85+N86</f>
        <v>0</v>
      </c>
      <c r="O84" s="106">
        <f>O85+O86</f>
        <v>0</v>
      </c>
      <c r="P84" s="106">
        <f>P85+P86</f>
        <v>0</v>
      </c>
      <c r="Q84" s="87">
        <f t="shared" si="35"/>
        <v>16778</v>
      </c>
    </row>
    <row r="85" spans="1:17" s="46" customFormat="1" ht="19.5" customHeight="1">
      <c r="A85" s="158"/>
      <c r="B85" s="165"/>
      <c r="C85" s="44"/>
      <c r="D85" s="53" t="s">
        <v>85</v>
      </c>
      <c r="E85" s="73" t="s">
        <v>25</v>
      </c>
      <c r="F85" s="73" t="s">
        <v>25</v>
      </c>
      <c r="G85" s="73" t="s">
        <v>25</v>
      </c>
      <c r="H85" s="80">
        <v>31784</v>
      </c>
      <c r="I85" s="92">
        <f>5124+3000+1800</f>
        <v>9924</v>
      </c>
      <c r="J85" s="92">
        <f>853.8+3000+1800+0.2</f>
        <v>5654</v>
      </c>
      <c r="K85" s="92">
        <f>750+450</f>
        <v>1200</v>
      </c>
      <c r="L85" s="94">
        <v>0</v>
      </c>
      <c r="M85" s="94">
        <v>0</v>
      </c>
      <c r="N85" s="113">
        <v>0</v>
      </c>
      <c r="O85" s="113">
        <v>0</v>
      </c>
      <c r="P85" s="113">
        <v>0</v>
      </c>
      <c r="Q85" s="88">
        <f>SUM(I85:P85)</f>
        <v>16778</v>
      </c>
    </row>
    <row r="86" spans="1:17" s="46" customFormat="1" ht="19.5" customHeight="1">
      <c r="A86" s="158"/>
      <c r="B86" s="165"/>
      <c r="C86" s="44"/>
      <c r="D86" s="53" t="s">
        <v>149</v>
      </c>
      <c r="E86" s="73" t="s">
        <v>25</v>
      </c>
      <c r="F86" s="73" t="s">
        <v>25</v>
      </c>
      <c r="G86" s="73" t="s">
        <v>25</v>
      </c>
      <c r="H86" s="52"/>
      <c r="I86" s="89"/>
      <c r="J86" s="89"/>
      <c r="K86" s="89"/>
      <c r="L86" s="89"/>
      <c r="M86" s="89"/>
      <c r="N86" s="108"/>
      <c r="O86" s="108"/>
      <c r="P86" s="108"/>
      <c r="Q86" s="88">
        <f>SUM(I86:P86)</f>
        <v>0</v>
      </c>
    </row>
    <row r="87" spans="1:17" s="46" customFormat="1" ht="32.25" customHeight="1">
      <c r="A87" s="158"/>
      <c r="B87" s="165"/>
      <c r="C87" s="69" t="s">
        <v>169</v>
      </c>
      <c r="D87" s="70" t="s">
        <v>209</v>
      </c>
      <c r="E87" s="74" t="s">
        <v>201</v>
      </c>
      <c r="F87" s="74"/>
      <c r="G87" s="74"/>
      <c r="H87" s="75">
        <f>H88+H89</f>
        <v>20496</v>
      </c>
      <c r="I87" s="87">
        <f aca="true" t="shared" si="36" ref="I87:Q87">I88+I89</f>
        <v>5551</v>
      </c>
      <c r="J87" s="87">
        <f t="shared" si="36"/>
        <v>5551</v>
      </c>
      <c r="K87" s="87">
        <f t="shared" si="36"/>
        <v>9394</v>
      </c>
      <c r="L87" s="87">
        <f t="shared" si="36"/>
        <v>0</v>
      </c>
      <c r="M87" s="87">
        <f t="shared" si="36"/>
        <v>0</v>
      </c>
      <c r="N87" s="106">
        <f>N88+N89</f>
        <v>0</v>
      </c>
      <c r="O87" s="106">
        <f>O88+O89</f>
        <v>0</v>
      </c>
      <c r="P87" s="106">
        <f>P88+P89</f>
        <v>0</v>
      </c>
      <c r="Q87" s="87">
        <f t="shared" si="36"/>
        <v>20496</v>
      </c>
    </row>
    <row r="88" spans="1:17" s="46" customFormat="1" ht="19.5" customHeight="1">
      <c r="A88" s="158"/>
      <c r="B88" s="165"/>
      <c r="C88" s="44"/>
      <c r="D88" s="53" t="s">
        <v>85</v>
      </c>
      <c r="E88" s="73" t="s">
        <v>25</v>
      </c>
      <c r="F88" s="73" t="s">
        <v>25</v>
      </c>
      <c r="G88" s="73" t="s">
        <v>25</v>
      </c>
      <c r="H88" s="80">
        <f>Q88</f>
        <v>20496</v>
      </c>
      <c r="I88" s="92">
        <v>5551</v>
      </c>
      <c r="J88" s="92">
        <v>5551</v>
      </c>
      <c r="K88" s="92">
        <v>9394</v>
      </c>
      <c r="L88" s="94">
        <v>0</v>
      </c>
      <c r="M88" s="94">
        <v>0</v>
      </c>
      <c r="N88" s="113">
        <v>0</v>
      </c>
      <c r="O88" s="113">
        <v>0</v>
      </c>
      <c r="P88" s="113">
        <v>0</v>
      </c>
      <c r="Q88" s="88">
        <f>SUM(I88:P88)</f>
        <v>20496</v>
      </c>
    </row>
    <row r="89" spans="1:17" s="46" customFormat="1" ht="19.5" customHeight="1">
      <c r="A89" s="158"/>
      <c r="B89" s="165"/>
      <c r="C89" s="44"/>
      <c r="D89" s="53" t="s">
        <v>149</v>
      </c>
      <c r="E89" s="73" t="s">
        <v>25</v>
      </c>
      <c r="F89" s="73" t="s">
        <v>25</v>
      </c>
      <c r="G89" s="73" t="s">
        <v>25</v>
      </c>
      <c r="H89" s="52"/>
      <c r="I89" s="89"/>
      <c r="J89" s="89"/>
      <c r="K89" s="89"/>
      <c r="L89" s="89"/>
      <c r="M89" s="89"/>
      <c r="N89" s="108"/>
      <c r="O89" s="108"/>
      <c r="P89" s="108"/>
      <c r="Q89" s="88">
        <f>SUM(I89:P89)</f>
        <v>0</v>
      </c>
    </row>
    <row r="90" spans="1:17" s="46" customFormat="1" ht="54" customHeight="1">
      <c r="A90" s="158"/>
      <c r="B90" s="165"/>
      <c r="C90" s="69" t="s">
        <v>170</v>
      </c>
      <c r="D90" s="70" t="s">
        <v>210</v>
      </c>
      <c r="E90" s="74" t="s">
        <v>201</v>
      </c>
      <c r="F90" s="74"/>
      <c r="G90" s="74"/>
      <c r="H90" s="75">
        <f>H91+H92</f>
        <v>24594</v>
      </c>
      <c r="I90" s="87">
        <f aca="true" t="shared" si="37" ref="I90:Q90">I91+I92</f>
        <v>8198</v>
      </c>
      <c r="J90" s="87">
        <f t="shared" si="37"/>
        <v>8198</v>
      </c>
      <c r="K90" s="87">
        <f t="shared" si="37"/>
        <v>2049</v>
      </c>
      <c r="L90" s="87">
        <f t="shared" si="37"/>
        <v>0</v>
      </c>
      <c r="M90" s="87">
        <f t="shared" si="37"/>
        <v>0</v>
      </c>
      <c r="N90" s="106">
        <f>N91+N92</f>
        <v>0</v>
      </c>
      <c r="O90" s="106">
        <f>O91+O92</f>
        <v>0</v>
      </c>
      <c r="P90" s="106">
        <f>P91+P92</f>
        <v>0</v>
      </c>
      <c r="Q90" s="87">
        <f t="shared" si="37"/>
        <v>18445</v>
      </c>
    </row>
    <row r="91" spans="1:17" s="46" customFormat="1" ht="19.5" customHeight="1">
      <c r="A91" s="158"/>
      <c r="B91" s="165"/>
      <c r="C91" s="44"/>
      <c r="D91" s="53" t="s">
        <v>85</v>
      </c>
      <c r="E91" s="73" t="s">
        <v>25</v>
      </c>
      <c r="F91" s="73" t="s">
        <v>25</v>
      </c>
      <c r="G91" s="73" t="s">
        <v>25</v>
      </c>
      <c r="H91" s="118">
        <v>24594</v>
      </c>
      <c r="I91" s="91">
        <v>8198</v>
      </c>
      <c r="J91" s="91">
        <v>8198</v>
      </c>
      <c r="K91" s="91">
        <v>2049</v>
      </c>
      <c r="L91" s="93">
        <v>0</v>
      </c>
      <c r="M91" s="93">
        <v>0</v>
      </c>
      <c r="N91" s="111">
        <v>0</v>
      </c>
      <c r="O91" s="111">
        <v>0</v>
      </c>
      <c r="P91" s="111">
        <v>0</v>
      </c>
      <c r="Q91" s="88">
        <f>SUM(I91:P91)</f>
        <v>18445</v>
      </c>
    </row>
    <row r="92" spans="1:17" s="46" customFormat="1" ht="19.5" customHeight="1">
      <c r="A92" s="158"/>
      <c r="B92" s="165"/>
      <c r="C92" s="44"/>
      <c r="D92" s="53" t="s">
        <v>149</v>
      </c>
      <c r="E92" s="73" t="s">
        <v>25</v>
      </c>
      <c r="F92" s="73" t="s">
        <v>25</v>
      </c>
      <c r="G92" s="73" t="s">
        <v>25</v>
      </c>
      <c r="H92" s="52"/>
      <c r="I92" s="89"/>
      <c r="J92" s="89"/>
      <c r="K92" s="89"/>
      <c r="L92" s="89"/>
      <c r="M92" s="89"/>
      <c r="N92" s="108"/>
      <c r="O92" s="108"/>
      <c r="P92" s="108"/>
      <c r="Q92" s="88">
        <f>SUM(I92:P92)</f>
        <v>0</v>
      </c>
    </row>
    <row r="93" spans="1:17" s="46" customFormat="1" ht="42" customHeight="1">
      <c r="A93" s="158"/>
      <c r="B93" s="165"/>
      <c r="C93" s="69" t="s">
        <v>172</v>
      </c>
      <c r="D93" s="70" t="s">
        <v>211</v>
      </c>
      <c r="E93" s="74" t="s">
        <v>201</v>
      </c>
      <c r="F93" s="74"/>
      <c r="G93" s="74"/>
      <c r="H93" s="75">
        <f>H94+H95</f>
        <v>8855</v>
      </c>
      <c r="I93" s="87">
        <f aca="true" t="shared" si="38" ref="I93:Q93">I94+I95</f>
        <v>559</v>
      </c>
      <c r="J93" s="87">
        <f t="shared" si="38"/>
        <v>0</v>
      </c>
      <c r="K93" s="87">
        <f t="shared" si="38"/>
        <v>0</v>
      </c>
      <c r="L93" s="87">
        <f t="shared" si="38"/>
        <v>0</v>
      </c>
      <c r="M93" s="87">
        <f t="shared" si="38"/>
        <v>0</v>
      </c>
      <c r="N93" s="106">
        <f>N94+N95</f>
        <v>0</v>
      </c>
      <c r="O93" s="106">
        <f>O94+O95</f>
        <v>0</v>
      </c>
      <c r="P93" s="106">
        <f>P94+P95</f>
        <v>0</v>
      </c>
      <c r="Q93" s="87">
        <f t="shared" si="38"/>
        <v>559</v>
      </c>
    </row>
    <row r="94" spans="1:17" s="46" customFormat="1" ht="19.5" customHeight="1">
      <c r="A94" s="158"/>
      <c r="B94" s="165"/>
      <c r="C94" s="44"/>
      <c r="D94" s="53" t="s">
        <v>85</v>
      </c>
      <c r="E94" s="73" t="s">
        <v>25</v>
      </c>
      <c r="F94" s="73" t="s">
        <v>25</v>
      </c>
      <c r="G94" s="73" t="s">
        <v>25</v>
      </c>
      <c r="H94" s="118">
        <v>8855</v>
      </c>
      <c r="I94" s="91">
        <v>559</v>
      </c>
      <c r="J94" s="93">
        <v>0</v>
      </c>
      <c r="K94" s="93">
        <v>0</v>
      </c>
      <c r="L94" s="93">
        <v>0</v>
      </c>
      <c r="M94" s="93">
        <v>0</v>
      </c>
      <c r="N94" s="111">
        <v>0</v>
      </c>
      <c r="O94" s="111">
        <v>0</v>
      </c>
      <c r="P94" s="111">
        <v>0</v>
      </c>
      <c r="Q94" s="88">
        <f>SUM(I94:P94)</f>
        <v>559</v>
      </c>
    </row>
    <row r="95" spans="1:17" s="46" customFormat="1" ht="19.5" customHeight="1">
      <c r="A95" s="158"/>
      <c r="B95" s="165"/>
      <c r="C95" s="44"/>
      <c r="D95" s="53" t="s">
        <v>149</v>
      </c>
      <c r="E95" s="73" t="s">
        <v>25</v>
      </c>
      <c r="F95" s="73" t="s">
        <v>25</v>
      </c>
      <c r="G95" s="73" t="s">
        <v>25</v>
      </c>
      <c r="H95" s="52"/>
      <c r="I95" s="89"/>
      <c r="J95" s="89"/>
      <c r="K95" s="89"/>
      <c r="L95" s="89"/>
      <c r="M95" s="89"/>
      <c r="N95" s="108"/>
      <c r="O95" s="108"/>
      <c r="P95" s="108"/>
      <c r="Q95" s="88">
        <f>SUM(I95:P95)</f>
        <v>0</v>
      </c>
    </row>
    <row r="96" spans="1:17" s="46" customFormat="1" ht="47.25" customHeight="1">
      <c r="A96" s="158"/>
      <c r="B96" s="165"/>
      <c r="C96" s="69" t="s">
        <v>173</v>
      </c>
      <c r="D96" s="70" t="s">
        <v>212</v>
      </c>
      <c r="E96" s="74" t="s">
        <v>201</v>
      </c>
      <c r="F96" s="74"/>
      <c r="G96" s="74"/>
      <c r="H96" s="75">
        <f>H97+H98</f>
        <v>33658</v>
      </c>
      <c r="I96" s="87">
        <f aca="true" t="shared" si="39" ref="I96:Q96">I97+I98</f>
        <v>19634</v>
      </c>
      <c r="J96" s="87">
        <f t="shared" si="39"/>
        <v>0</v>
      </c>
      <c r="K96" s="87">
        <f t="shared" si="39"/>
        <v>0</v>
      </c>
      <c r="L96" s="87">
        <f t="shared" si="39"/>
        <v>0</v>
      </c>
      <c r="M96" s="87">
        <f t="shared" si="39"/>
        <v>0</v>
      </c>
      <c r="N96" s="106">
        <f>N97+N98</f>
        <v>0</v>
      </c>
      <c r="O96" s="106">
        <f>O97+O98</f>
        <v>0</v>
      </c>
      <c r="P96" s="106">
        <f>P97+P98</f>
        <v>0</v>
      </c>
      <c r="Q96" s="87">
        <f t="shared" si="39"/>
        <v>19634</v>
      </c>
    </row>
    <row r="97" spans="1:17" s="46" customFormat="1" ht="19.5" customHeight="1">
      <c r="A97" s="158"/>
      <c r="B97" s="165"/>
      <c r="C97" s="44"/>
      <c r="D97" s="53" t="s">
        <v>85</v>
      </c>
      <c r="E97" s="73" t="s">
        <v>25</v>
      </c>
      <c r="F97" s="73" t="s">
        <v>25</v>
      </c>
      <c r="G97" s="73" t="s">
        <v>25</v>
      </c>
      <c r="H97" s="118">
        <v>33658</v>
      </c>
      <c r="I97" s="91">
        <v>19634</v>
      </c>
      <c r="J97" s="93">
        <v>0</v>
      </c>
      <c r="K97" s="93">
        <v>0</v>
      </c>
      <c r="L97" s="93">
        <v>0</v>
      </c>
      <c r="M97" s="93">
        <v>0</v>
      </c>
      <c r="N97" s="111">
        <v>0</v>
      </c>
      <c r="O97" s="111">
        <v>0</v>
      </c>
      <c r="P97" s="111">
        <v>0</v>
      </c>
      <c r="Q97" s="88">
        <f>SUM(I97:P97)</f>
        <v>19634</v>
      </c>
    </row>
    <row r="98" spans="1:17" s="46" customFormat="1" ht="19.5" customHeight="1">
      <c r="A98" s="158"/>
      <c r="B98" s="165"/>
      <c r="C98" s="44"/>
      <c r="D98" s="53" t="s">
        <v>149</v>
      </c>
      <c r="E98" s="73" t="s">
        <v>25</v>
      </c>
      <c r="F98" s="73" t="s">
        <v>25</v>
      </c>
      <c r="G98" s="73" t="s">
        <v>25</v>
      </c>
      <c r="H98" s="52"/>
      <c r="I98" s="89"/>
      <c r="J98" s="89"/>
      <c r="K98" s="89"/>
      <c r="L98" s="89"/>
      <c r="M98" s="89"/>
      <c r="N98" s="108"/>
      <c r="O98" s="108"/>
      <c r="P98" s="108"/>
      <c r="Q98" s="88">
        <f>SUM(I98:P98)</f>
        <v>0</v>
      </c>
    </row>
    <row r="99" spans="1:17" s="46" customFormat="1" ht="43.5" customHeight="1">
      <c r="A99" s="158"/>
      <c r="B99" s="165"/>
      <c r="C99" s="69" t="s">
        <v>174</v>
      </c>
      <c r="D99" s="70" t="s">
        <v>213</v>
      </c>
      <c r="E99" s="74" t="s">
        <v>201</v>
      </c>
      <c r="F99" s="74"/>
      <c r="G99" s="74"/>
      <c r="H99" s="75">
        <f>H100+H101</f>
        <v>12846</v>
      </c>
      <c r="I99" s="87">
        <f aca="true" t="shared" si="40" ref="I99:Q99">I100+I101</f>
        <v>4111</v>
      </c>
      <c r="J99" s="87">
        <f t="shared" si="40"/>
        <v>4111</v>
      </c>
      <c r="K99" s="87">
        <f t="shared" si="40"/>
        <v>2740</v>
      </c>
      <c r="L99" s="87">
        <f t="shared" si="40"/>
        <v>0</v>
      </c>
      <c r="M99" s="87">
        <f t="shared" si="40"/>
        <v>0</v>
      </c>
      <c r="N99" s="106">
        <f>N100+N101</f>
        <v>0</v>
      </c>
      <c r="O99" s="106">
        <f>O100+O101</f>
        <v>0</v>
      </c>
      <c r="P99" s="106">
        <f>P100+P101</f>
        <v>0</v>
      </c>
      <c r="Q99" s="87">
        <f t="shared" si="40"/>
        <v>10962</v>
      </c>
    </row>
    <row r="100" spans="1:17" s="46" customFormat="1" ht="19.5" customHeight="1">
      <c r="A100" s="158"/>
      <c r="B100" s="165"/>
      <c r="C100" s="44"/>
      <c r="D100" s="53" t="s">
        <v>85</v>
      </c>
      <c r="E100" s="73" t="s">
        <v>25</v>
      </c>
      <c r="F100" s="73" t="s">
        <v>25</v>
      </c>
      <c r="G100" s="73" t="s">
        <v>25</v>
      </c>
      <c r="H100" s="118">
        <v>12846</v>
      </c>
      <c r="I100" s="95">
        <v>4111</v>
      </c>
      <c r="J100" s="95">
        <v>4111</v>
      </c>
      <c r="K100" s="95">
        <v>2740</v>
      </c>
      <c r="L100" s="93">
        <v>0</v>
      </c>
      <c r="M100" s="93">
        <v>0</v>
      </c>
      <c r="N100" s="111">
        <v>0</v>
      </c>
      <c r="O100" s="111">
        <v>0</v>
      </c>
      <c r="P100" s="111">
        <v>0</v>
      </c>
      <c r="Q100" s="88">
        <f>SUM(I100:P100)</f>
        <v>10962</v>
      </c>
    </row>
    <row r="101" spans="1:17" s="46" customFormat="1" ht="19.5" customHeight="1">
      <c r="A101" s="158"/>
      <c r="B101" s="165"/>
      <c r="C101" s="44"/>
      <c r="D101" s="53" t="s">
        <v>149</v>
      </c>
      <c r="E101" s="73" t="s">
        <v>25</v>
      </c>
      <c r="F101" s="73" t="s">
        <v>25</v>
      </c>
      <c r="G101" s="73" t="s">
        <v>25</v>
      </c>
      <c r="H101" s="52"/>
      <c r="I101" s="89"/>
      <c r="J101" s="89"/>
      <c r="K101" s="89"/>
      <c r="L101" s="89"/>
      <c r="M101" s="89"/>
      <c r="N101" s="108"/>
      <c r="O101" s="108"/>
      <c r="P101" s="108"/>
      <c r="Q101" s="88">
        <f>SUM(I101:P101)</f>
        <v>0</v>
      </c>
    </row>
    <row r="102" spans="1:17" s="46" customFormat="1" ht="50.25" customHeight="1">
      <c r="A102" s="158"/>
      <c r="B102" s="165"/>
      <c r="C102" s="69" t="s">
        <v>175</v>
      </c>
      <c r="D102" s="70" t="s">
        <v>192</v>
      </c>
      <c r="E102" s="74" t="s">
        <v>201</v>
      </c>
      <c r="F102" s="74"/>
      <c r="G102" s="74"/>
      <c r="H102" s="75">
        <f>H103+H104</f>
        <v>53700</v>
      </c>
      <c r="I102" s="87">
        <f aca="true" t="shared" si="41" ref="I102:Q102">I103+I104</f>
        <v>33700</v>
      </c>
      <c r="J102" s="87">
        <f t="shared" si="41"/>
        <v>0</v>
      </c>
      <c r="K102" s="87">
        <f t="shared" si="41"/>
        <v>0</v>
      </c>
      <c r="L102" s="87">
        <f t="shared" si="41"/>
        <v>0</v>
      </c>
      <c r="M102" s="87">
        <f t="shared" si="41"/>
        <v>0</v>
      </c>
      <c r="N102" s="106">
        <f>N103+N104</f>
        <v>0</v>
      </c>
      <c r="O102" s="106">
        <f>O103+O104</f>
        <v>0</v>
      </c>
      <c r="P102" s="106">
        <f>P103+P104</f>
        <v>0</v>
      </c>
      <c r="Q102" s="87">
        <f t="shared" si="41"/>
        <v>33700</v>
      </c>
    </row>
    <row r="103" spans="1:17" s="46" customFormat="1" ht="19.5" customHeight="1">
      <c r="A103" s="158"/>
      <c r="B103" s="165"/>
      <c r="C103" s="44"/>
      <c r="D103" s="53" t="s">
        <v>85</v>
      </c>
      <c r="E103" s="73" t="s">
        <v>25</v>
      </c>
      <c r="F103" s="73" t="s">
        <v>25</v>
      </c>
      <c r="G103" s="73" t="s">
        <v>25</v>
      </c>
      <c r="H103" s="118">
        <v>53700</v>
      </c>
      <c r="I103" s="96">
        <v>33700</v>
      </c>
      <c r="J103" s="94">
        <v>0</v>
      </c>
      <c r="K103" s="94">
        <v>0</v>
      </c>
      <c r="L103" s="94">
        <v>0</v>
      </c>
      <c r="M103" s="94">
        <v>0</v>
      </c>
      <c r="N103" s="113">
        <v>0</v>
      </c>
      <c r="O103" s="113">
        <v>0</v>
      </c>
      <c r="P103" s="113">
        <v>0</v>
      </c>
      <c r="Q103" s="88">
        <f>SUM(I103:P103)</f>
        <v>33700</v>
      </c>
    </row>
    <row r="104" spans="1:17" s="46" customFormat="1" ht="19.5" customHeight="1">
      <c r="A104" s="158"/>
      <c r="B104" s="165"/>
      <c r="C104" s="44"/>
      <c r="D104" s="53" t="s">
        <v>149</v>
      </c>
      <c r="E104" s="73" t="s">
        <v>25</v>
      </c>
      <c r="F104" s="73" t="s">
        <v>25</v>
      </c>
      <c r="G104" s="73" t="s">
        <v>25</v>
      </c>
      <c r="H104" s="52"/>
      <c r="I104" s="89"/>
      <c r="J104" s="89"/>
      <c r="K104" s="89"/>
      <c r="L104" s="89"/>
      <c r="M104" s="89"/>
      <c r="N104" s="108"/>
      <c r="O104" s="108"/>
      <c r="P104" s="108"/>
      <c r="Q104" s="88">
        <f>SUM(I104:P104)</f>
        <v>0</v>
      </c>
    </row>
    <row r="105" spans="1:17" s="46" customFormat="1" ht="38.25" customHeight="1">
      <c r="A105" s="158"/>
      <c r="B105" s="165"/>
      <c r="C105" s="69" t="s">
        <v>176</v>
      </c>
      <c r="D105" s="70" t="s">
        <v>191</v>
      </c>
      <c r="E105" s="74" t="s">
        <v>203</v>
      </c>
      <c r="F105" s="74"/>
      <c r="G105" s="74"/>
      <c r="H105" s="75">
        <f>H106+H107</f>
        <v>11135266</v>
      </c>
      <c r="I105" s="87">
        <f aca="true" t="shared" si="42" ref="I105:Q105">I106+I107</f>
        <v>1105400</v>
      </c>
      <c r="J105" s="87">
        <f t="shared" si="42"/>
        <v>1144300</v>
      </c>
      <c r="K105" s="87">
        <f t="shared" si="42"/>
        <v>1183900</v>
      </c>
      <c r="L105" s="87">
        <f t="shared" si="42"/>
        <v>1225800</v>
      </c>
      <c r="M105" s="87">
        <f t="shared" si="42"/>
        <v>1268703</v>
      </c>
      <c r="N105" s="106">
        <f>N106+N107</f>
        <v>1313108</v>
      </c>
      <c r="O105" s="106">
        <f>O106+O107</f>
        <v>1359067</v>
      </c>
      <c r="P105" s="106">
        <f>P106+P107</f>
        <v>1245811</v>
      </c>
      <c r="Q105" s="87">
        <f t="shared" si="42"/>
        <v>9846089</v>
      </c>
    </row>
    <row r="106" spans="1:17" s="46" customFormat="1" ht="19.5" customHeight="1">
      <c r="A106" s="158"/>
      <c r="B106" s="165"/>
      <c r="C106" s="44"/>
      <c r="D106" s="53" t="s">
        <v>85</v>
      </c>
      <c r="E106" s="73" t="s">
        <v>25</v>
      </c>
      <c r="F106" s="73" t="s">
        <v>25</v>
      </c>
      <c r="G106" s="73" t="s">
        <v>25</v>
      </c>
      <c r="H106" s="118">
        <v>11135266</v>
      </c>
      <c r="I106" s="97">
        <v>1105400</v>
      </c>
      <c r="J106" s="97">
        <v>1144300</v>
      </c>
      <c r="K106" s="97">
        <v>1183900</v>
      </c>
      <c r="L106" s="97">
        <v>1225800</v>
      </c>
      <c r="M106" s="97">
        <v>1268703</v>
      </c>
      <c r="N106" s="114">
        <v>1313108</v>
      </c>
      <c r="O106" s="114">
        <v>1359067</v>
      </c>
      <c r="P106" s="114">
        <v>1245811</v>
      </c>
      <c r="Q106" s="88">
        <f>SUM(I106:P106)</f>
        <v>9846089</v>
      </c>
    </row>
    <row r="107" spans="1:17" s="46" customFormat="1" ht="19.5" customHeight="1">
      <c r="A107" s="158"/>
      <c r="B107" s="165"/>
      <c r="C107" s="44"/>
      <c r="D107" s="53" t="s">
        <v>149</v>
      </c>
      <c r="E107" s="73" t="s">
        <v>25</v>
      </c>
      <c r="F107" s="73" t="s">
        <v>25</v>
      </c>
      <c r="G107" s="73" t="s">
        <v>25</v>
      </c>
      <c r="H107" s="52"/>
      <c r="I107" s="89"/>
      <c r="J107" s="89"/>
      <c r="K107" s="89"/>
      <c r="L107" s="89"/>
      <c r="M107" s="89"/>
      <c r="N107" s="108"/>
      <c r="O107" s="108"/>
      <c r="P107" s="108"/>
      <c r="Q107" s="88">
        <f>SUM(I107:P107)</f>
        <v>0</v>
      </c>
    </row>
    <row r="108" spans="1:17" s="46" customFormat="1" ht="33.75" customHeight="1">
      <c r="A108" s="158"/>
      <c r="B108" s="165"/>
      <c r="C108" s="69" t="s">
        <v>177</v>
      </c>
      <c r="D108" s="70" t="s">
        <v>190</v>
      </c>
      <c r="E108" s="71" t="s">
        <v>204</v>
      </c>
      <c r="F108" s="74"/>
      <c r="G108" s="74"/>
      <c r="H108" s="75">
        <f>H109+H110</f>
        <v>1150704</v>
      </c>
      <c r="I108" s="87">
        <f aca="true" t="shared" si="43" ref="I108:Q108">I109+I110</f>
        <v>137000</v>
      </c>
      <c r="J108" s="87">
        <f t="shared" si="43"/>
        <v>141795</v>
      </c>
      <c r="K108" s="87">
        <f t="shared" si="43"/>
        <v>146758</v>
      </c>
      <c r="L108" s="87">
        <f t="shared" si="43"/>
        <v>151894</v>
      </c>
      <c r="M108" s="87">
        <f t="shared" si="43"/>
        <v>157211</v>
      </c>
      <c r="N108" s="106">
        <f>N109+N110</f>
        <v>0</v>
      </c>
      <c r="O108" s="106">
        <f>O109+O110</f>
        <v>0</v>
      </c>
      <c r="P108" s="106">
        <f>P109+P110</f>
        <v>0</v>
      </c>
      <c r="Q108" s="87">
        <f t="shared" si="43"/>
        <v>734658</v>
      </c>
    </row>
    <row r="109" spans="1:17" s="46" customFormat="1" ht="19.5" customHeight="1">
      <c r="A109" s="158"/>
      <c r="B109" s="165"/>
      <c r="C109" s="44"/>
      <c r="D109" s="53" t="s">
        <v>85</v>
      </c>
      <c r="E109" s="73" t="s">
        <v>25</v>
      </c>
      <c r="F109" s="73" t="s">
        <v>25</v>
      </c>
      <c r="G109" s="73" t="s">
        <v>25</v>
      </c>
      <c r="H109" s="81">
        <v>1150704</v>
      </c>
      <c r="I109" s="98">
        <v>137000</v>
      </c>
      <c r="J109" s="98">
        <v>141795</v>
      </c>
      <c r="K109" s="98">
        <v>146758</v>
      </c>
      <c r="L109" s="98">
        <v>151894</v>
      </c>
      <c r="M109" s="98">
        <v>157211</v>
      </c>
      <c r="N109" s="115"/>
      <c r="O109" s="115"/>
      <c r="P109" s="115"/>
      <c r="Q109" s="88">
        <f>SUM(I109:P109)</f>
        <v>734658</v>
      </c>
    </row>
    <row r="110" spans="1:17" s="46" customFormat="1" ht="19.5" customHeight="1">
      <c r="A110" s="158"/>
      <c r="B110" s="165"/>
      <c r="C110" s="44"/>
      <c r="D110" s="53" t="s">
        <v>149</v>
      </c>
      <c r="E110" s="73" t="s">
        <v>25</v>
      </c>
      <c r="F110" s="73" t="s">
        <v>25</v>
      </c>
      <c r="G110" s="73" t="s">
        <v>25</v>
      </c>
      <c r="H110" s="52"/>
      <c r="I110" s="89"/>
      <c r="J110" s="89"/>
      <c r="K110" s="89"/>
      <c r="L110" s="89"/>
      <c r="M110" s="89"/>
      <c r="N110" s="108"/>
      <c r="O110" s="108"/>
      <c r="P110" s="108"/>
      <c r="Q110" s="88">
        <f>SUM(I110:P110)</f>
        <v>0</v>
      </c>
    </row>
    <row r="111" spans="1:17" s="46" customFormat="1" ht="38.25" customHeight="1">
      <c r="A111" s="158"/>
      <c r="B111" s="165"/>
      <c r="C111" s="69" t="s">
        <v>178</v>
      </c>
      <c r="D111" s="70" t="s">
        <v>189</v>
      </c>
      <c r="E111" s="74" t="s">
        <v>201</v>
      </c>
      <c r="F111" s="74"/>
      <c r="G111" s="74"/>
      <c r="H111" s="75">
        <f>H112+H113</f>
        <v>14783</v>
      </c>
      <c r="I111" s="87">
        <f aca="true" t="shared" si="44" ref="I111:Q111">I112+I113</f>
        <v>3600</v>
      </c>
      <c r="J111" s="87">
        <f t="shared" si="44"/>
        <v>3726</v>
      </c>
      <c r="K111" s="87">
        <f t="shared" si="44"/>
        <v>3857</v>
      </c>
      <c r="L111" s="87">
        <f t="shared" si="44"/>
        <v>0</v>
      </c>
      <c r="M111" s="87">
        <f t="shared" si="44"/>
        <v>0</v>
      </c>
      <c r="N111" s="106">
        <f>N112+N113</f>
        <v>0</v>
      </c>
      <c r="O111" s="106">
        <f>O112+O113</f>
        <v>0</v>
      </c>
      <c r="P111" s="106">
        <f>P112+P113</f>
        <v>0</v>
      </c>
      <c r="Q111" s="87">
        <f t="shared" si="44"/>
        <v>11183</v>
      </c>
    </row>
    <row r="112" spans="1:17" s="46" customFormat="1" ht="19.5" customHeight="1">
      <c r="A112" s="158"/>
      <c r="B112" s="165"/>
      <c r="C112" s="44"/>
      <c r="D112" s="53" t="s">
        <v>85</v>
      </c>
      <c r="E112" s="73" t="s">
        <v>25</v>
      </c>
      <c r="F112" s="73" t="s">
        <v>25</v>
      </c>
      <c r="G112" s="73" t="s">
        <v>25</v>
      </c>
      <c r="H112" s="81">
        <v>14783</v>
      </c>
      <c r="I112" s="98">
        <v>3600</v>
      </c>
      <c r="J112" s="98">
        <v>3726</v>
      </c>
      <c r="K112" s="98">
        <v>3857</v>
      </c>
      <c r="L112" s="99">
        <v>0</v>
      </c>
      <c r="M112" s="98">
        <v>0</v>
      </c>
      <c r="N112" s="115">
        <v>0</v>
      </c>
      <c r="O112" s="115">
        <v>0</v>
      </c>
      <c r="P112" s="115">
        <v>0</v>
      </c>
      <c r="Q112" s="88">
        <f>SUM(I112:P112)</f>
        <v>11183</v>
      </c>
    </row>
    <row r="113" spans="1:17" s="46" customFormat="1" ht="19.5" customHeight="1">
      <c r="A113" s="158"/>
      <c r="B113" s="165"/>
      <c r="C113" s="44"/>
      <c r="D113" s="53" t="s">
        <v>149</v>
      </c>
      <c r="E113" s="73" t="s">
        <v>25</v>
      </c>
      <c r="F113" s="73" t="s">
        <v>25</v>
      </c>
      <c r="G113" s="73" t="s">
        <v>25</v>
      </c>
      <c r="H113" s="52"/>
      <c r="I113" s="89"/>
      <c r="J113" s="89"/>
      <c r="K113" s="89"/>
      <c r="L113" s="89"/>
      <c r="M113" s="89"/>
      <c r="N113" s="108"/>
      <c r="O113" s="108"/>
      <c r="P113" s="108"/>
      <c r="Q113" s="88">
        <f>SUM(I113:P113)</f>
        <v>0</v>
      </c>
    </row>
    <row r="114" spans="1:17" s="46" customFormat="1" ht="31.5" customHeight="1" hidden="1">
      <c r="A114" s="158"/>
      <c r="B114" s="165"/>
      <c r="C114" s="69" t="s">
        <v>179</v>
      </c>
      <c r="D114" s="70" t="s">
        <v>180</v>
      </c>
      <c r="E114" s="74"/>
      <c r="F114" s="74"/>
      <c r="G114" s="74"/>
      <c r="H114" s="75">
        <f>H115+H116</f>
        <v>0</v>
      </c>
      <c r="I114" s="87">
        <f aca="true" t="shared" si="45" ref="I114:Q114">I115+I116</f>
        <v>0</v>
      </c>
      <c r="J114" s="87">
        <f t="shared" si="45"/>
        <v>0</v>
      </c>
      <c r="K114" s="87">
        <f t="shared" si="45"/>
        <v>0</v>
      </c>
      <c r="L114" s="87">
        <f t="shared" si="45"/>
        <v>0</v>
      </c>
      <c r="M114" s="87">
        <f t="shared" si="45"/>
        <v>0</v>
      </c>
      <c r="N114" s="106">
        <f>N115+N116</f>
        <v>0</v>
      </c>
      <c r="O114" s="106">
        <f>O115+O116</f>
        <v>0</v>
      </c>
      <c r="P114" s="106">
        <f>P115+P116</f>
        <v>0</v>
      </c>
      <c r="Q114" s="87">
        <f t="shared" si="45"/>
        <v>0</v>
      </c>
    </row>
    <row r="115" spans="1:17" s="46" customFormat="1" ht="19.5" customHeight="1" hidden="1">
      <c r="A115" s="158"/>
      <c r="B115" s="165"/>
      <c r="C115" s="44"/>
      <c r="D115" s="53" t="s">
        <v>85</v>
      </c>
      <c r="E115" s="73" t="s">
        <v>25</v>
      </c>
      <c r="F115" s="73" t="s">
        <v>25</v>
      </c>
      <c r="G115" s="73" t="s">
        <v>25</v>
      </c>
      <c r="H115" s="82"/>
      <c r="I115" s="98"/>
      <c r="J115" s="98"/>
      <c r="K115" s="98"/>
      <c r="L115" s="98"/>
      <c r="M115" s="98"/>
      <c r="N115" s="115"/>
      <c r="O115" s="115"/>
      <c r="P115" s="115"/>
      <c r="Q115" s="88">
        <f>SUM(I115:P115)</f>
        <v>0</v>
      </c>
    </row>
    <row r="116" spans="1:17" s="46" customFormat="1" ht="19.5" customHeight="1" hidden="1">
      <c r="A116" s="158"/>
      <c r="B116" s="165"/>
      <c r="C116" s="44"/>
      <c r="D116" s="53" t="s">
        <v>149</v>
      </c>
      <c r="E116" s="73" t="s">
        <v>25</v>
      </c>
      <c r="F116" s="73" t="s">
        <v>25</v>
      </c>
      <c r="G116" s="73" t="s">
        <v>25</v>
      </c>
      <c r="H116" s="52"/>
      <c r="I116" s="89"/>
      <c r="J116" s="89"/>
      <c r="K116" s="89"/>
      <c r="L116" s="89"/>
      <c r="M116" s="89"/>
      <c r="N116" s="108"/>
      <c r="O116" s="108"/>
      <c r="P116" s="108"/>
      <c r="Q116" s="88">
        <f>SUM(I116:P116)</f>
        <v>0</v>
      </c>
    </row>
    <row r="117" spans="1:17" ht="60">
      <c r="A117" s="158"/>
      <c r="B117" s="165"/>
      <c r="C117" s="69" t="s">
        <v>179</v>
      </c>
      <c r="D117" s="70" t="s">
        <v>181</v>
      </c>
      <c r="E117" s="74" t="s">
        <v>203</v>
      </c>
      <c r="F117" s="74"/>
      <c r="G117" s="74"/>
      <c r="H117" s="75">
        <f>H118+H119</f>
        <v>11788</v>
      </c>
      <c r="I117" s="87">
        <f aca="true" t="shared" si="46" ref="I117:Q117">I118+I119</f>
        <v>1515</v>
      </c>
      <c r="J117" s="87">
        <f t="shared" si="46"/>
        <v>1568</v>
      </c>
      <c r="K117" s="87">
        <f t="shared" si="46"/>
        <v>1623</v>
      </c>
      <c r="L117" s="87">
        <f t="shared" si="46"/>
        <v>1680</v>
      </c>
      <c r="M117" s="87">
        <f t="shared" si="46"/>
        <v>1739</v>
      </c>
      <c r="N117" s="106">
        <f>N118+N119</f>
        <v>0</v>
      </c>
      <c r="O117" s="106">
        <f>O118+O119</f>
        <v>0</v>
      </c>
      <c r="P117" s="106">
        <f>P118+P119</f>
        <v>0</v>
      </c>
      <c r="Q117" s="87">
        <f t="shared" si="46"/>
        <v>8125</v>
      </c>
    </row>
    <row r="118" spans="1:17" s="46" customFormat="1" ht="19.5" customHeight="1">
      <c r="A118" s="158"/>
      <c r="B118" s="165"/>
      <c r="C118" s="44"/>
      <c r="D118" s="53" t="s">
        <v>85</v>
      </c>
      <c r="E118" s="73" t="s">
        <v>25</v>
      </c>
      <c r="F118" s="73" t="s">
        <v>25</v>
      </c>
      <c r="G118" s="73" t="s">
        <v>25</v>
      </c>
      <c r="H118" s="82">
        <v>11788</v>
      </c>
      <c r="I118" s="98">
        <v>1515</v>
      </c>
      <c r="J118" s="98">
        <v>1568</v>
      </c>
      <c r="K118" s="98">
        <v>1623</v>
      </c>
      <c r="L118" s="98">
        <v>1680</v>
      </c>
      <c r="M118" s="98">
        <v>1739</v>
      </c>
      <c r="N118" s="115"/>
      <c r="O118" s="115"/>
      <c r="P118" s="115"/>
      <c r="Q118" s="88">
        <f>SUM(I118:P118)</f>
        <v>8125</v>
      </c>
    </row>
    <row r="119" spans="1:17" s="46" customFormat="1" ht="1.5" customHeight="1">
      <c r="A119" s="158"/>
      <c r="B119" s="165"/>
      <c r="C119" s="44"/>
      <c r="D119" s="53" t="s">
        <v>149</v>
      </c>
      <c r="E119" s="73" t="s">
        <v>25</v>
      </c>
      <c r="F119" s="73" t="s">
        <v>25</v>
      </c>
      <c r="G119" s="73" t="s">
        <v>25</v>
      </c>
      <c r="H119" s="52"/>
      <c r="I119" s="89"/>
      <c r="J119" s="89"/>
      <c r="K119" s="89"/>
      <c r="L119" s="89"/>
      <c r="M119" s="89"/>
      <c r="N119" s="108"/>
      <c r="O119" s="108"/>
      <c r="P119" s="108"/>
      <c r="Q119" s="88">
        <f>SUM(I119:P119)</f>
        <v>0</v>
      </c>
    </row>
    <row r="120" spans="1:17" s="8" customFormat="1" ht="32.25" customHeight="1">
      <c r="A120" s="158"/>
      <c r="B120" s="165" t="s">
        <v>96</v>
      </c>
      <c r="C120" s="164" t="s">
        <v>97</v>
      </c>
      <c r="D120" s="164"/>
      <c r="E120" s="49" t="s">
        <v>25</v>
      </c>
      <c r="F120" s="49" t="s">
        <v>25</v>
      </c>
      <c r="G120" s="49" t="s">
        <v>25</v>
      </c>
      <c r="H120" s="75">
        <f>H121+H122</f>
        <v>3772600</v>
      </c>
      <c r="I120" s="87">
        <f aca="true" t="shared" si="47" ref="I120:Q120">I121+I122</f>
        <v>814700</v>
      </c>
      <c r="J120" s="87">
        <f t="shared" si="47"/>
        <v>814700</v>
      </c>
      <c r="K120" s="87">
        <f t="shared" si="47"/>
        <v>428400</v>
      </c>
      <c r="L120" s="87">
        <f t="shared" si="47"/>
        <v>428400</v>
      </c>
      <c r="M120" s="87">
        <f t="shared" si="47"/>
        <v>428400</v>
      </c>
      <c r="N120" s="106">
        <f>N121+N122</f>
        <v>428400</v>
      </c>
      <c r="O120" s="106">
        <f>O121+O122</f>
        <v>429600</v>
      </c>
      <c r="P120" s="106">
        <f>P121+P122</f>
        <v>0</v>
      </c>
      <c r="Q120" s="87">
        <f t="shared" si="47"/>
        <v>3772600</v>
      </c>
    </row>
    <row r="121" spans="1:17" ht="42.75">
      <c r="A121" s="158"/>
      <c r="B121" s="165"/>
      <c r="C121" s="43" t="s">
        <v>28</v>
      </c>
      <c r="D121" s="56" t="s">
        <v>184</v>
      </c>
      <c r="E121" s="73" t="s">
        <v>25</v>
      </c>
      <c r="F121" s="73" t="s">
        <v>25</v>
      </c>
      <c r="G121" s="73" t="s">
        <v>25</v>
      </c>
      <c r="H121" s="52">
        <f>Q121</f>
        <v>3000000</v>
      </c>
      <c r="I121" s="100">
        <v>428400</v>
      </c>
      <c r="J121" s="100">
        <v>428400</v>
      </c>
      <c r="K121" s="100">
        <v>428400</v>
      </c>
      <c r="L121" s="100">
        <v>428400</v>
      </c>
      <c r="M121" s="100">
        <v>428400</v>
      </c>
      <c r="N121" s="116">
        <v>428400</v>
      </c>
      <c r="O121" s="116">
        <v>429600</v>
      </c>
      <c r="P121" s="116"/>
      <c r="Q121" s="88">
        <f>SUM(I121:P121)</f>
        <v>3000000</v>
      </c>
    </row>
    <row r="122" spans="1:17" ht="30" customHeight="1">
      <c r="A122" s="158"/>
      <c r="B122" s="165"/>
      <c r="C122" s="43" t="s">
        <v>37</v>
      </c>
      <c r="D122" s="56" t="s">
        <v>182</v>
      </c>
      <c r="E122" s="73" t="s">
        <v>25</v>
      </c>
      <c r="F122" s="73" t="s">
        <v>25</v>
      </c>
      <c r="G122" s="73" t="s">
        <v>25</v>
      </c>
      <c r="H122" s="52">
        <f>Q122</f>
        <v>772600</v>
      </c>
      <c r="I122" s="100">
        <v>386300</v>
      </c>
      <c r="J122" s="100">
        <v>386300</v>
      </c>
      <c r="K122" s="100"/>
      <c r="L122" s="100"/>
      <c r="M122" s="100"/>
      <c r="N122" s="116"/>
      <c r="O122" s="116"/>
      <c r="P122" s="116"/>
      <c r="Q122" s="88">
        <f>SUM(I122:P122)</f>
        <v>772600</v>
      </c>
    </row>
  </sheetData>
  <sheetProtection/>
  <mergeCells count="37">
    <mergeCell ref="C47:D47"/>
    <mergeCell ref="Q4:Q5"/>
    <mergeCell ref="I4:M4"/>
    <mergeCell ref="C24:D24"/>
    <mergeCell ref="C25:D25"/>
    <mergeCell ref="C26:D26"/>
    <mergeCell ref="C34:D34"/>
    <mergeCell ref="C35:D35"/>
    <mergeCell ref="B4:D5"/>
    <mergeCell ref="B6:D6"/>
    <mergeCell ref="A2:Q2"/>
    <mergeCell ref="A1:Q1"/>
    <mergeCell ref="B10:Q10"/>
    <mergeCell ref="C14:Q14"/>
    <mergeCell ref="E4:E5"/>
    <mergeCell ref="F4:G4"/>
    <mergeCell ref="H4:H5"/>
    <mergeCell ref="C11:D11"/>
    <mergeCell ref="A4:A5"/>
    <mergeCell ref="C13:D13"/>
    <mergeCell ref="B11:B23"/>
    <mergeCell ref="B24:B33"/>
    <mergeCell ref="B34:B43"/>
    <mergeCell ref="C37:Q37"/>
    <mergeCell ref="C36:D36"/>
    <mergeCell ref="C27:Q27"/>
    <mergeCell ref="C12:D12"/>
    <mergeCell ref="A10:A122"/>
    <mergeCell ref="C50:Q50"/>
    <mergeCell ref="B7:D7"/>
    <mergeCell ref="B8:D8"/>
    <mergeCell ref="B9:D9"/>
    <mergeCell ref="C48:D48"/>
    <mergeCell ref="C49:D49"/>
    <mergeCell ref="C120:D120"/>
    <mergeCell ref="B47:B119"/>
    <mergeCell ref="B120:B122"/>
  </mergeCells>
  <printOptions horizontalCentered="1"/>
  <pageMargins left="0.11811023622047245" right="0.11811023622047245" top="0.7480314960629921" bottom="0.7480314960629921" header="0.31496062992125984" footer="0.31496062992125984"/>
  <pageSetup firstPageNumber="3" useFirstPageNumber="1" horizontalDpi="600" verticalDpi="600" orientation="landscape" paperSize="9" scale="5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Starostwo</cp:lastModifiedBy>
  <cp:lastPrinted>2010-11-12T09:24:15Z</cp:lastPrinted>
  <dcterms:created xsi:type="dcterms:W3CDTF">2010-07-28T16:34:46Z</dcterms:created>
  <dcterms:modified xsi:type="dcterms:W3CDTF">2010-11-12T09:24:18Z</dcterms:modified>
  <cp:category/>
  <cp:version/>
  <cp:contentType/>
  <cp:contentStatus/>
</cp:coreProperties>
</file>