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5480" windowHeight="11505"/>
  </bookViews>
  <sheets>
    <sheet name="wpf plik" sheetId="1" r:id="rId1"/>
  </sheets>
  <definedNames>
    <definedName name="_xlnm.Print_Area" localSheetId="0">'wpf plik'!$A$5:$F$99</definedName>
    <definedName name="_xlnm.Print_Titles" localSheetId="0">'wpf plik'!$5:$5</definedName>
  </definedNames>
  <calcPr calcId="125725"/>
</workbook>
</file>

<file path=xl/calcChain.xml><?xml version="1.0" encoding="utf-8"?>
<calcChain xmlns="http://schemas.openxmlformats.org/spreadsheetml/2006/main">
  <c r="E29" i="1"/>
  <c r="E80" l="1"/>
  <c r="E76"/>
  <c r="E77" s="1"/>
  <c r="E75"/>
  <c r="E74"/>
  <c r="D68" l="1"/>
  <c r="D29" l="1"/>
  <c r="D26" l="1"/>
  <c r="D30"/>
  <c r="D79" l="1"/>
  <c r="D81"/>
  <c r="D78" s="1"/>
  <c r="D75"/>
  <c r="D72"/>
  <c r="D64"/>
  <c r="E82" l="1"/>
  <c r="D77"/>
  <c r="D83" s="1"/>
  <c r="D35" l="1"/>
  <c r="D80" l="1"/>
  <c r="D74" l="1"/>
  <c r="F68" l="1"/>
  <c r="F63" l="1"/>
  <c r="F18"/>
  <c r="F16"/>
  <c r="D16"/>
  <c r="F10" l="1"/>
  <c r="F11"/>
  <c r="F12"/>
  <c r="F9" l="1"/>
  <c r="F8" l="1"/>
  <c r="E93"/>
  <c r="F93"/>
  <c r="D93"/>
  <c r="D65"/>
  <c r="E65"/>
  <c r="D48"/>
  <c r="D47"/>
  <c r="E47"/>
  <c r="E35" l="1"/>
  <c r="F35"/>
  <c r="F26"/>
  <c r="F17"/>
  <c r="D17"/>
  <c r="E17"/>
  <c r="D6"/>
  <c r="E6"/>
  <c r="A7"/>
  <c r="A8"/>
  <c r="A9"/>
  <c r="A10"/>
  <c r="A12"/>
  <c r="A13"/>
  <c r="A14"/>
  <c r="A15"/>
  <c r="A16"/>
  <c r="A18"/>
  <c r="A19"/>
  <c r="A21"/>
  <c r="A22"/>
  <c r="A24"/>
  <c r="A27"/>
  <c r="A28"/>
  <c r="A29"/>
  <c r="A30"/>
  <c r="A31"/>
  <c r="A32"/>
  <c r="A33"/>
  <c r="A34"/>
  <c r="A36"/>
  <c r="A37"/>
  <c r="A39"/>
  <c r="A41"/>
  <c r="A42"/>
  <c r="A43"/>
  <c r="A44"/>
  <c r="A47"/>
  <c r="A48"/>
  <c r="A50"/>
  <c r="A51"/>
  <c r="A52"/>
  <c r="A53"/>
  <c r="A54"/>
  <c r="A55"/>
  <c r="A56"/>
  <c r="A57"/>
  <c r="A58"/>
  <c r="A59"/>
  <c r="A61"/>
  <c r="A63"/>
  <c r="A64"/>
  <c r="A65"/>
  <c r="A66"/>
  <c r="A67"/>
  <c r="A68"/>
  <c r="A69"/>
  <c r="A70"/>
  <c r="A72"/>
  <c r="A73"/>
  <c r="A75"/>
  <c r="A76"/>
  <c r="A78"/>
  <c r="A79"/>
  <c r="A80"/>
  <c r="A81"/>
  <c r="A82"/>
  <c r="A83"/>
  <c r="A85"/>
  <c r="A86"/>
  <c r="A87"/>
  <c r="A88"/>
  <c r="A89"/>
  <c r="A90"/>
  <c r="A91"/>
  <c r="A93"/>
  <c r="A94"/>
  <c r="A95"/>
  <c r="A96"/>
  <c r="A97"/>
  <c r="A98"/>
  <c r="A99"/>
  <c r="D60" l="1"/>
  <c r="E60"/>
  <c r="D25"/>
  <c r="D55"/>
  <c r="D53"/>
  <c r="D52"/>
  <c r="D51"/>
  <c r="D50"/>
  <c r="D44"/>
  <c r="D43"/>
  <c r="E25"/>
  <c r="E53"/>
  <c r="E52"/>
  <c r="E51"/>
  <c r="E44"/>
  <c r="E43"/>
  <c r="E55"/>
  <c r="E50"/>
  <c r="E58" l="1"/>
  <c r="E59"/>
  <c r="E26"/>
  <c r="E48"/>
  <c r="D58"/>
  <c r="D59"/>
  <c r="F7" l="1"/>
  <c r="F13" l="1"/>
  <c r="F48"/>
  <c r="F47"/>
  <c r="F6"/>
  <c r="F60" s="1"/>
  <c r="F55" l="1"/>
  <c r="F50"/>
  <c r="F52"/>
  <c r="F25"/>
  <c r="F51"/>
  <c r="F44"/>
  <c r="F53"/>
  <c r="F43"/>
  <c r="F57"/>
  <c r="F59" s="1"/>
  <c r="F56"/>
  <c r="F106"/>
  <c r="F58" l="1"/>
</calcChain>
</file>

<file path=xl/sharedStrings.xml><?xml version="1.0" encoding="utf-8"?>
<sst xmlns="http://schemas.openxmlformats.org/spreadsheetml/2006/main" count="128" uniqueCount="123">
  <si>
    <t>L.p.</t>
  </si>
  <si>
    <t>Formuła</t>
  </si>
  <si>
    <t>Prognoza 2013</t>
  </si>
  <si>
    <t>Prognoza 2021</t>
  </si>
  <si>
    <t>[1.1]+[1.2]</t>
  </si>
  <si>
    <t>Dochody ogółem</t>
  </si>
  <si>
    <t xml:space="preserve"> Dochody bieżące</t>
  </si>
  <si>
    <t xml:space="preserve">  dochody z tytułu udziału we wpływach z podatku dochodowego od osób fizycznych</t>
  </si>
  <si>
    <t xml:space="preserve">  dochody z tytułu udziału we wpływach z podatku dochodowego od osób prawnych</t>
  </si>
  <si>
    <t xml:space="preserve">  podatki i opłaty</t>
  </si>
  <si>
    <t>1.1.3.1</t>
  </si>
  <si>
    <t xml:space="preserve">   z podatku od nieruchomości</t>
  </si>
  <si>
    <t xml:space="preserve">  z subwencji ogólnej</t>
  </si>
  <si>
    <t xml:space="preserve">  z tytułu dotacji i środków przeznaczonych na cele bieżące</t>
  </si>
  <si>
    <t xml:space="preserve">  Dochody majątkowe, w tym</t>
  </si>
  <si>
    <t xml:space="preserve">  ze sprzedaży majątku</t>
  </si>
  <si>
    <t xml:space="preserve">  z tytułu dotacji oraz środków przeznaczonych na inwestycje</t>
  </si>
  <si>
    <t>[2.1]+[2.2]</t>
  </si>
  <si>
    <t>Wydatki ogółem</t>
  </si>
  <si>
    <t xml:space="preserve"> Wydatki bieżące, w tym:</t>
  </si>
  <si>
    <t xml:space="preserve">  z tytułu poręczeń i gwarancji</t>
  </si>
  <si>
    <t>2.1.1.1</t>
  </si>
  <si>
    <t xml:space="preserve">   w tym: gwarancje i poręczenia podlegające wyłączeniu z limitów spłaty zobowiązań  określonych w art. 243 ust. 3 pkt 2 ustawy z dnia 27 sierpnia 2009 r. o finansach publicznych (Dz. U. Nr 157, poz. 1240, z późn. zm.) lub art. 169 ust. 3 pkt 2 ustawy z dnia 30 czerwca 2005 r. o finansach publicznych (Dz. U. Nr 249, poz. 2104, z późn. zm)</t>
  </si>
  <si>
    <t xml:space="preserve">   na spłatę przejętych zobowiązań samodzielnego publicznego zakładu opieki zdrowotnej przekształconego na zasadach określonych w przepisach  o działalności leczniczej, w wysokości w jakiej nie podlegają sfinansowaniu dotacją z budżetu państwa)</t>
  </si>
  <si>
    <t xml:space="preserve">  wydatki na obsługę długu</t>
  </si>
  <si>
    <t>2.1.3.1</t>
  </si>
  <si>
    <t xml:space="preserve">   w tym odsetki i dyskonto określone w art. 243 ust. 1 ustawy lub art. 169 ust. 1 ufp z 2005 r..</t>
  </si>
  <si>
    <t xml:space="preserve"> Wydatki majątkowe</t>
  </si>
  <si>
    <t>[1] -[2]</t>
  </si>
  <si>
    <t>Wynik budżetu</t>
  </si>
  <si>
    <t>[4.1] + [4.2] + [4.3] + [4.4]</t>
  </si>
  <si>
    <t>Przychody budżetu</t>
  </si>
  <si>
    <t xml:space="preserve"> Nadwyżka budżetowa z lat ubiegłych</t>
  </si>
  <si>
    <t xml:space="preserve">  w tym na pokrycie deficytu budżetu</t>
  </si>
  <si>
    <t xml:space="preserve"> Wolne środki, o których mowa w art. 217 ust.2 pkt 6 ustawy</t>
  </si>
  <si>
    <t xml:space="preserve">   w tym na pokrycie deficytu budżetu</t>
  </si>
  <si>
    <t xml:space="preserve">  Kredyty, pożyczki, emisja papierów wartościowych</t>
  </si>
  <si>
    <t xml:space="preserve"> Inne przychody niezwiązane z zaciągnięciem długu</t>
  </si>
  <si>
    <t>[5.1] + [5.2]</t>
  </si>
  <si>
    <t>Rozchody budżetu</t>
  </si>
  <si>
    <t xml:space="preserve"> Spłaty rat kapitałowych kredytów i pożyczek oraz wykup papierów wartościowych</t>
  </si>
  <si>
    <t xml:space="preserve">  w tym łączna kwota przypadających na dany rok kwot wyłączeń określonych w: art. 243 ust. 3 pkt 1 ustawy (lub art. 169 ust. 3 pkt 1 ufp z 2005 r.), art. 121a ustawy  z dnia 27 sierpnia 2009 r. – Przepisy wprowadzające ustawę o finansach publicznych  (Dz. U. Nr 157, poz. 1241, z późn. zm.) oraz art.  36 ustawy z dnia 7 grudnia 2012 r. o zmianie niektórych ustaw związanych z realizacją ustawy budżetowej (Dz.U. poz. 1456)</t>
  </si>
  <si>
    <t>5.1.1.1</t>
  </si>
  <si>
    <t xml:space="preserve">   w tym kwota przypadających na dany rok kwot wyłączeń określonych w art. 243 ust. 3 pkt 1 ustawy lub art. 169 ust. 3 pkt 1 ufp z 2005 r.</t>
  </si>
  <si>
    <t xml:space="preserve"> Inne rozchody niezwiązane ze spłatą długu</t>
  </si>
  <si>
    <t>Kwota długu</t>
  </si>
  <si>
    <t xml:space="preserve"> Łączna kwota wyłączeń z ograniczeń długu określonych w art. 170 ust. 3 ufp z 2005 r. oraz w art.  36 ustawy o zmianie niektórych ustaw związanych z realizacją ustawy budżetowej, w tym: </t>
  </si>
  <si>
    <t xml:space="preserve">   - kwota wyłączeń z ograniczeń długu określonych w art. 170 ust. 3 ufp z 2005 r. </t>
  </si>
  <si>
    <t>[6] / [1]</t>
  </si>
  <si>
    <t xml:space="preserve"> Wskaźnik zadłużenia do dochodów ogółem określony w art. 170 ufp z 2005 r., bez uwzględniania wyłączeń określonych w pkt 6.1.   </t>
  </si>
  <si>
    <t>([6] - [6.1]) / [1]</t>
  </si>
  <si>
    <t xml:space="preserve"> Wskaźnik zadłużenia do dochodów ogółem, o którym mowa w art.  170 ufp z 2005 r., po uwzględnieniu wyłączeń określonych w pkt 6.1. 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</si>
  <si>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</si>
  <si>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</si>
  <si>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>[1.1] - [2.1]</t>
  </si>
  <si>
    <t xml:space="preserve"> Różnica między dochodami bieżącymi a  wydatkami bieżącymi</t>
  </si>
  <si>
    <t>[1.1] + [4.1] + [4.2] - (  [2.1] - [2.1.2]  )</t>
  </si>
  <si>
    <t xml:space="preserve"> Różnica między dochodami bieżącymi, powiększonymi o nadwyżkę budżetową określoną w pkt 4.1. i wolne środki określone w pkt 4.2.  a wydatkami bieżącymi, pomniejszonym o wydatki określone w pkt  2.1.2.</t>
  </si>
  <si>
    <t>Wskaźnik spłaty zobowiązań</t>
  </si>
  <si>
    <t>([2.1.1] + [2.1.3.1] + [5.1] ) / [1]</t>
  </si>
  <si>
    <t xml:space="preserve"> Wskaźnik planowanej łącznej kwoty spłaty zobowiązań, o której mowa w art. 169 ust. 1 ufp z 2005 r. do dochodów ogółem, bez uwzględnienia wyłączeń określonych w pkt 5.1.1.  </t>
  </si>
  <si>
    <t>([2.1.1] + [2.1.3.1] + [5.1] - [5.1.1] ) / [1]</t>
  </si>
  <si>
    <t xml:space="preserve"> Wskaźnik planowanej łącznej kwoty spłaty zobowiązań, o której mowa w art. 169 ust. 1 ufp z 2005 r. do dochodów ogółem, po uwzględnieniu wyłączeń przypadających na dany rok określonych w pkt 5.1.1. </t>
  </si>
  <si>
    <t xml:space="preserve"> Wskaźnik planowanej łącznej kwoty spłaty zobowiązań, o której mowa w art. 243 ust. 1 ustawy do dochodów ogółem, bez uwzględnienia zobowiązań związku współtworzonego przez jednostkę samorządu terytorialnego  i bez uwzględniania wyłączeń przypadających na dany rok określonych w pkt 5.1.1.</t>
  </si>
  <si>
    <t xml:space="preserve"> Wskaźnik planowanej łącznej kwoty spłaty zobowiązań, o której mowa w art. 243 ust. 1 ustawy do dochodów ogółem, bez uwzględnienia zobowiązań związku współtworzonego przez jednostkę samorządu terytorialnego, po uwzględnieniu wyłączeń przypadających na dany rok określonych w pkt 5.1.1. </t>
  </si>
  <si>
    <t xml:space="preserve"> Kwota zobowiązań związku współtworzonego przez jednostkę samorządu terytorialnego przypadających do spłaty w danym roku budżetowym, podlegająca doliczeniu zgodnie z art. 244 ustawy </t>
  </si>
  <si>
    <t>([2.1.1]+[2.1.3.1] + [5.1]+[9.5]-[5.1.1] )/[1]</t>
  </si>
  <si>
    <t xml:space="preserve"> Wskaźnik planowanej łącznej kwoty spłaty zobowiązań, o której mowa w art. 243 ust. 1 ustawy do dochodów ogółem, po uwzględnieniu zobowiązań związku współtworzonego przez jednostkę samorządu terytorialnego oraz po uwzględnieniu wyłączeń przypadających na dany rok określonych w pkt 5.1.1.</t>
  </si>
  <si>
    <t>średnia z trzech poprzednich lat [9.6.1]</t>
  </si>
  <si>
    <t xml:space="preserve"> Dopuszczalny wskaźnik spłaty zobowiązań określony w art. 243 ustawy, po uwzględnieniu wyłączeń określonych w art.  36 ustawy z dnia 7 grudnia 2012 r. o zmianie niektórych ustaw związanych z realizacją ustawy budżetowej, obliczony w oparciu o plan 3 kwartałów roku poprzedzającego rok budżetowy</t>
  </si>
  <si>
    <t xml:space="preserve">  Dopuszczalny wskaźnik spłaty zobowiązań określony w art. 243 ustawy, po uwzględnieniu wyłączeń określonych w art.  36 ustawy z dnia 7 grudnia 2012 r. o zmianie niektórych ustaw związanych z realizacją ustawy budżetowej, obliczony w oparciu o wykonanie roku poprzedzającego rok budżetowy</t>
  </si>
  <si>
    <t>[9.6] - [9.7]</t>
  </si>
  <si>
    <t xml:space="preserve"> Informacja o spełnieniu wskaźnika spłaty zobowiązań określonego w art. 243 ustawy, po uwzględnieniu zobowiązań związku współtworzonego przez jednostkę samorządu terytorialnego oraz po uwzględnieniu wyłączeń określonych w pkt 5.1.1., obliczonego w oparciu o plan 3 kwartałów roku poprzedzającego rok budżetowy</t>
  </si>
  <si>
    <t>[9.6] - [9.7.1]</t>
  </si>
  <si>
    <t xml:space="preserve">  Informacja o spełnieniu wskaźnika spłaty zobowiązań określonego w art. 243 ustawy, po uwzględnieniu zobowiązań związku współtworzonego przez jednostkę samorządu terytorialnego oraz po uwzględnieniu wyłączeń określonych w pkt 5.1.1., obliczonego w oparciu o wykonanie roku poprzedzającego rok budżetowy</t>
  </si>
  <si>
    <t>Przeznaczenie prognozowanej nadwyżki budżetowej,  w tym na:</t>
  </si>
  <si>
    <t xml:space="preserve"> Spłaty kredytów, pożyczek i wykup papierów wartościowych</t>
  </si>
  <si>
    <t>Informacje uzupełniające o wybranych rodzajach wydatków budżetowych</t>
  </si>
  <si>
    <t xml:space="preserve"> Wydatki bieżące na wynagrodzenia i składki od nich naliczane</t>
  </si>
  <si>
    <t xml:space="preserve"> Wydatki związane z funkcjonowaniem organów jednostki samorządu terytorialnego</t>
  </si>
  <si>
    <t>[11.3.1] + [11.3.2]</t>
  </si>
  <si>
    <t xml:space="preserve"> Wydatki objęte limitem art. 226 ust. 3 ustawy</t>
  </si>
  <si>
    <t xml:space="preserve">   bieżące</t>
  </si>
  <si>
    <t xml:space="preserve">   majątkowe</t>
  </si>
  <si>
    <t xml:space="preserve"> Wydatki inwestycyjne kontynuowane </t>
  </si>
  <si>
    <t xml:space="preserve"> Nowe wydatki inwestycyjne</t>
  </si>
  <si>
    <t xml:space="preserve"> Wydatki majątkowe w formie dotacji </t>
  </si>
  <si>
    <t>Finansowanie programów, projektów lub zadań realizowanych z udziałem środków, o których mowa w art. 5 ust. 1 pkt 2 i 3 ustawy</t>
  </si>
  <si>
    <t xml:space="preserve"> Dochody bieżące  na programy, projekty lub zadania finansowane z udziałem środków, o których mowa w art. 5 ust. 1 pkt 2 i 3 ustawy</t>
  </si>
  <si>
    <t xml:space="preserve">  -  w tym środki określone w art. 5 ust. 1 pkt 2 ustawy</t>
  </si>
  <si>
    <t>12.1.1.1</t>
  </si>
  <si>
    <t xml:space="preserve">   - w tym środki określone w art. 5 ust. 1 pkt 2 ustawy wynikające wyłącznie z  zawartych umów na realizację programu, projektu lub zadania</t>
  </si>
  <si>
    <t xml:space="preserve"> Dochody majątkowe  na programy, projekty lub zadania finansowane z udziałem środków, o których mowa w art. 5 ust. 1 pkt 2 i 3 ustawy</t>
  </si>
  <si>
    <t xml:space="preserve">   -  w tym środki określone w art. 5 ust. 1 pkt 2 ustawy</t>
  </si>
  <si>
    <t>12.2.1.1</t>
  </si>
  <si>
    <t xml:space="preserve">    - w tym środki określone w art. 5 ust. 1 pkt 2 ustawy wynikające wyłącznie z zawartych umów na realizację programu, projektu lub zadania</t>
  </si>
  <si>
    <t xml:space="preserve"> Wydatki bieżące na programy, projekty lub zadania finansowane z udziałem środków, o których mowa w art. 5 ust. 1 pkt 2 i 3 ustawy</t>
  </si>
  <si>
    <t xml:space="preserve">  -  w tym finansowane środkami określonymi w art. 5 ust. 1 pkt 2 ustawy </t>
  </si>
  <si>
    <t xml:space="preserve">  Wydatki bieżące na realizację programu, projektu lub zadania wynikające wyłącznie z zawartych umów z podmiotem dysponującym środkami, o których mowa w art. 5 ust. 1 pkt 2 ustawy </t>
  </si>
  <si>
    <t xml:space="preserve"> Wydatki majątkowe na programy, projekty lub zadania finansowane z udziałem środków, o których mowa w art. 5 ust. 1 pkt 2 i 3 ustawy</t>
  </si>
  <si>
    <t xml:space="preserve">  -  w tym finansowane środkami określonymi w art. 5 ust. 1 pkt 2 ustawy</t>
  </si>
  <si>
    <t xml:space="preserve">  Wydatki majątkowe na realizację programu, projektu lub zadania wynikające wyłącznie z zawartych umów z podmiotem dysponującym środkami, o których mowa w art. 5 ust. 1 pkt 2 ustawy </t>
  </si>
  <si>
    <t xml:space="preserve">Kwoty dotyczące przejęcia i spłaty zobowiązań po samodzielnych publicznych zakładach opieki zdrowotnej oraz pokrycia ujemnego wyniku </t>
  </si>
  <si>
    <t xml:space="preserve"> Kwota zobowiązań wynikających z przejęcia przez jednostkę samorządu terytorialnego zobowiązań po likwidowanych i przekształcanych samodzielnych zakładach opieki zdrowotnej</t>
  </si>
  <si>
    <t xml:space="preserve"> Dochody budżetowe z tytułu dotacji celowej z budżetu państwa, o której mowa w art. 196 ustawy z  dnia 15 kwietnia 2011 r.  o działalności leczniczej (Dz.U. Nr 112, poz. 654, z późn. zm.)</t>
  </si>
  <si>
    <t xml:space="preserve"> Wysokość zobowiązań podlegających umorzeniu, o którym mowa w art. 190 ustawy o działalności leczniczej</t>
  </si>
  <si>
    <t xml:space="preserve"> Wydatki na spłatę przejętych zobowiązań samodzielnego publicznego zakładu opieki zdrowotnej przekształconego na zasadach określonych w przepisach  o działalności leczniczej</t>
  </si>
  <si>
    <t xml:space="preserve"> Wydatki na spłatę przejętych zobowiązań samodzielnego publicznego zakładu opieki zdrowotnej likwidowanego na zasadach określonych w przepisach  o działalności leczniczej</t>
  </si>
  <si>
    <t xml:space="preserve"> Wydatki na spłatę zobowiązań samodzielnego publicznego zakładu opieki zdrowotnej przejętych do końca 2011 r. na podstawie przepisów o zakładach opieki zdrowotnej</t>
  </si>
  <si>
    <t xml:space="preserve"> Wydatki bieżące na pokrycie ujemnego wyniku finansowego samodzielnego publicznego zakładu opieki zdrowotnej</t>
  </si>
  <si>
    <t>Dane uzupełniające o długu i jego spłacie</t>
  </si>
  <si>
    <t xml:space="preserve"> Spłaty rat kapitałowych oraz wykup papierów wartościowych, o których mowa w pkt. 5.1., wynikające wyłącznie z tytułu zobowiązań już zaciągniętych</t>
  </si>
  <si>
    <t xml:space="preserve"> Kwota długu, którego planowana spłata dokona się z wydatków budżetu</t>
  </si>
  <si>
    <t xml:space="preserve"> Wydatki zmniejszające dług, w tym</t>
  </si>
  <si>
    <t xml:space="preserve">  spłata zobowiązań wymagalnych z lat poprzednich, innych niż w pkt 14.3.3</t>
  </si>
  <si>
    <t xml:space="preserve">  związane z umowami zaliczanymi do tytułów dłużnych wliczanych w państwowy dług publiczny</t>
  </si>
  <si>
    <t xml:space="preserve">  wypłaty z tytułu wymagalnych poręczeń i gwarancji</t>
  </si>
  <si>
    <t xml:space="preserve"> Wynik operacji niekasowych wpływających na kwotę długu ( m.in. umorzenia, różnice kursowe)</t>
  </si>
  <si>
    <t>Wykonanie na 30.06.2013 r.</t>
  </si>
  <si>
    <t>Zał. Nr 5 do uchwały ZPT w sprawie wykonania budżetu za okres 1.01.2013-30.06.2013</t>
  </si>
  <si>
    <t>Przepływy pieniężne i kwota długu</t>
  </si>
  <si>
    <t>WIELOLETNIA PROGNOZA FINANSOWA  POWIATU  TORUŃSKIEGO   NA  LATA  2013-2020- wykonanie 30.06.2013</t>
  </si>
  <si>
    <r>
      <t xml:space="preserve">Wyszczególnienie - </t>
    </r>
    <r>
      <rPr>
        <b/>
        <sz val="11"/>
        <color theme="1"/>
        <rFont val="Times New Roman"/>
        <family val="1"/>
        <charset val="238"/>
      </rPr>
      <t>Wieloletnia Prognoza Finansowa Powiatu Toruńskiego na lata 2013-2020 - wykonanie na 30.06.2013</t>
    </r>
  </si>
</sst>
</file>

<file path=xl/styles.xml><?xml version="1.0" encoding="utf-8"?>
<styleSheet xmlns="http://schemas.openxmlformats.org/spreadsheetml/2006/main">
  <fonts count="23">
    <font>
      <sz val="11"/>
      <color theme="1"/>
      <name val="Times New Roman"/>
      <family val="2"/>
      <charset val="238"/>
    </font>
    <font>
      <sz val="11"/>
      <color theme="1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1"/>
      <color rgb="FF006100"/>
      <name val="Times New Roman"/>
      <family val="2"/>
      <charset val="238"/>
    </font>
    <font>
      <sz val="11"/>
      <color rgb="FF9C0006"/>
      <name val="Times New Roman"/>
      <family val="2"/>
      <charset val="238"/>
    </font>
    <font>
      <sz val="11"/>
      <color rgb="FF9C6500"/>
      <name val="Times New Roman"/>
      <family val="2"/>
      <charset val="238"/>
    </font>
    <font>
      <sz val="11"/>
      <color rgb="FF3F3F76"/>
      <name val="Times New Roman"/>
      <family val="2"/>
      <charset val="238"/>
    </font>
    <font>
      <b/>
      <sz val="11"/>
      <color rgb="FF3F3F3F"/>
      <name val="Times New Roman"/>
      <family val="2"/>
      <charset val="238"/>
    </font>
    <font>
      <b/>
      <sz val="11"/>
      <color rgb="FFFA7D00"/>
      <name val="Times New Roman"/>
      <family val="2"/>
      <charset val="238"/>
    </font>
    <font>
      <sz val="11"/>
      <color rgb="FFFA7D00"/>
      <name val="Times New Roman"/>
      <family val="2"/>
      <charset val="238"/>
    </font>
    <font>
      <b/>
      <sz val="11"/>
      <color theme="0"/>
      <name val="Times New Roman"/>
      <family val="2"/>
      <charset val="238"/>
    </font>
    <font>
      <sz val="11"/>
      <color rgb="FFFF0000"/>
      <name val="Times New Roman"/>
      <family val="2"/>
      <charset val="238"/>
    </font>
    <font>
      <i/>
      <sz val="11"/>
      <color rgb="FF7F7F7F"/>
      <name val="Times New Roman"/>
      <family val="2"/>
      <charset val="238"/>
    </font>
    <font>
      <b/>
      <sz val="11"/>
      <color theme="1"/>
      <name val="Times New Roman"/>
      <family val="2"/>
      <charset val="238"/>
    </font>
    <font>
      <sz val="11"/>
      <color theme="0"/>
      <name val="Times New Roman"/>
      <family val="2"/>
      <charset val="238"/>
    </font>
    <font>
      <sz val="11"/>
      <name val="Times New Roman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Times New Roman"/>
      <family val="1"/>
      <charset val="238"/>
    </font>
    <font>
      <b/>
      <sz val="12"/>
      <name val="Czcionka tekstu podstawowego"/>
      <charset val="238"/>
    </font>
    <font>
      <b/>
      <sz val="11"/>
      <color theme="1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0" fontId="0" fillId="0" borderId="0" xfId="1" applyNumberFormat="1" applyFont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4" fontId="0" fillId="0" borderId="10" xfId="0" applyNumberFormat="1" applyBorder="1" applyAlignment="1">
      <alignment vertical="center" wrapText="1"/>
    </xf>
    <xf numFmtId="2" fontId="0" fillId="0" borderId="10" xfId="0" applyNumberFormat="1" applyBorder="1" applyAlignment="1">
      <alignment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left" vertical="center" wrapText="1"/>
    </xf>
    <xf numFmtId="0" fontId="0" fillId="33" borderId="10" xfId="0" applyFill="1" applyBorder="1" applyAlignment="1">
      <alignment vertical="center" wrapText="1"/>
    </xf>
    <xf numFmtId="4" fontId="0" fillId="33" borderId="10" xfId="0" applyNumberFormat="1" applyFill="1" applyBorder="1" applyAlignment="1">
      <alignment vertical="center" wrapText="1"/>
    </xf>
    <xf numFmtId="10" fontId="0" fillId="33" borderId="10" xfId="1" applyNumberFormat="1" applyFont="1" applyFill="1" applyBorder="1" applyAlignment="1">
      <alignment vertical="center" wrapText="1"/>
    </xf>
    <xf numFmtId="4" fontId="0" fillId="35" borderId="10" xfId="0" applyNumberFormat="1" applyFill="1" applyBorder="1" applyAlignment="1">
      <alignment vertical="center" wrapText="1"/>
    </xf>
    <xf numFmtId="4" fontId="0" fillId="34" borderId="10" xfId="0" applyNumberForma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4" fontId="0" fillId="36" borderId="10" xfId="0" applyNumberFormat="1" applyFill="1" applyBorder="1" applyAlignment="1">
      <alignment vertical="center" wrapText="1"/>
    </xf>
    <xf numFmtId="0" fontId="18" fillId="36" borderId="10" xfId="0" applyFont="1" applyFill="1" applyBorder="1" applyAlignment="1">
      <alignment horizontal="center" vertical="center" wrapText="1"/>
    </xf>
    <xf numFmtId="4" fontId="18" fillId="36" borderId="10" xfId="0" applyNumberFormat="1" applyFont="1" applyFill="1" applyBorder="1" applyAlignment="1">
      <alignment vertical="center" wrapText="1"/>
    </xf>
    <xf numFmtId="10" fontId="18" fillId="36" borderId="10" xfId="1" applyNumberFormat="1" applyFont="1" applyFill="1" applyBorder="1" applyAlignment="1">
      <alignment vertical="center" wrapText="1"/>
    </xf>
    <xf numFmtId="0" fontId="18" fillId="36" borderId="10" xfId="0" applyFont="1" applyFill="1" applyBorder="1" applyAlignment="1">
      <alignment vertical="center" wrapText="1"/>
    </xf>
    <xf numFmtId="2" fontId="18" fillId="36" borderId="10" xfId="0" applyNumberFormat="1" applyFont="1" applyFill="1" applyBorder="1" applyAlignment="1">
      <alignment vertical="center" wrapText="1"/>
    </xf>
    <xf numFmtId="10" fontId="18" fillId="36" borderId="0" xfId="1" applyNumberFormat="1" applyFont="1" applyFill="1" applyAlignment="1">
      <alignment vertical="center" wrapText="1"/>
    </xf>
    <xf numFmtId="0" fontId="18" fillId="36" borderId="0" xfId="0" applyFont="1" applyFill="1" applyAlignment="1">
      <alignment vertical="center" wrapText="1"/>
    </xf>
    <xf numFmtId="4" fontId="18" fillId="34" borderId="10" xfId="0" applyNumberFormat="1" applyFont="1" applyFill="1" applyBorder="1" applyAlignment="1">
      <alignment vertical="center" wrapText="1"/>
    </xf>
    <xf numFmtId="10" fontId="0" fillId="36" borderId="0" xfId="1" applyNumberFormat="1" applyFont="1" applyFill="1" applyAlignment="1">
      <alignment vertical="center" wrapText="1"/>
    </xf>
    <xf numFmtId="0" fontId="0" fillId="36" borderId="0" xfId="0" applyFill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36" borderId="10" xfId="0" applyFill="1" applyBorder="1" applyAlignment="1">
      <alignment vertical="center" wrapText="1"/>
    </xf>
    <xf numFmtId="2" fontId="0" fillId="36" borderId="10" xfId="0" applyNumberFormat="1" applyFill="1" applyBorder="1" applyAlignment="1">
      <alignment vertical="center" wrapText="1"/>
    </xf>
    <xf numFmtId="3" fontId="0" fillId="36" borderId="10" xfId="0" applyNumberFormat="1" applyFill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36" borderId="0" xfId="0" applyFill="1" applyBorder="1" applyAlignment="1">
      <alignment vertical="center" wrapText="1"/>
    </xf>
    <xf numFmtId="0" fontId="20" fillId="0" borderId="0" xfId="0" applyFont="1" applyAlignment="1" applyProtection="1">
      <alignment horizontal="left" vertical="center" wrapText="1"/>
    </xf>
    <xf numFmtId="0" fontId="21" fillId="0" borderId="0" xfId="0" applyFont="1" applyAlignment="1" applyProtection="1">
      <alignment horizontal="left" vertical="center" wrapText="1"/>
    </xf>
    <xf numFmtId="0" fontId="21" fillId="0" borderId="0" xfId="0" applyFont="1" applyAlignment="1" applyProtection="1">
      <alignment horizontal="center" vertical="center" wrapText="1"/>
    </xf>
  </cellXfs>
  <cellStyles count="44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e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e" xfId="9" builtinId="28" customBuiltin="1"/>
    <cellStyle name="Normalny" xfId="0" builtinId="0"/>
    <cellStyle name="Normalny 2" xfId="43"/>
    <cellStyle name="Obliczenia" xfId="12" builtinId="22" customBuiltin="1"/>
    <cellStyle name="Procentowy" xfId="1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e" xfId="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6"/>
  <sheetViews>
    <sheetView tabSelected="1" zoomScale="96" zoomScaleNormal="96" workbookViewId="0">
      <pane xSplit="3" ySplit="6" topLeftCell="D7" activePane="bottomRight" state="frozen"/>
      <selection pane="topRight" activeCell="D1" sqref="D1"/>
      <selection pane="bottomLeft" activeCell="A3" sqref="A3"/>
      <selection pane="bottomRight" activeCell="C9" sqref="C9"/>
    </sheetView>
  </sheetViews>
  <sheetFormatPr defaultRowHeight="15"/>
  <cols>
    <col min="1" max="1" width="10" style="3" customWidth="1"/>
    <col min="2" max="2" width="14.140625" style="1" customWidth="1"/>
    <col min="3" max="3" width="59.140625" style="1" customWidth="1"/>
    <col min="4" max="4" width="13.140625" style="27" customWidth="1"/>
    <col min="5" max="5" width="13.140625" style="1" customWidth="1"/>
    <col min="6" max="6" width="13.28515625" style="24" hidden="1" customWidth="1"/>
    <col min="7" max="7" width="9.140625" style="1"/>
    <col min="8" max="8" width="13.28515625" style="1" bestFit="1" customWidth="1"/>
    <col min="9" max="16384" width="9.140625" style="1"/>
  </cols>
  <sheetData>
    <row r="1" spans="1:10">
      <c r="A1" s="35" t="s">
        <v>119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5.75">
      <c r="A2" s="36" t="s">
        <v>121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15.75">
      <c r="A3" s="37" t="s">
        <v>120</v>
      </c>
      <c r="B3" s="37"/>
      <c r="C3" s="37"/>
      <c r="D3" s="37"/>
      <c r="E3" s="37"/>
      <c r="F3" s="37"/>
      <c r="G3" s="37"/>
      <c r="H3" s="37"/>
      <c r="I3" s="37"/>
      <c r="J3" s="37"/>
    </row>
    <row r="4" spans="1:10">
      <c r="A4" s="32"/>
      <c r="B4" s="33"/>
      <c r="C4" s="33"/>
      <c r="D4" s="34"/>
      <c r="E4" s="33"/>
    </row>
    <row r="5" spans="1:10" s="2" customFormat="1" ht="30">
      <c r="A5" s="9" t="s">
        <v>0</v>
      </c>
      <c r="B5" s="9" t="s">
        <v>1</v>
      </c>
      <c r="C5" s="9" t="s">
        <v>122</v>
      </c>
      <c r="D5" s="9" t="s">
        <v>2</v>
      </c>
      <c r="E5" s="9" t="s">
        <v>118</v>
      </c>
      <c r="F5" s="18" t="s">
        <v>3</v>
      </c>
    </row>
    <row r="6" spans="1:10">
      <c r="A6" s="10">
        <v>1</v>
      </c>
      <c r="B6" s="11" t="s">
        <v>4</v>
      </c>
      <c r="C6" s="11" t="s">
        <v>5</v>
      </c>
      <c r="D6" s="12">
        <f t="shared" ref="D6:F6" si="0">D7+D14</f>
        <v>79118810</v>
      </c>
      <c r="E6" s="12">
        <f t="shared" si="0"/>
        <v>40148075.199999996</v>
      </c>
      <c r="F6" s="19" t="e">
        <f t="shared" si="0"/>
        <v>#REF!</v>
      </c>
    </row>
    <row r="7" spans="1:10">
      <c r="A7" s="5" t="str">
        <f>"1.1"</f>
        <v>1.1</v>
      </c>
      <c r="B7" s="6"/>
      <c r="C7" s="6" t="s">
        <v>6</v>
      </c>
      <c r="D7" s="17">
        <v>71889456</v>
      </c>
      <c r="E7" s="7">
        <v>39239829.259999998</v>
      </c>
      <c r="F7" s="19" t="e">
        <f>ROUND(#REF!*103%,-4)-10000</f>
        <v>#REF!</v>
      </c>
    </row>
    <row r="8" spans="1:10" ht="30">
      <c r="A8" s="5" t="str">
        <f>"1.1.1"</f>
        <v>1.1.1</v>
      </c>
      <c r="B8" s="6"/>
      <c r="C8" s="6" t="s">
        <v>7</v>
      </c>
      <c r="D8" s="17">
        <v>13294782</v>
      </c>
      <c r="E8" s="7">
        <v>5930299</v>
      </c>
      <c r="F8" s="19" t="e">
        <f>ROUND(#REF!*103%,-4)</f>
        <v>#REF!</v>
      </c>
    </row>
    <row r="9" spans="1:10" ht="30">
      <c r="A9" s="5" t="str">
        <f>"1.1.2"</f>
        <v>1.1.2</v>
      </c>
      <c r="B9" s="6"/>
      <c r="C9" s="6" t="s">
        <v>8</v>
      </c>
      <c r="D9" s="17">
        <v>472420</v>
      </c>
      <c r="E9" s="7">
        <v>350942.15</v>
      </c>
      <c r="F9" s="19" t="e">
        <f>ROUND(#REF!*103%,-4)</f>
        <v>#REF!</v>
      </c>
    </row>
    <row r="10" spans="1:10">
      <c r="A10" s="5" t="str">
        <f>"1.1.3"</f>
        <v>1.1.3</v>
      </c>
      <c r="B10" s="6"/>
      <c r="C10" s="6" t="s">
        <v>9</v>
      </c>
      <c r="D10" s="17">
        <v>3816030</v>
      </c>
      <c r="E10" s="7">
        <v>2394274.7200000002</v>
      </c>
      <c r="F10" s="19" t="e">
        <f>ROUND(#REF!*103%,-4)</f>
        <v>#REF!</v>
      </c>
    </row>
    <row r="11" spans="1:10">
      <c r="A11" s="5" t="s">
        <v>10</v>
      </c>
      <c r="B11" s="6"/>
      <c r="C11" s="6" t="s">
        <v>11</v>
      </c>
      <c r="D11" s="17">
        <v>0</v>
      </c>
      <c r="E11" s="7"/>
      <c r="F11" s="19" t="e">
        <f>ROUND(#REF!*103%,-4)</f>
        <v>#REF!</v>
      </c>
    </row>
    <row r="12" spans="1:10">
      <c r="A12" s="5" t="str">
        <f>"1.1.4"</f>
        <v>1.1.4</v>
      </c>
      <c r="B12" s="6"/>
      <c r="C12" s="6" t="s">
        <v>12</v>
      </c>
      <c r="D12" s="17">
        <v>26573233</v>
      </c>
      <c r="E12" s="7">
        <v>15509764</v>
      </c>
      <c r="F12" s="19" t="e">
        <f>ROUND(#REF!*103%,-4)</f>
        <v>#REF!</v>
      </c>
    </row>
    <row r="13" spans="1:10">
      <c r="A13" s="5" t="str">
        <f>"1.1.5"</f>
        <v>1.1.5</v>
      </c>
      <c r="B13" s="6"/>
      <c r="C13" s="6" t="s">
        <v>13</v>
      </c>
      <c r="D13" s="17">
        <v>16594550</v>
      </c>
      <c r="E13" s="7">
        <v>9221221.0199999996</v>
      </c>
      <c r="F13" s="19" t="e">
        <f t="shared" ref="F13" si="1">F7-SUM(F8:F12)</f>
        <v>#REF!</v>
      </c>
    </row>
    <row r="14" spans="1:10">
      <c r="A14" s="5" t="str">
        <f>"1.2"</f>
        <v>1.2</v>
      </c>
      <c r="B14" s="6"/>
      <c r="C14" s="6" t="s">
        <v>14</v>
      </c>
      <c r="D14" s="17">
        <v>7229354</v>
      </c>
      <c r="E14" s="7">
        <v>908245.94</v>
      </c>
      <c r="F14" s="19">
        <v>0</v>
      </c>
    </row>
    <row r="15" spans="1:10">
      <c r="A15" s="5" t="str">
        <f>"1.2.1"</f>
        <v>1.2.1</v>
      </c>
      <c r="B15" s="6"/>
      <c r="C15" s="6" t="s">
        <v>15</v>
      </c>
      <c r="D15" s="17">
        <v>0</v>
      </c>
      <c r="E15" s="7">
        <v>50</v>
      </c>
      <c r="F15" s="19">
        <v>0</v>
      </c>
    </row>
    <row r="16" spans="1:10">
      <c r="A16" s="5" t="str">
        <f>"1.2.2"</f>
        <v>1.2.2</v>
      </c>
      <c r="B16" s="6"/>
      <c r="C16" s="6" t="s">
        <v>16</v>
      </c>
      <c r="D16" s="17">
        <f>D14-D15</f>
        <v>7229354</v>
      </c>
      <c r="E16" s="7">
        <v>908195.94</v>
      </c>
      <c r="F16" s="19">
        <f t="shared" ref="F16" si="2">F14-F15</f>
        <v>0</v>
      </c>
    </row>
    <row r="17" spans="1:6">
      <c r="A17" s="10">
        <v>2</v>
      </c>
      <c r="B17" s="11" t="s">
        <v>17</v>
      </c>
      <c r="C17" s="11" t="s">
        <v>18</v>
      </c>
      <c r="D17" s="12">
        <f t="shared" ref="D17:E17" si="3">D18+D24</f>
        <v>83347771</v>
      </c>
      <c r="E17" s="12">
        <f t="shared" si="3"/>
        <v>35027811.859999999</v>
      </c>
      <c r="F17" s="19" t="e">
        <f t="shared" ref="F17" si="4">F18+F24</f>
        <v>#REF!</v>
      </c>
    </row>
    <row r="18" spans="1:6">
      <c r="A18" s="5" t="str">
        <f>"2.1"</f>
        <v>2.1</v>
      </c>
      <c r="B18" s="6"/>
      <c r="C18" s="6" t="s">
        <v>19</v>
      </c>
      <c r="D18" s="17">
        <v>70324597</v>
      </c>
      <c r="E18" s="7">
        <v>34106866.009999998</v>
      </c>
      <c r="F18" s="19" t="e">
        <f>ROUND((#REF!-#REF!)*102.4%,-1)</f>
        <v>#REF!</v>
      </c>
    </row>
    <row r="19" spans="1:6">
      <c r="A19" s="5" t="str">
        <f>"2.1.1"</f>
        <v>2.1.1</v>
      </c>
      <c r="B19" s="6"/>
      <c r="C19" s="6" t="s">
        <v>20</v>
      </c>
      <c r="D19" s="17">
        <v>462411</v>
      </c>
      <c r="E19" s="7"/>
      <c r="F19" s="19">
        <v>0</v>
      </c>
    </row>
    <row r="20" spans="1:6" ht="90">
      <c r="A20" s="5" t="s">
        <v>21</v>
      </c>
      <c r="B20" s="6"/>
      <c r="C20" s="6" t="s">
        <v>22</v>
      </c>
      <c r="D20" s="17">
        <v>0</v>
      </c>
      <c r="E20" s="7">
        <v>0</v>
      </c>
      <c r="F20" s="19">
        <v>0</v>
      </c>
    </row>
    <row r="21" spans="1:6" ht="60">
      <c r="A21" s="5" t="str">
        <f>"2.1.2"</f>
        <v>2.1.2</v>
      </c>
      <c r="B21" s="6"/>
      <c r="C21" s="6" t="s">
        <v>23</v>
      </c>
      <c r="D21" s="17">
        <v>0</v>
      </c>
      <c r="E21" s="7">
        <v>0</v>
      </c>
      <c r="F21" s="19">
        <v>0</v>
      </c>
    </row>
    <row r="22" spans="1:6">
      <c r="A22" s="5" t="str">
        <f>"2.1.3"</f>
        <v>2.1.3</v>
      </c>
      <c r="B22" s="6"/>
      <c r="C22" s="6" t="s">
        <v>24</v>
      </c>
      <c r="D22" s="17">
        <v>635221</v>
      </c>
      <c r="E22" s="7">
        <v>288943.74</v>
      </c>
      <c r="F22" s="19">
        <v>0</v>
      </c>
    </row>
    <row r="23" spans="1:6" ht="30">
      <c r="A23" s="5" t="s">
        <v>25</v>
      </c>
      <c r="B23" s="6"/>
      <c r="C23" s="6" t="s">
        <v>26</v>
      </c>
      <c r="D23" s="17">
        <v>635221</v>
      </c>
      <c r="E23" s="7">
        <v>288943.74</v>
      </c>
      <c r="F23" s="19">
        <v>0</v>
      </c>
    </row>
    <row r="24" spans="1:6">
      <c r="A24" s="5" t="str">
        <f>"2.2"</f>
        <v>2.2</v>
      </c>
      <c r="B24" s="6"/>
      <c r="C24" s="6" t="s">
        <v>27</v>
      </c>
      <c r="D24" s="17">
        <v>13023174</v>
      </c>
      <c r="E24" s="7">
        <v>920945.85</v>
      </c>
      <c r="F24" s="19">
        <v>0</v>
      </c>
    </row>
    <row r="25" spans="1:6">
      <c r="A25" s="10">
        <v>3</v>
      </c>
      <c r="B25" s="11" t="s">
        <v>28</v>
      </c>
      <c r="C25" s="11" t="s">
        <v>29</v>
      </c>
      <c r="D25" s="12">
        <f t="shared" ref="D25:F25" si="5">D6-D17</f>
        <v>-4228961</v>
      </c>
      <c r="E25" s="12">
        <f t="shared" si="5"/>
        <v>5120263.3399999961</v>
      </c>
      <c r="F25" s="19" t="e">
        <f t="shared" si="5"/>
        <v>#REF!</v>
      </c>
    </row>
    <row r="26" spans="1:6" ht="30">
      <c r="A26" s="10">
        <v>4</v>
      </c>
      <c r="B26" s="11" t="s">
        <v>30</v>
      </c>
      <c r="C26" s="11" t="s">
        <v>31</v>
      </c>
      <c r="D26" s="12">
        <f>D27+D29+D31+D33</f>
        <v>6506731</v>
      </c>
      <c r="E26" s="12">
        <f>E27+E29+E31+E33</f>
        <v>8699525.0999999996</v>
      </c>
      <c r="F26" s="19">
        <f t="shared" ref="F26" si="6">F27+F29+F31+F33</f>
        <v>0</v>
      </c>
    </row>
    <row r="27" spans="1:6">
      <c r="A27" s="5" t="str">
        <f>"4.1"</f>
        <v>4.1</v>
      </c>
      <c r="B27" s="6"/>
      <c r="C27" s="6" t="s">
        <v>32</v>
      </c>
      <c r="D27" s="17">
        <v>0</v>
      </c>
      <c r="E27" s="7">
        <v>3252118.13</v>
      </c>
      <c r="F27" s="19">
        <v>0</v>
      </c>
    </row>
    <row r="28" spans="1:6">
      <c r="A28" s="5" t="str">
        <f>"4.1.1"</f>
        <v>4.1.1</v>
      </c>
      <c r="B28" s="6"/>
      <c r="C28" s="6" t="s">
        <v>33</v>
      </c>
      <c r="D28" s="17">
        <v>0</v>
      </c>
      <c r="E28" s="7"/>
      <c r="F28" s="19">
        <v>0</v>
      </c>
    </row>
    <row r="29" spans="1:6">
      <c r="A29" s="5" t="str">
        <f>"4.2"</f>
        <v>4.2</v>
      </c>
      <c r="B29" s="6"/>
      <c r="C29" s="6" t="s">
        <v>34</v>
      </c>
      <c r="D29" s="17">
        <f>4506731</f>
        <v>4506731</v>
      </c>
      <c r="E29" s="17">
        <f>8699525.1-E27</f>
        <v>5447406.9699999997</v>
      </c>
      <c r="F29" s="19">
        <v>0</v>
      </c>
    </row>
    <row r="30" spans="1:6">
      <c r="A30" s="5" t="str">
        <f>"4.2.1"</f>
        <v>4.2.1</v>
      </c>
      <c r="B30" s="6"/>
      <c r="C30" s="6" t="s">
        <v>35</v>
      </c>
      <c r="D30" s="17">
        <f>D29-D36</f>
        <v>2228961</v>
      </c>
      <c r="E30" s="7">
        <v>0</v>
      </c>
      <c r="F30" s="19">
        <v>0</v>
      </c>
    </row>
    <row r="31" spans="1:6">
      <c r="A31" s="5" t="str">
        <f>"4.3"</f>
        <v>4.3</v>
      </c>
      <c r="B31" s="6"/>
      <c r="C31" s="6" t="s">
        <v>36</v>
      </c>
      <c r="D31" s="17">
        <v>2000000</v>
      </c>
      <c r="E31" s="7">
        <v>0</v>
      </c>
      <c r="F31" s="19">
        <v>0</v>
      </c>
    </row>
    <row r="32" spans="1:6">
      <c r="A32" s="5" t="str">
        <f>"4.3.1"</f>
        <v>4.3.1</v>
      </c>
      <c r="B32" s="6"/>
      <c r="C32" s="6" t="s">
        <v>35</v>
      </c>
      <c r="D32" s="17">
        <v>2000000</v>
      </c>
      <c r="E32" s="7">
        <v>0</v>
      </c>
      <c r="F32" s="19">
        <v>0</v>
      </c>
    </row>
    <row r="33" spans="1:8">
      <c r="A33" s="5" t="str">
        <f>"4.4"</f>
        <v>4.4</v>
      </c>
      <c r="B33" s="6"/>
      <c r="C33" s="6" t="s">
        <v>37</v>
      </c>
      <c r="D33" s="17">
        <v>0</v>
      </c>
      <c r="E33" s="7">
        <v>0</v>
      </c>
      <c r="F33" s="19">
        <v>0</v>
      </c>
    </row>
    <row r="34" spans="1:8">
      <c r="A34" s="5" t="str">
        <f>"4.4.1"</f>
        <v>4.4.1</v>
      </c>
      <c r="B34" s="6"/>
      <c r="C34" s="6" t="s">
        <v>35</v>
      </c>
      <c r="D34" s="17">
        <v>0</v>
      </c>
      <c r="E34" s="7">
        <v>0</v>
      </c>
      <c r="F34" s="19">
        <v>0</v>
      </c>
    </row>
    <row r="35" spans="1:8">
      <c r="A35" s="10">
        <v>5</v>
      </c>
      <c r="B35" s="11" t="s">
        <v>38</v>
      </c>
      <c r="C35" s="11" t="s">
        <v>39</v>
      </c>
      <c r="D35" s="12">
        <f t="shared" ref="D35:F35" si="7">D36+D39</f>
        <v>2277770</v>
      </c>
      <c r="E35" s="12">
        <f t="shared" si="7"/>
        <v>1138885</v>
      </c>
      <c r="F35" s="19">
        <f t="shared" si="7"/>
        <v>0</v>
      </c>
      <c r="H35" s="28"/>
    </row>
    <row r="36" spans="1:8" ht="30">
      <c r="A36" s="5" t="str">
        <f>"5.1"</f>
        <v>5.1</v>
      </c>
      <c r="B36" s="6"/>
      <c r="C36" s="6" t="s">
        <v>40</v>
      </c>
      <c r="D36" s="17">
        <v>2277770</v>
      </c>
      <c r="E36" s="7">
        <v>1138885</v>
      </c>
      <c r="F36" s="19">
        <v>0</v>
      </c>
    </row>
    <row r="37" spans="1:8" ht="105" hidden="1">
      <c r="A37" s="5" t="str">
        <f>"5.1.1"</f>
        <v>5.1.1</v>
      </c>
      <c r="B37" s="6"/>
      <c r="C37" s="6" t="s">
        <v>41</v>
      </c>
      <c r="D37" s="17">
        <v>0</v>
      </c>
      <c r="E37" s="7">
        <v>0</v>
      </c>
      <c r="F37" s="19">
        <v>0</v>
      </c>
    </row>
    <row r="38" spans="1:8" ht="45" hidden="1">
      <c r="A38" s="5" t="s">
        <v>42</v>
      </c>
      <c r="B38" s="6"/>
      <c r="C38" s="6" t="s">
        <v>43</v>
      </c>
      <c r="D38" s="17">
        <v>0</v>
      </c>
      <c r="E38" s="7">
        <v>0</v>
      </c>
      <c r="F38" s="19">
        <v>0</v>
      </c>
    </row>
    <row r="39" spans="1:8" hidden="1">
      <c r="A39" s="5" t="str">
        <f>"5.2"</f>
        <v>5.2</v>
      </c>
      <c r="B39" s="6"/>
      <c r="C39" s="6" t="s">
        <v>44</v>
      </c>
      <c r="D39" s="17">
        <v>0</v>
      </c>
      <c r="E39" s="7">
        <v>0</v>
      </c>
      <c r="F39" s="19">
        <v>0</v>
      </c>
    </row>
    <row r="40" spans="1:8">
      <c r="A40" s="5">
        <v>6</v>
      </c>
      <c r="B40" s="6"/>
      <c r="C40" s="6" t="s">
        <v>45</v>
      </c>
      <c r="D40" s="17">
        <v>11070000</v>
      </c>
      <c r="E40" s="7">
        <v>10208885</v>
      </c>
      <c r="F40" s="19">
        <v>0</v>
      </c>
    </row>
    <row r="41" spans="1:8" ht="45">
      <c r="A41" s="5" t="str">
        <f>"6.1"</f>
        <v>6.1</v>
      </c>
      <c r="B41" s="6"/>
      <c r="C41" s="6" t="s">
        <v>46</v>
      </c>
      <c r="D41" s="17">
        <v>0</v>
      </c>
      <c r="E41" s="7">
        <v>0</v>
      </c>
      <c r="F41" s="19">
        <v>0</v>
      </c>
    </row>
    <row r="42" spans="1:8" ht="30">
      <c r="A42" s="5" t="str">
        <f>"6.1.1"</f>
        <v>6.1.1</v>
      </c>
      <c r="B42" s="6"/>
      <c r="C42" s="6" t="s">
        <v>47</v>
      </c>
      <c r="D42" s="17">
        <v>0</v>
      </c>
      <c r="E42" s="7">
        <v>0</v>
      </c>
      <c r="F42" s="19">
        <v>0</v>
      </c>
    </row>
    <row r="43" spans="1:8" ht="30">
      <c r="A43" s="10" t="str">
        <f>"6.2"</f>
        <v>6.2</v>
      </c>
      <c r="B43" s="11" t="s">
        <v>48</v>
      </c>
      <c r="C43" s="11" t="s">
        <v>49</v>
      </c>
      <c r="D43" s="13">
        <f t="shared" ref="D43:F43" si="8">D40/D6</f>
        <v>0.13991615900188589</v>
      </c>
      <c r="E43" s="13">
        <f t="shared" si="8"/>
        <v>0.25428080796261937</v>
      </c>
      <c r="F43" s="20" t="e">
        <f t="shared" si="8"/>
        <v>#REF!</v>
      </c>
    </row>
    <row r="44" spans="1:8" ht="45">
      <c r="A44" s="10" t="str">
        <f>"6.3"</f>
        <v>6.3</v>
      </c>
      <c r="B44" s="11" t="s">
        <v>50</v>
      </c>
      <c r="C44" s="11" t="s">
        <v>51</v>
      </c>
      <c r="D44" s="13">
        <f t="shared" ref="D44:F44" si="9">(D40-D41)/D6</f>
        <v>0.13991615900188589</v>
      </c>
      <c r="E44" s="13">
        <f t="shared" si="9"/>
        <v>0.25428080796261937</v>
      </c>
      <c r="F44" s="20" t="e">
        <f t="shared" si="9"/>
        <v>#REF!</v>
      </c>
    </row>
    <row r="45" spans="1:8" ht="60">
      <c r="A45" s="5">
        <v>7</v>
      </c>
      <c r="B45" s="6"/>
      <c r="C45" s="6" t="s">
        <v>52</v>
      </c>
      <c r="D45" s="17">
        <v>0</v>
      </c>
      <c r="E45" s="7">
        <v>0</v>
      </c>
      <c r="F45" s="19">
        <v>0</v>
      </c>
    </row>
    <row r="46" spans="1:8" ht="30">
      <c r="A46" s="5">
        <v>8</v>
      </c>
      <c r="B46" s="6"/>
      <c r="C46" s="6" t="s">
        <v>53</v>
      </c>
      <c r="D46" s="17"/>
      <c r="E46" s="17"/>
      <c r="F46" s="19"/>
    </row>
    <row r="47" spans="1:8">
      <c r="A47" s="10" t="str">
        <f>"8.1"</f>
        <v>8.1</v>
      </c>
      <c r="B47" s="11" t="s">
        <v>54</v>
      </c>
      <c r="C47" s="11" t="s">
        <v>55</v>
      </c>
      <c r="D47" s="12">
        <f t="shared" ref="D47:F47" si="10">D7-D18</f>
        <v>1564859</v>
      </c>
      <c r="E47" s="12">
        <f t="shared" si="10"/>
        <v>5132963.25</v>
      </c>
      <c r="F47" s="19" t="e">
        <f t="shared" si="10"/>
        <v>#REF!</v>
      </c>
    </row>
    <row r="48" spans="1:8" ht="60">
      <c r="A48" s="10" t="str">
        <f>"8.2"</f>
        <v>8.2</v>
      </c>
      <c r="B48" s="11" t="s">
        <v>56</v>
      </c>
      <c r="C48" s="11" t="s">
        <v>57</v>
      </c>
      <c r="D48" s="12">
        <f t="shared" ref="D48:F48" si="11">D7+D27+D29-(D18-D21)</f>
        <v>6071590</v>
      </c>
      <c r="E48" s="14">
        <f>E7+E29+E27-(E18-E21)</f>
        <v>13832488.350000001</v>
      </c>
      <c r="F48" s="19" t="e">
        <f t="shared" si="11"/>
        <v>#REF!</v>
      </c>
    </row>
    <row r="49" spans="1:6">
      <c r="A49" s="5">
        <v>9</v>
      </c>
      <c r="B49" s="6"/>
      <c r="C49" s="6" t="s">
        <v>58</v>
      </c>
      <c r="D49" s="29"/>
      <c r="E49" s="6"/>
      <c r="F49" s="21"/>
    </row>
    <row r="50" spans="1:6" ht="45">
      <c r="A50" s="10" t="str">
        <f>"9.1"</f>
        <v>9.1</v>
      </c>
      <c r="B50" s="11" t="s">
        <v>59</v>
      </c>
      <c r="C50" s="11" t="s">
        <v>60</v>
      </c>
      <c r="D50" s="13">
        <f t="shared" ref="D50:F50" si="12">(D19+D23+D36)/D6</f>
        <v>4.2662446515563113E-2</v>
      </c>
      <c r="E50" s="13">
        <f t="shared" si="12"/>
        <v>3.5564064600536571E-2</v>
      </c>
      <c r="F50" s="20" t="e">
        <f t="shared" si="12"/>
        <v>#REF!</v>
      </c>
    </row>
    <row r="51" spans="1:6" ht="60">
      <c r="A51" s="10" t="str">
        <f>"9.2"</f>
        <v>9.2</v>
      </c>
      <c r="B51" s="11" t="s">
        <v>61</v>
      </c>
      <c r="C51" s="11" t="s">
        <v>62</v>
      </c>
      <c r="D51" s="13">
        <f t="shared" ref="D51:F51" si="13">(D19+D23+D36-D37)/D6</f>
        <v>4.2662446515563113E-2</v>
      </c>
      <c r="E51" s="13">
        <f t="shared" si="13"/>
        <v>3.5564064600536571E-2</v>
      </c>
      <c r="F51" s="20" t="e">
        <f t="shared" si="13"/>
        <v>#REF!</v>
      </c>
    </row>
    <row r="52" spans="1:6" ht="75">
      <c r="A52" s="10" t="str">
        <f>"9.3"</f>
        <v>9.3</v>
      </c>
      <c r="B52" s="11" t="s">
        <v>59</v>
      </c>
      <c r="C52" s="11" t="s">
        <v>63</v>
      </c>
      <c r="D52" s="13">
        <f t="shared" ref="D52:F52" si="14">(D19+D23+D36)/D6</f>
        <v>4.2662446515563113E-2</v>
      </c>
      <c r="E52" s="13">
        <f t="shared" si="14"/>
        <v>3.5564064600536571E-2</v>
      </c>
      <c r="F52" s="20" t="e">
        <f t="shared" si="14"/>
        <v>#REF!</v>
      </c>
    </row>
    <row r="53" spans="1:6" ht="75">
      <c r="A53" s="10" t="str">
        <f>"9.4"</f>
        <v>9.4</v>
      </c>
      <c r="B53" s="11" t="s">
        <v>61</v>
      </c>
      <c r="C53" s="11" t="s">
        <v>64</v>
      </c>
      <c r="D53" s="13">
        <f t="shared" ref="D53:F53" si="15">(D19+D23+D36-D37)/D6</f>
        <v>4.2662446515563113E-2</v>
      </c>
      <c r="E53" s="13">
        <f t="shared" si="15"/>
        <v>3.5564064600536571E-2</v>
      </c>
      <c r="F53" s="20" t="e">
        <f t="shared" si="15"/>
        <v>#REF!</v>
      </c>
    </row>
    <row r="54" spans="1:6" ht="45">
      <c r="A54" s="5" t="str">
        <f>"9.5"</f>
        <v>9.5</v>
      </c>
      <c r="B54" s="6"/>
      <c r="C54" s="6" t="s">
        <v>65</v>
      </c>
      <c r="D54" s="30">
        <v>0</v>
      </c>
      <c r="E54" s="8">
        <v>0</v>
      </c>
      <c r="F54" s="22">
        <v>0</v>
      </c>
    </row>
    <row r="55" spans="1:6" ht="75">
      <c r="A55" s="10" t="str">
        <f>"9.6"</f>
        <v>9.6</v>
      </c>
      <c r="B55" s="11" t="s">
        <v>66</v>
      </c>
      <c r="C55" s="11" t="s">
        <v>67</v>
      </c>
      <c r="D55" s="13">
        <f t="shared" ref="D55" si="16">(D19+D23+D36+D54-D37)/D6</f>
        <v>4.2662446515563113E-2</v>
      </c>
      <c r="E55" s="13">
        <f>(E19+E23+E36+E54-E37)/E6</f>
        <v>3.5564064600536571E-2</v>
      </c>
      <c r="F55" s="20" t="e">
        <f>(F19+F23+F36+F54-F37)/F6</f>
        <v>#REF!</v>
      </c>
    </row>
    <row r="56" spans="1:6" ht="75">
      <c r="A56" s="10" t="str">
        <f>"9.7"</f>
        <v>9.7</v>
      </c>
      <c r="B56" s="11" t="s">
        <v>68</v>
      </c>
      <c r="C56" s="11" t="s">
        <v>69</v>
      </c>
      <c r="D56" s="13">
        <v>6.9199999999999998E-2</v>
      </c>
      <c r="E56" s="13"/>
      <c r="F56" s="20" t="e">
        <f>AVERAGE(#REF!)</f>
        <v>#REF!</v>
      </c>
    </row>
    <row r="57" spans="1:6" ht="75">
      <c r="A57" s="10" t="str">
        <f>"9.7.1"</f>
        <v>9.7.1</v>
      </c>
      <c r="B57" s="11" t="s">
        <v>68</v>
      </c>
      <c r="C57" s="11" t="s">
        <v>70</v>
      </c>
      <c r="D57" s="13">
        <v>8.5500000000000007E-2</v>
      </c>
      <c r="E57" s="13"/>
      <c r="F57" s="20" t="e">
        <f>(#REF!+#REF!+#REF!)/3</f>
        <v>#REF!</v>
      </c>
    </row>
    <row r="58" spans="1:6" ht="75">
      <c r="A58" s="10" t="str">
        <f>"9.8"</f>
        <v>9.8</v>
      </c>
      <c r="B58" s="11" t="s">
        <v>71</v>
      </c>
      <c r="C58" s="11" t="s">
        <v>72</v>
      </c>
      <c r="D58" s="9" t="str">
        <f t="shared" ref="D58:F58" si="17">IF(D55-D56&lt;=0,"TAK","NIE")</f>
        <v>TAK</v>
      </c>
      <c r="E58" s="9" t="str">
        <f>IF(E55-E56&gt;=0,"TAK","NIE")</f>
        <v>TAK</v>
      </c>
      <c r="F58" s="18" t="e">
        <f t="shared" si="17"/>
        <v>#REF!</v>
      </c>
    </row>
    <row r="59" spans="1:6" ht="75">
      <c r="A59" s="10" t="str">
        <f>"9.8.1"</f>
        <v>9.8.1</v>
      </c>
      <c r="B59" s="11" t="s">
        <v>73</v>
      </c>
      <c r="C59" s="11" t="s">
        <v>74</v>
      </c>
      <c r="D59" s="9" t="str">
        <f t="shared" ref="D59:F59" si="18">IF(D55-D57&lt;=0,"TAK","NIE")</f>
        <v>TAK</v>
      </c>
      <c r="E59" s="9" t="str">
        <f>IF(E55-E57&gt;=0,"TAK","NIE")</f>
        <v>TAK</v>
      </c>
      <c r="F59" s="18" t="e">
        <f t="shared" si="18"/>
        <v>#REF!</v>
      </c>
    </row>
    <row r="60" spans="1:6">
      <c r="A60" s="5">
        <v>10</v>
      </c>
      <c r="B60" s="6"/>
      <c r="C60" s="6" t="s">
        <v>75</v>
      </c>
      <c r="D60" s="17">
        <f>D6-D17</f>
        <v>-4228961</v>
      </c>
      <c r="E60" s="17">
        <f>E6-E17</f>
        <v>5120263.3399999961</v>
      </c>
      <c r="F60" s="15" t="e">
        <f t="shared" ref="F60" si="19">F6-F17</f>
        <v>#REF!</v>
      </c>
    </row>
    <row r="61" spans="1:6">
      <c r="A61" s="5" t="str">
        <f>"10.1"</f>
        <v>10.1</v>
      </c>
      <c r="B61" s="6"/>
      <c r="C61" s="6" t="s">
        <v>76</v>
      </c>
      <c r="D61" s="17">
        <v>0</v>
      </c>
      <c r="E61" s="17">
        <v>0</v>
      </c>
      <c r="F61" s="25">
        <v>0</v>
      </c>
    </row>
    <row r="62" spans="1:6" ht="30">
      <c r="A62" s="5">
        <v>11</v>
      </c>
      <c r="B62" s="6"/>
      <c r="C62" s="6" t="s">
        <v>77</v>
      </c>
      <c r="D62" s="29"/>
      <c r="E62" s="6"/>
      <c r="F62" s="21"/>
    </row>
    <row r="63" spans="1:6">
      <c r="A63" s="5" t="str">
        <f>"11.1"</f>
        <v>11.1</v>
      </c>
      <c r="B63" s="6"/>
      <c r="C63" s="6" t="s">
        <v>78</v>
      </c>
      <c r="D63" s="17">
        <v>37546713</v>
      </c>
      <c r="E63" s="7">
        <v>18191171.25</v>
      </c>
      <c r="F63" s="19" t="e">
        <f>ROUND(#REF!*102.5%,-2)</f>
        <v>#REF!</v>
      </c>
    </row>
    <row r="64" spans="1:6" ht="30">
      <c r="A64" s="5" t="str">
        <f>"11.2"</f>
        <v>11.2</v>
      </c>
      <c r="B64" s="6"/>
      <c r="C64" s="6" t="s">
        <v>79</v>
      </c>
      <c r="D64" s="17">
        <f>369400+8568920</f>
        <v>8938320</v>
      </c>
      <c r="E64" s="7">
        <v>4353772.46</v>
      </c>
      <c r="F64" s="19">
        <v>846738</v>
      </c>
    </row>
    <row r="65" spans="1:6" s="16" customFormat="1" ht="30">
      <c r="A65" s="10" t="str">
        <f>"11.3"</f>
        <v>11.3</v>
      </c>
      <c r="B65" s="11" t="s">
        <v>80</v>
      </c>
      <c r="C65" s="11" t="s">
        <v>81</v>
      </c>
      <c r="D65" s="12">
        <f t="shared" ref="D65:E65" si="20">D66+D67</f>
        <v>10535979</v>
      </c>
      <c r="E65" s="12">
        <f t="shared" si="20"/>
        <v>0</v>
      </c>
      <c r="F65" s="19">
        <v>0</v>
      </c>
    </row>
    <row r="66" spans="1:6">
      <c r="A66" s="5" t="str">
        <f>"11.3.1"</f>
        <v>11.3.1</v>
      </c>
      <c r="B66" s="6"/>
      <c r="C66" s="6" t="s">
        <v>82</v>
      </c>
      <c r="D66" s="17">
        <v>3452316</v>
      </c>
      <c r="E66" s="7"/>
      <c r="F66" s="19">
        <v>0</v>
      </c>
    </row>
    <row r="67" spans="1:6">
      <c r="A67" s="5" t="str">
        <f>"11.3.2"</f>
        <v>11.3.2</v>
      </c>
      <c r="B67" s="6"/>
      <c r="C67" s="6" t="s">
        <v>83</v>
      </c>
      <c r="D67" s="17">
        <v>7083663</v>
      </c>
      <c r="E67" s="7"/>
      <c r="F67" s="19">
        <v>0</v>
      </c>
    </row>
    <row r="68" spans="1:6">
      <c r="A68" s="5" t="str">
        <f>"11.4"</f>
        <v>11.4</v>
      </c>
      <c r="B68" s="6"/>
      <c r="C68" s="6" t="s">
        <v>84</v>
      </c>
      <c r="D68" s="17">
        <f>13023174-D69-D70</f>
        <v>12632174</v>
      </c>
      <c r="E68" s="7">
        <v>920945.85</v>
      </c>
      <c r="F68" s="7">
        <f t="shared" ref="F68" si="21">F67-F69-F70</f>
        <v>0</v>
      </c>
    </row>
    <row r="69" spans="1:6">
      <c r="A69" s="5" t="str">
        <f>"11.5"</f>
        <v>11.5</v>
      </c>
      <c r="B69" s="6"/>
      <c r="C69" s="6" t="s">
        <v>85</v>
      </c>
      <c r="D69" s="17">
        <v>250000</v>
      </c>
      <c r="E69" s="7"/>
      <c r="F69" s="19">
        <v>0</v>
      </c>
    </row>
    <row r="70" spans="1:6">
      <c r="A70" s="5" t="str">
        <f>"11.6"</f>
        <v>11.6</v>
      </c>
      <c r="B70" s="6"/>
      <c r="C70" s="6" t="s">
        <v>86</v>
      </c>
      <c r="D70" s="17">
        <v>141000</v>
      </c>
      <c r="E70" s="7">
        <v>0</v>
      </c>
      <c r="F70" s="19">
        <v>0</v>
      </c>
    </row>
    <row r="71" spans="1:6" ht="30">
      <c r="A71" s="5">
        <v>12</v>
      </c>
      <c r="B71" s="6"/>
      <c r="C71" s="6" t="s">
        <v>87</v>
      </c>
      <c r="D71" s="31">
        <v>6344228</v>
      </c>
      <c r="E71" s="6">
        <v>3702510.49</v>
      </c>
      <c r="F71" s="21"/>
    </row>
    <row r="72" spans="1:6" ht="45">
      <c r="A72" s="5" t="str">
        <f>"12.1"</f>
        <v>12.1</v>
      </c>
      <c r="B72" s="6"/>
      <c r="C72" s="6" t="s">
        <v>88</v>
      </c>
      <c r="D72" s="17">
        <f>6344190</f>
        <v>6344190</v>
      </c>
      <c r="E72" s="7">
        <v>3702510.49</v>
      </c>
      <c r="F72" s="19">
        <v>0</v>
      </c>
    </row>
    <row r="73" spans="1:6">
      <c r="A73" s="5" t="str">
        <f>"12.1.1"</f>
        <v>12.1.1</v>
      </c>
      <c r="B73" s="6"/>
      <c r="C73" s="6" t="s">
        <v>89</v>
      </c>
      <c r="D73" s="17">
        <v>5514071</v>
      </c>
      <c r="E73" s="7">
        <v>3022384.71</v>
      </c>
      <c r="F73" s="19">
        <v>0</v>
      </c>
    </row>
    <row r="74" spans="1:6" ht="45">
      <c r="A74" s="5" t="s">
        <v>90</v>
      </c>
      <c r="B74" s="6"/>
      <c r="C74" s="6" t="s">
        <v>91</v>
      </c>
      <c r="D74" s="17">
        <f>D73</f>
        <v>5514071</v>
      </c>
      <c r="E74" s="7">
        <f>E73</f>
        <v>3022384.71</v>
      </c>
      <c r="F74" s="19">
        <v>0</v>
      </c>
    </row>
    <row r="75" spans="1:6" ht="45">
      <c r="A75" s="5" t="str">
        <f>"12.2"</f>
        <v>12.2</v>
      </c>
      <c r="B75" s="6"/>
      <c r="C75" s="6" t="s">
        <v>92</v>
      </c>
      <c r="D75" s="17">
        <f>3180188+230365+1636685+276376</f>
        <v>5323614</v>
      </c>
      <c r="E75" s="17">
        <f>348695.67+35944.41</f>
        <v>384640.07999999996</v>
      </c>
      <c r="F75" s="19">
        <v>0</v>
      </c>
    </row>
    <row r="76" spans="1:6">
      <c r="A76" s="5" t="str">
        <f>"12.2.1"</f>
        <v>12.2.1</v>
      </c>
      <c r="B76" s="6"/>
      <c r="C76" s="6" t="s">
        <v>93</v>
      </c>
      <c r="D76" s="17">
        <v>3180188</v>
      </c>
      <c r="E76" s="17">
        <f>348695.67</f>
        <v>348695.67</v>
      </c>
      <c r="F76" s="19">
        <v>0</v>
      </c>
    </row>
    <row r="77" spans="1:6" ht="45">
      <c r="A77" s="5" t="s">
        <v>94</v>
      </c>
      <c r="B77" s="6"/>
      <c r="C77" s="6" t="s">
        <v>95</v>
      </c>
      <c r="D77" s="17">
        <f>5798162-3018700</f>
        <v>2779462</v>
      </c>
      <c r="E77" s="17">
        <f>E76</f>
        <v>348695.67</v>
      </c>
      <c r="F77" s="19">
        <v>0</v>
      </c>
    </row>
    <row r="78" spans="1:6" ht="30">
      <c r="A78" s="5" t="str">
        <f>"12.3"</f>
        <v>12.3</v>
      </c>
      <c r="B78" s="6"/>
      <c r="C78" s="6" t="s">
        <v>96</v>
      </c>
      <c r="D78" s="17">
        <f>11740043-D81+1050</f>
        <v>6409168</v>
      </c>
      <c r="E78" s="7">
        <v>3647717.97</v>
      </c>
      <c r="F78" s="19">
        <v>0</v>
      </c>
    </row>
    <row r="79" spans="1:6" ht="30">
      <c r="A79" s="5" t="str">
        <f>"12.3.1"</f>
        <v>12.3.1</v>
      </c>
      <c r="B79" s="6"/>
      <c r="C79" s="6" t="s">
        <v>97</v>
      </c>
      <c r="D79" s="17">
        <f>8694221-3180188</f>
        <v>5514033</v>
      </c>
      <c r="E79" s="7">
        <v>3128172.28</v>
      </c>
      <c r="F79" s="19">
        <v>0</v>
      </c>
    </row>
    <row r="80" spans="1:6" ht="60">
      <c r="A80" s="5" t="str">
        <f>"12.3.2"</f>
        <v>12.3.2</v>
      </c>
      <c r="B80" s="6"/>
      <c r="C80" s="6" t="s">
        <v>98</v>
      </c>
      <c r="D80" s="17">
        <f>D79</f>
        <v>5514033</v>
      </c>
      <c r="E80" s="7">
        <f>E79</f>
        <v>3128172.28</v>
      </c>
      <c r="F80" s="19">
        <v>0</v>
      </c>
    </row>
    <row r="81" spans="1:6" ht="45">
      <c r="A81" s="5" t="str">
        <f>"12.4"</f>
        <v>12.4</v>
      </c>
      <c r="B81" s="6"/>
      <c r="C81" s="6" t="s">
        <v>99</v>
      </c>
      <c r="D81" s="17">
        <f>3180188+2151737</f>
        <v>5331925</v>
      </c>
      <c r="E81" s="7">
        <v>503258.38</v>
      </c>
      <c r="F81" s="19">
        <v>0</v>
      </c>
    </row>
    <row r="82" spans="1:6" ht="30">
      <c r="A82" s="5" t="str">
        <f>"12.4.1"</f>
        <v>12.4.1</v>
      </c>
      <c r="B82" s="6"/>
      <c r="C82" s="6" t="s">
        <v>100</v>
      </c>
      <c r="D82" s="17">
        <v>3180188</v>
      </c>
      <c r="E82" s="7">
        <f>E76</f>
        <v>348695.67</v>
      </c>
      <c r="F82" s="19">
        <v>0</v>
      </c>
    </row>
    <row r="83" spans="1:6" ht="60">
      <c r="A83" s="5" t="str">
        <f>"12.4.2"</f>
        <v>12.4.2</v>
      </c>
      <c r="B83" s="6"/>
      <c r="C83" s="6" t="s">
        <v>101</v>
      </c>
      <c r="D83" s="17">
        <f>D77</f>
        <v>2779462</v>
      </c>
      <c r="E83" s="7">
        <v>0</v>
      </c>
      <c r="F83" s="19">
        <v>0</v>
      </c>
    </row>
    <row r="84" spans="1:6" ht="45">
      <c r="A84" s="5">
        <v>13</v>
      </c>
      <c r="B84" s="6"/>
      <c r="C84" s="6" t="s">
        <v>102</v>
      </c>
      <c r="D84" s="17"/>
      <c r="E84" s="7"/>
      <c r="F84" s="19"/>
    </row>
    <row r="85" spans="1:6" ht="45">
      <c r="A85" s="5" t="str">
        <f>"13.1"</f>
        <v>13.1</v>
      </c>
      <c r="B85" s="6"/>
      <c r="C85" s="6" t="s">
        <v>103</v>
      </c>
      <c r="D85" s="17">
        <v>0</v>
      </c>
      <c r="E85" s="7">
        <v>0</v>
      </c>
      <c r="F85" s="19">
        <v>0</v>
      </c>
    </row>
    <row r="86" spans="1:6" ht="45">
      <c r="A86" s="5" t="str">
        <f>"13.2"</f>
        <v>13.2</v>
      </c>
      <c r="B86" s="6"/>
      <c r="C86" s="6" t="s">
        <v>104</v>
      </c>
      <c r="D86" s="17">
        <v>0</v>
      </c>
      <c r="E86" s="7">
        <v>0</v>
      </c>
      <c r="F86" s="19">
        <v>0</v>
      </c>
    </row>
    <row r="87" spans="1:6" ht="30">
      <c r="A87" s="5" t="str">
        <f>"13.3"</f>
        <v>13.3</v>
      </c>
      <c r="B87" s="6"/>
      <c r="C87" s="6" t="s">
        <v>105</v>
      </c>
      <c r="D87" s="17">
        <v>0</v>
      </c>
      <c r="E87" s="7">
        <v>0</v>
      </c>
      <c r="F87" s="19">
        <v>0</v>
      </c>
    </row>
    <row r="88" spans="1:6" ht="45">
      <c r="A88" s="5" t="str">
        <f>"13.4"</f>
        <v>13.4</v>
      </c>
      <c r="B88" s="6"/>
      <c r="C88" s="6" t="s">
        <v>106</v>
      </c>
      <c r="D88" s="17">
        <v>0</v>
      </c>
      <c r="E88" s="7">
        <v>0</v>
      </c>
      <c r="F88" s="19">
        <v>0</v>
      </c>
    </row>
    <row r="89" spans="1:6" ht="45">
      <c r="A89" s="5" t="str">
        <f>"13.5"</f>
        <v>13.5</v>
      </c>
      <c r="B89" s="6"/>
      <c r="C89" s="6" t="s">
        <v>107</v>
      </c>
      <c r="D89" s="17">
        <v>0</v>
      </c>
      <c r="E89" s="7">
        <v>0</v>
      </c>
      <c r="F89" s="19">
        <v>0</v>
      </c>
    </row>
    <row r="90" spans="1:6" ht="45">
      <c r="A90" s="5" t="str">
        <f>"13.6"</f>
        <v>13.6</v>
      </c>
      <c r="B90" s="6"/>
      <c r="C90" s="6" t="s">
        <v>108</v>
      </c>
      <c r="D90" s="17">
        <v>0</v>
      </c>
      <c r="E90" s="7">
        <v>0</v>
      </c>
      <c r="F90" s="19">
        <v>0</v>
      </c>
    </row>
    <row r="91" spans="1:6" ht="30">
      <c r="A91" s="5" t="str">
        <f>"13.7"</f>
        <v>13.7</v>
      </c>
      <c r="B91" s="6"/>
      <c r="C91" s="6" t="s">
        <v>109</v>
      </c>
      <c r="D91" s="17">
        <v>0</v>
      </c>
      <c r="E91" s="7">
        <v>0</v>
      </c>
      <c r="F91" s="19">
        <v>0</v>
      </c>
    </row>
    <row r="92" spans="1:6">
      <c r="A92" s="5">
        <v>14</v>
      </c>
      <c r="B92" s="6"/>
      <c r="C92" s="6" t="s">
        <v>110</v>
      </c>
      <c r="D92" s="17"/>
      <c r="E92" s="7"/>
      <c r="F92" s="19"/>
    </row>
    <row r="93" spans="1:6" ht="45">
      <c r="A93" s="5" t="str">
        <f>"14.1"</f>
        <v>14.1</v>
      </c>
      <c r="B93" s="6"/>
      <c r="C93" s="6" t="s">
        <v>111</v>
      </c>
      <c r="D93" s="17">
        <f>D36</f>
        <v>2277770</v>
      </c>
      <c r="E93" s="7">
        <f t="shared" ref="E93:F93" si="22">E36</f>
        <v>1138885</v>
      </c>
      <c r="F93" s="19">
        <f t="shared" si="22"/>
        <v>0</v>
      </c>
    </row>
    <row r="94" spans="1:6" ht="30">
      <c r="A94" s="5" t="str">
        <f>"14.2"</f>
        <v>14.2</v>
      </c>
      <c r="B94" s="6"/>
      <c r="C94" s="6" t="s">
        <v>112</v>
      </c>
      <c r="D94" s="17"/>
      <c r="E94" s="7"/>
      <c r="F94" s="19"/>
    </row>
    <row r="95" spans="1:6">
      <c r="A95" s="5" t="str">
        <f>"14.3"</f>
        <v>14.3</v>
      </c>
      <c r="B95" s="6"/>
      <c r="C95" s="6" t="s">
        <v>113</v>
      </c>
      <c r="D95" s="17">
        <v>0</v>
      </c>
      <c r="E95" s="7">
        <v>0</v>
      </c>
      <c r="F95" s="19">
        <v>0</v>
      </c>
    </row>
    <row r="96" spans="1:6" ht="30">
      <c r="A96" s="5" t="str">
        <f>"14.3.1"</f>
        <v>14.3.1</v>
      </c>
      <c r="B96" s="6"/>
      <c r="C96" s="6" t="s">
        <v>114</v>
      </c>
      <c r="D96" s="17">
        <v>0</v>
      </c>
      <c r="E96" s="7">
        <v>0</v>
      </c>
      <c r="F96" s="19">
        <v>0</v>
      </c>
    </row>
    <row r="97" spans="1:6" ht="30">
      <c r="A97" s="5" t="str">
        <f>"14.3.2"</f>
        <v>14.3.2</v>
      </c>
      <c r="B97" s="6"/>
      <c r="C97" s="6" t="s">
        <v>115</v>
      </c>
      <c r="D97" s="17">
        <v>0</v>
      </c>
      <c r="E97" s="7">
        <v>0</v>
      </c>
      <c r="F97" s="19">
        <v>0</v>
      </c>
    </row>
    <row r="98" spans="1:6">
      <c r="A98" s="5" t="str">
        <f>"14.3.3"</f>
        <v>14.3.3</v>
      </c>
      <c r="B98" s="6"/>
      <c r="C98" s="6" t="s">
        <v>116</v>
      </c>
      <c r="D98" s="17">
        <v>0</v>
      </c>
      <c r="E98" s="7">
        <v>0</v>
      </c>
      <c r="F98" s="19">
        <v>0</v>
      </c>
    </row>
    <row r="99" spans="1:6" ht="30">
      <c r="A99" s="5" t="str">
        <f>"14.4"</f>
        <v>14.4</v>
      </c>
      <c r="B99" s="6"/>
      <c r="C99" s="6" t="s">
        <v>117</v>
      </c>
      <c r="D99" s="17">
        <v>0</v>
      </c>
      <c r="E99" s="7">
        <v>0</v>
      </c>
      <c r="F99" s="19">
        <v>0</v>
      </c>
    </row>
    <row r="106" spans="1:6">
      <c r="B106" s="3"/>
      <c r="D106" s="26"/>
      <c r="E106" s="4"/>
      <c r="F106" s="23" t="e">
        <f t="shared" ref="F106" si="23">(F7-F18+F15)/F6</f>
        <v>#REF!</v>
      </c>
    </row>
  </sheetData>
  <mergeCells count="3">
    <mergeCell ref="A1:J1"/>
    <mergeCell ref="A2:J2"/>
    <mergeCell ref="A3:J3"/>
  </mergeCells>
  <pageMargins left="1.1023622047244095" right="0.70866141732283472" top="1.1417322834645669" bottom="0.74803149606299213" header="0.31496062992125984" footer="0.31496062992125984"/>
  <pageSetup paperSize="9" scale="60" firstPageNumber="109" fitToHeight="0" orientation="portrait" useFirstPageNumber="1" r:id="rId1"/>
  <headerFooter>
    <oddHeader>&amp;RZałącznik nr 5
do Uchwały Nr 235/2013
Zarzadu Powiatu Toruńskiego
z dnia 14.08.2013 r.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wpf plik</vt:lpstr>
      <vt:lpstr>'wpf plik'!Obszar_wydruku</vt:lpstr>
      <vt:lpstr>'wpf plik'!Tytuły_wydruku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Starostwo</cp:lastModifiedBy>
  <cp:lastPrinted>2013-08-14T11:16:29Z</cp:lastPrinted>
  <dcterms:created xsi:type="dcterms:W3CDTF">2013-03-20T07:21:26Z</dcterms:created>
  <dcterms:modified xsi:type="dcterms:W3CDTF">2013-08-14T11:17:47Z</dcterms:modified>
</cp:coreProperties>
</file>