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5480" windowHeight="11505"/>
  </bookViews>
  <sheets>
    <sheet name="wpf plik" sheetId="1" r:id="rId1"/>
  </sheets>
  <definedNames>
    <definedName name="_xlnm.Print_Area" localSheetId="0">'wpf plik'!$A$1:$P$109</definedName>
    <definedName name="_xlnm.Print_Titles" localSheetId="0">'wpf plik'!$4:$4</definedName>
  </definedNames>
  <calcPr calcId="145621"/>
</workbook>
</file>

<file path=xl/calcChain.xml><?xml version="1.0" encoding="utf-8"?>
<calcChain xmlns="http://schemas.openxmlformats.org/spreadsheetml/2006/main">
  <c r="S24" i="1"/>
  <c r="A67" l="1"/>
  <c r="G67"/>
  <c r="H67"/>
  <c r="H66" s="1"/>
  <c r="I67"/>
  <c r="J67"/>
  <c r="J66" s="1"/>
  <c r="K67"/>
  <c r="L67"/>
  <c r="L66" s="1"/>
  <c r="M67"/>
  <c r="N67"/>
  <c r="O67"/>
  <c r="A68"/>
  <c r="I66"/>
  <c r="K66"/>
  <c r="M66"/>
  <c r="N66"/>
  <c r="O66"/>
  <c r="I65"/>
  <c r="J65"/>
  <c r="K65"/>
  <c r="L65"/>
  <c r="M65"/>
  <c r="N65"/>
  <c r="O65"/>
  <c r="I64"/>
  <c r="J64"/>
  <c r="K64"/>
  <c r="L64"/>
  <c r="M64"/>
  <c r="N64"/>
  <c r="O64"/>
  <c r="I22"/>
  <c r="I6"/>
  <c r="I5" s="1"/>
  <c r="I13"/>
  <c r="E5"/>
  <c r="E53"/>
  <c r="F5"/>
  <c r="F53" s="1"/>
  <c r="H5"/>
  <c r="H53"/>
  <c r="J22"/>
  <c r="J6"/>
  <c r="J5" s="1"/>
  <c r="G108"/>
  <c r="G20"/>
  <c r="G53" s="1"/>
  <c r="G109"/>
  <c r="G5"/>
  <c r="H22"/>
  <c r="I17" s="1"/>
  <c r="K22"/>
  <c r="L22"/>
  <c r="M22"/>
  <c r="N22"/>
  <c r="O22"/>
  <c r="P5"/>
  <c r="P52" s="1"/>
  <c r="P53"/>
  <c r="P50"/>
  <c r="P49"/>
  <c r="P47"/>
  <c r="P46"/>
  <c r="H16"/>
  <c r="H26" s="1"/>
  <c r="I63"/>
  <c r="J63"/>
  <c r="K63"/>
  <c r="L63"/>
  <c r="M63"/>
  <c r="N63"/>
  <c r="O63"/>
  <c r="P63"/>
  <c r="F43"/>
  <c r="G43"/>
  <c r="H43"/>
  <c r="I43" s="1"/>
  <c r="J43" s="1"/>
  <c r="K43" s="1"/>
  <c r="L43" s="1"/>
  <c r="M43" s="1"/>
  <c r="N43" s="1"/>
  <c r="O43" s="1"/>
  <c r="I36"/>
  <c r="J36"/>
  <c r="K36"/>
  <c r="L36"/>
  <c r="M36"/>
  <c r="N36"/>
  <c r="O36"/>
  <c r="P36"/>
  <c r="I27"/>
  <c r="J27"/>
  <c r="K27"/>
  <c r="L27"/>
  <c r="M27"/>
  <c r="N27"/>
  <c r="O27"/>
  <c r="P27"/>
  <c r="I25"/>
  <c r="J25"/>
  <c r="K25"/>
  <c r="L25"/>
  <c r="M25"/>
  <c r="N25"/>
  <c r="O25"/>
  <c r="P16"/>
  <c r="P26" s="1"/>
  <c r="H76"/>
  <c r="H81"/>
  <c r="H79"/>
  <c r="H78"/>
  <c r="H71"/>
  <c r="H72" s="1"/>
  <c r="H70"/>
  <c r="H62"/>
  <c r="H73"/>
  <c r="H82"/>
  <c r="H83"/>
  <c r="H84"/>
  <c r="G40"/>
  <c r="G41"/>
  <c r="G106"/>
  <c r="G107"/>
  <c r="G65"/>
  <c r="G64"/>
  <c r="G81"/>
  <c r="G15"/>
  <c r="I80"/>
  <c r="I75"/>
  <c r="H74"/>
  <c r="H75" s="1"/>
  <c r="I72"/>
  <c r="I62"/>
  <c r="J62"/>
  <c r="K62" s="1"/>
  <c r="L62" s="1"/>
  <c r="M62" s="1"/>
  <c r="N62" s="1"/>
  <c r="O62" s="1"/>
  <c r="I61"/>
  <c r="F47"/>
  <c r="H52"/>
  <c r="H50"/>
  <c r="I7"/>
  <c r="J7"/>
  <c r="K7"/>
  <c r="L7" s="1"/>
  <c r="M7" s="1"/>
  <c r="N7" s="1"/>
  <c r="O7" s="1"/>
  <c r="I8"/>
  <c r="J8" s="1"/>
  <c r="K8" s="1"/>
  <c r="L8" s="1"/>
  <c r="M8" s="1"/>
  <c r="N8" s="1"/>
  <c r="O8" s="1"/>
  <c r="I9"/>
  <c r="J9"/>
  <c r="K9"/>
  <c r="L9" s="1"/>
  <c r="M9" s="1"/>
  <c r="N9" s="1"/>
  <c r="O9" s="1"/>
  <c r="I10"/>
  <c r="J10" s="1"/>
  <c r="K10" s="1"/>
  <c r="L10" s="1"/>
  <c r="M10" s="1"/>
  <c r="N10" s="1"/>
  <c r="O10" s="1"/>
  <c r="I11"/>
  <c r="J11"/>
  <c r="K11"/>
  <c r="L11" s="1"/>
  <c r="M11" s="1"/>
  <c r="N11" s="1"/>
  <c r="O11" s="1"/>
  <c r="I12"/>
  <c r="J12" s="1"/>
  <c r="K12" s="1"/>
  <c r="L12" s="1"/>
  <c r="M12" s="1"/>
  <c r="N12" s="1"/>
  <c r="O12" s="1"/>
  <c r="G66"/>
  <c r="G68"/>
  <c r="G69"/>
  <c r="G91"/>
  <c r="G92"/>
  <c r="G93"/>
  <c r="G94"/>
  <c r="G95"/>
  <c r="G96"/>
  <c r="G97"/>
  <c r="G98"/>
  <c r="G100"/>
  <c r="G101"/>
  <c r="G102"/>
  <c r="G103"/>
  <c r="G104"/>
  <c r="G105"/>
  <c r="F99"/>
  <c r="G99"/>
  <c r="F78"/>
  <c r="F75"/>
  <c r="F72"/>
  <c r="F32"/>
  <c r="F27" s="1"/>
  <c r="F31"/>
  <c r="F15"/>
  <c r="G39"/>
  <c r="G42"/>
  <c r="G38"/>
  <c r="G37"/>
  <c r="G29"/>
  <c r="G33"/>
  <c r="G34"/>
  <c r="G35"/>
  <c r="G28"/>
  <c r="G19"/>
  <c r="G10"/>
  <c r="F81"/>
  <c r="J80"/>
  <c r="A7"/>
  <c r="J15"/>
  <c r="H32"/>
  <c r="I76"/>
  <c r="I70"/>
  <c r="H27"/>
  <c r="I15"/>
  <c r="J79"/>
  <c r="M76"/>
  <c r="L76"/>
  <c r="I79"/>
  <c r="K76"/>
  <c r="K70"/>
  <c r="J70"/>
  <c r="J76"/>
  <c r="H36"/>
  <c r="O59"/>
  <c r="N59"/>
  <c r="M59"/>
  <c r="L59"/>
  <c r="K59"/>
  <c r="G47"/>
  <c r="E47"/>
  <c r="E27"/>
  <c r="J61"/>
  <c r="K61" s="1"/>
  <c r="L61" s="1"/>
  <c r="M61" s="1"/>
  <c r="N61" s="1"/>
  <c r="O61" s="1"/>
  <c r="K15"/>
  <c r="L15"/>
  <c r="M15"/>
  <c r="N15"/>
  <c r="O15"/>
  <c r="J99"/>
  <c r="L99"/>
  <c r="H99"/>
  <c r="E63"/>
  <c r="F63"/>
  <c r="G63"/>
  <c r="D63"/>
  <c r="H47"/>
  <c r="D47"/>
  <c r="F46"/>
  <c r="G46"/>
  <c r="H46"/>
  <c r="E46"/>
  <c r="D46"/>
  <c r="E36"/>
  <c r="F36"/>
  <c r="G36"/>
  <c r="D36"/>
  <c r="D27"/>
  <c r="G16"/>
  <c r="F16"/>
  <c r="E16"/>
  <c r="D16"/>
  <c r="D5"/>
  <c r="D52" s="1"/>
  <c r="A6"/>
  <c r="A8"/>
  <c r="A9"/>
  <c r="A11"/>
  <c r="A12"/>
  <c r="A13"/>
  <c r="A14"/>
  <c r="A15"/>
  <c r="A18"/>
  <c r="A20"/>
  <c r="A21"/>
  <c r="A25"/>
  <c r="A28"/>
  <c r="A29"/>
  <c r="A30"/>
  <c r="A31"/>
  <c r="A32"/>
  <c r="A33"/>
  <c r="A34"/>
  <c r="A35"/>
  <c r="A37"/>
  <c r="A38"/>
  <c r="A42"/>
  <c r="A46"/>
  <c r="A47"/>
  <c r="A49"/>
  <c r="A50"/>
  <c r="A51"/>
  <c r="A52"/>
  <c r="A53"/>
  <c r="A54"/>
  <c r="A56"/>
  <c r="A57"/>
  <c r="A59"/>
  <c r="A61"/>
  <c r="A62"/>
  <c r="A63"/>
  <c r="A64"/>
  <c r="A65"/>
  <c r="A66"/>
  <c r="A70"/>
  <c r="A71"/>
  <c r="A73"/>
  <c r="A74"/>
  <c r="A76"/>
  <c r="A77"/>
  <c r="A78"/>
  <c r="A79"/>
  <c r="A80"/>
  <c r="A81"/>
  <c r="A91"/>
  <c r="A92"/>
  <c r="A93"/>
  <c r="A94"/>
  <c r="A95"/>
  <c r="A96"/>
  <c r="A97"/>
  <c r="A99"/>
  <c r="A100"/>
  <c r="A101"/>
  <c r="A102"/>
  <c r="A103"/>
  <c r="A104"/>
  <c r="A105"/>
  <c r="D50"/>
  <c r="G52"/>
  <c r="G50"/>
  <c r="F52"/>
  <c r="F50"/>
  <c r="E112"/>
  <c r="E50"/>
  <c r="E52"/>
  <c r="D26"/>
  <c r="D112"/>
  <c r="D49"/>
  <c r="E26"/>
  <c r="E49"/>
  <c r="H112"/>
  <c r="H49"/>
  <c r="F26"/>
  <c r="F112"/>
  <c r="F49"/>
  <c r="G26"/>
  <c r="G112"/>
  <c r="G49"/>
  <c r="J17" l="1"/>
  <c r="I16"/>
  <c r="I112"/>
  <c r="I47"/>
  <c r="I46"/>
  <c r="J50"/>
  <c r="J49"/>
  <c r="I54"/>
  <c r="J54"/>
  <c r="I52"/>
  <c r="I26"/>
  <c r="I58"/>
  <c r="I50"/>
  <c r="I49"/>
  <c r="J52"/>
  <c r="I55"/>
  <c r="D53"/>
  <c r="J53"/>
  <c r="K6"/>
  <c r="I53"/>
  <c r="J55" s="1"/>
  <c r="G32"/>
  <c r="G27" s="1"/>
  <c r="L6" l="1"/>
  <c r="K5"/>
  <c r="L54"/>
  <c r="J57"/>
  <c r="J56"/>
  <c r="K55"/>
  <c r="H54"/>
  <c r="H55"/>
  <c r="K54"/>
  <c r="I57"/>
  <c r="I56"/>
  <c r="K17"/>
  <c r="K53" s="1"/>
  <c r="J47"/>
  <c r="J46"/>
  <c r="J112"/>
  <c r="J16"/>
  <c r="M54" l="1"/>
  <c r="L55"/>
  <c r="K46"/>
  <c r="K47"/>
  <c r="J58"/>
  <c r="J26"/>
  <c r="H57"/>
  <c r="H56"/>
  <c r="K50"/>
  <c r="K49"/>
  <c r="K52"/>
  <c r="K26"/>
  <c r="L17"/>
  <c r="K16"/>
  <c r="K58" s="1"/>
  <c r="K112"/>
  <c r="M6"/>
  <c r="L53"/>
  <c r="L5"/>
  <c r="L47"/>
  <c r="L46"/>
  <c r="L112"/>
  <c r="K56" l="1"/>
  <c r="K57"/>
  <c r="L50"/>
  <c r="L49"/>
  <c r="L26"/>
  <c r="L52"/>
  <c r="M55"/>
  <c r="M17"/>
  <c r="M46" s="1"/>
  <c r="L16"/>
  <c r="L58" s="1"/>
  <c r="N54"/>
  <c r="N6"/>
  <c r="M5"/>
  <c r="M52" l="1"/>
  <c r="M50"/>
  <c r="M49"/>
  <c r="M53"/>
  <c r="O6"/>
  <c r="N112"/>
  <c r="N5"/>
  <c r="N17"/>
  <c r="N53" s="1"/>
  <c r="O55" s="1"/>
  <c r="M16"/>
  <c r="M26" s="1"/>
  <c r="L56"/>
  <c r="L57"/>
  <c r="M112"/>
  <c r="M47"/>
  <c r="N50" l="1"/>
  <c r="N49"/>
  <c r="N52"/>
  <c r="N46"/>
  <c r="N47"/>
  <c r="M56"/>
  <c r="M57"/>
  <c r="N55"/>
  <c r="P54"/>
  <c r="O54"/>
  <c r="M58"/>
  <c r="O17"/>
  <c r="O16" s="1"/>
  <c r="N16"/>
  <c r="N26" s="1"/>
  <c r="O5"/>
  <c r="O47" l="1"/>
  <c r="O53"/>
  <c r="P55" s="1"/>
  <c r="N58"/>
  <c r="O112"/>
  <c r="O50"/>
  <c r="O49"/>
  <c r="O58"/>
  <c r="O52"/>
  <c r="O26"/>
  <c r="O46"/>
  <c r="N57"/>
  <c r="N56"/>
  <c r="O56" l="1"/>
  <c r="O57"/>
  <c r="P57"/>
  <c r="P56"/>
</calcChain>
</file>

<file path=xl/comments1.xml><?xml version="1.0" encoding="utf-8"?>
<comments xmlns="http://schemas.openxmlformats.org/spreadsheetml/2006/main">
  <authors>
    <author>Cygańska M.</author>
  </authors>
  <commentList>
    <comment ref="I13" authorId="0">
      <text>
        <r>
          <rPr>
            <b/>
            <sz val="8"/>
            <color indexed="81"/>
            <rFont val="Tahoma"/>
            <family val="2"/>
            <charset val="238"/>
          </rPr>
          <t>Cygańska M.:</t>
        </r>
        <r>
          <rPr>
            <sz val="8"/>
            <color indexed="81"/>
            <rFont val="Tahoma"/>
            <family val="2"/>
            <charset val="238"/>
          </rPr>
          <t xml:space="preserve">
ścieżki i chodniki</t>
        </r>
      </text>
    </comment>
    <comment ref="J13" authorId="0">
      <text>
        <r>
          <rPr>
            <b/>
            <sz val="8"/>
            <color indexed="81"/>
            <rFont val="Tahoma"/>
            <family val="2"/>
            <charset val="238"/>
          </rPr>
          <t>Cygańska M.:</t>
        </r>
        <r>
          <rPr>
            <sz val="8"/>
            <color indexed="81"/>
            <rFont val="Tahoma"/>
            <family val="2"/>
            <charset val="238"/>
          </rPr>
          <t xml:space="preserve">
chodniki
</t>
        </r>
      </text>
    </comment>
    <comment ref="I25" authorId="0">
      <text>
        <r>
          <rPr>
            <b/>
            <sz val="8"/>
            <color indexed="81"/>
            <rFont val="Tahoma"/>
            <family val="2"/>
            <charset val="238"/>
          </rPr>
          <t>Cygańska M.:</t>
        </r>
        <r>
          <rPr>
            <sz val="8"/>
            <color indexed="81"/>
            <rFont val="Tahoma"/>
            <family val="2"/>
            <charset val="238"/>
          </rPr>
          <t xml:space="preserve">
ścieżki, chodniki  i infostrada
</t>
        </r>
      </text>
    </comment>
    <comment ref="H66" authorId="0">
      <text>
        <r>
          <rPr>
            <b/>
            <sz val="8"/>
            <color indexed="81"/>
            <rFont val="Tahoma"/>
            <family val="2"/>
            <charset val="238"/>
          </rPr>
          <t>Cygańska M.:</t>
        </r>
        <r>
          <rPr>
            <sz val="8"/>
            <color indexed="81"/>
            <rFont val="Tahoma"/>
            <family val="2"/>
            <charset val="238"/>
          </rPr>
          <t xml:space="preserve">
wydatki inwetycyjne pomniejszone o §601
</t>
        </r>
      </text>
    </comment>
    <comment ref="H67" authorId="0">
      <text>
        <r>
          <rPr>
            <b/>
            <sz val="8"/>
            <color indexed="81"/>
            <rFont val="Tahoma"/>
            <family val="2"/>
            <charset val="238"/>
          </rPr>
          <t>Cygańska M.:</t>
        </r>
        <r>
          <rPr>
            <sz val="8"/>
            <color indexed="81"/>
            <rFont val="Tahoma"/>
            <family val="2"/>
            <charset val="238"/>
          </rPr>
          <t xml:space="preserve">
Budowa ciągów pieszo-rowerowych + budowa drogi 2017C Morczyny-Kamionki Małe</t>
        </r>
      </text>
    </comment>
    <comment ref="H68" authorId="0">
      <text>
        <r>
          <rPr>
            <b/>
            <sz val="8"/>
            <color indexed="81"/>
            <rFont val="Tahoma"/>
            <family val="2"/>
            <charset val="238"/>
          </rPr>
          <t>Cygańska M.:</t>
        </r>
        <r>
          <rPr>
            <sz val="8"/>
            <color indexed="81"/>
            <rFont val="Tahoma"/>
            <family val="2"/>
            <charset val="238"/>
          </rPr>
          <t xml:space="preserve">
§617 i §630
</t>
        </r>
      </text>
    </comment>
  </commentList>
</comments>
</file>

<file path=xl/sharedStrings.xml><?xml version="1.0" encoding="utf-8"?>
<sst xmlns="http://schemas.openxmlformats.org/spreadsheetml/2006/main" count="175" uniqueCount="164">
  <si>
    <t>L.p.</t>
  </si>
  <si>
    <t>Formuła</t>
  </si>
  <si>
    <t>Wyszczególnienie</t>
  </si>
  <si>
    <t>Wykonanie 2011</t>
  </si>
  <si>
    <t>Wykonanie 2012</t>
  </si>
  <si>
    <t>Prognoza 2014</t>
  </si>
  <si>
    <t>Prognoza 2015</t>
  </si>
  <si>
    <t>Prognoza 2016</t>
  </si>
  <si>
    <t>Prognoza 2017</t>
  </si>
  <si>
    <t>Prognoza 2018</t>
  </si>
  <si>
    <t>Prognoza 2019</t>
  </si>
  <si>
    <t>Prognoza 2020</t>
  </si>
  <si>
    <t>Prognoza 2021</t>
  </si>
  <si>
    <t>[1.1]+[1.2]</t>
  </si>
  <si>
    <t>Dochody ogółem</t>
  </si>
  <si>
    <t xml:space="preserve"> Dochody bieżące</t>
  </si>
  <si>
    <t xml:space="preserve">  dochody z tytułu udziału we wpływach z podatku dochodowego od osób fizycznych</t>
  </si>
  <si>
    <t xml:space="preserve">  dochody z tytułu udziału we wpływach z podatku dochodowego od osób prawnych</t>
  </si>
  <si>
    <t xml:space="preserve">  podatki i opłaty</t>
  </si>
  <si>
    <t>1.1.3.1</t>
  </si>
  <si>
    <t xml:space="preserve">   z podatku od nieruchomości</t>
  </si>
  <si>
    <t xml:space="preserve">  z subwencji ogólnej</t>
  </si>
  <si>
    <t xml:space="preserve">  z tytułu dotacji i środków przeznaczonych na cele bieżące</t>
  </si>
  <si>
    <t xml:space="preserve">  Dochody majątkowe, w tym</t>
  </si>
  <si>
    <t xml:space="preserve">  ze sprzedaży majątku</t>
  </si>
  <si>
    <t xml:space="preserve">  z tytułu dotacji oraz środków przeznaczonych na inwestycje</t>
  </si>
  <si>
    <t>[2.1]+[2.2]</t>
  </si>
  <si>
    <t>Wydatki ogółem</t>
  </si>
  <si>
    <t xml:space="preserve"> Wydatki bieżące, w tym:</t>
  </si>
  <si>
    <t xml:space="preserve">  z tytułu poręczeń i gwarancji</t>
  </si>
  <si>
    <t>2.1.1.1</t>
  </si>
  <si>
    <t>2.1.3.1</t>
  </si>
  <si>
    <t xml:space="preserve"> Wydatki majątkowe</t>
  </si>
  <si>
    <t>[1] -[2]</t>
  </si>
  <si>
    <t>Wynik budżetu</t>
  </si>
  <si>
    <t>[4.1] + [4.2] + [4.3] + [4.4]</t>
  </si>
  <si>
    <t>Przychody budżetu</t>
  </si>
  <si>
    <t xml:space="preserve"> Nadwyżka budżetowa z lat ubiegłych</t>
  </si>
  <si>
    <t xml:space="preserve">  w tym na pokrycie deficytu budżetu</t>
  </si>
  <si>
    <t xml:space="preserve"> Wolne środki, o których mowa w art. 217 ust.2 pkt 6 ustawy</t>
  </si>
  <si>
    <t xml:space="preserve">   w tym na pokrycie deficytu budżetu</t>
  </si>
  <si>
    <t xml:space="preserve">  Kredyty, pożyczki, emisja papierów wartościowych</t>
  </si>
  <si>
    <t xml:space="preserve"> Inne przychody niezwiązane z zaciągnięciem długu</t>
  </si>
  <si>
    <t>[5.1] + [5.2]</t>
  </si>
  <si>
    <t>Rozchody budżetu</t>
  </si>
  <si>
    <t xml:space="preserve"> Spłaty rat kapitałowych kredytów i pożyczek oraz wykup papierów wartościowych</t>
  </si>
  <si>
    <t>5.1.1.1</t>
  </si>
  <si>
    <t xml:space="preserve"> Inne rozchody niezwiązane ze spłatą długu</t>
  </si>
  <si>
    <t>Kwota długu</t>
  </si>
  <si>
    <t>Kwota zobowiązań wynikających z przejęcia przez jednostkę samorządu terytorialnego zobowiązań po likwidowanych i przekształcanych jednostkach zaliczanych do sektora  finansów publicznych</t>
  </si>
  <si>
    <t>Relacja zrównoważenia wydatków bieżących, o której mowa w art. 242 ustawy</t>
  </si>
  <si>
    <t>[1.1] - [2.1]</t>
  </si>
  <si>
    <t xml:space="preserve"> Różnica między dochodami bieżącymi a  wydatkami bieżącymi</t>
  </si>
  <si>
    <t>[1.1] + [4.1] + [4.2] - (  [2.1] - [2.1.2]  )</t>
  </si>
  <si>
    <t>Wskaźnik spłaty zobowiązań</t>
  </si>
  <si>
    <t>([2.1.1] + [2.1.3.1] + [5.1] ) / [1]</t>
  </si>
  <si>
    <t>([2.1.1] + [2.1.3.1] + [5.1] - [5.1.1] ) / [1]</t>
  </si>
  <si>
    <t>Przeznaczenie prognozowanej nadwyżki budżetowej,  w tym na:</t>
  </si>
  <si>
    <t xml:space="preserve"> Spłaty kredytów, pożyczek i wykup papierów wartościowych</t>
  </si>
  <si>
    <t>Informacje uzupełniające o wybranych rodzajach wydatków budżetowych</t>
  </si>
  <si>
    <t xml:space="preserve"> Wydatki bieżące na wynagrodzenia i składki od nich naliczane</t>
  </si>
  <si>
    <t xml:space="preserve"> Wydatki związane z funkcjonowaniem organów jednostki samorządu terytorialnego</t>
  </si>
  <si>
    <t>[11.3.1] + [11.3.2]</t>
  </si>
  <si>
    <t xml:space="preserve"> Wydatki objęte limitem art. 226 ust. 3 ustawy</t>
  </si>
  <si>
    <t xml:space="preserve">   bieżące</t>
  </si>
  <si>
    <t xml:space="preserve">   majątkowe</t>
  </si>
  <si>
    <t xml:space="preserve"> Wydatki inwestycyjne kontynuowane </t>
  </si>
  <si>
    <t xml:space="preserve"> Nowe wydatki inwestycyjne</t>
  </si>
  <si>
    <t xml:space="preserve"> Wydatki majątkowe w formie dotacji </t>
  </si>
  <si>
    <t>Finansowanie programów, projektów lub zadań realizowanych z udziałem środków, o których mowa w art. 5 ust. 1 pkt 2 i 3 ustawy</t>
  </si>
  <si>
    <t xml:space="preserve"> Dochody bieżące  na programy, projekty lub zadania finansowane z udziałem środków, o których mowa w art. 5 ust. 1 pkt 2 i 3 ustawy</t>
  </si>
  <si>
    <t xml:space="preserve">  -  w tym środki określone w art. 5 ust. 1 pkt 2 ustawy</t>
  </si>
  <si>
    <t>12.1.1.1</t>
  </si>
  <si>
    <t xml:space="preserve">   - w tym środki określone w art. 5 ust. 1 pkt 2 ustawy wynikające wyłącznie z  zawartych umów na realizację programu, projektu lub zadania</t>
  </si>
  <si>
    <t xml:space="preserve"> Dochody majątkowe  na programy, projekty lub zadania finansowane z udziałem środków, o których mowa w art. 5 ust. 1 pkt 2 i 3 ustawy</t>
  </si>
  <si>
    <t xml:space="preserve">   -  w tym środki określone w art. 5 ust. 1 pkt 2 ustawy</t>
  </si>
  <si>
    <t>12.2.1.1</t>
  </si>
  <si>
    <t xml:space="preserve">    - w tym środki określone w art. 5 ust. 1 pkt 2 ustawy wynikające wyłącznie z zawartych umów na realizację programu, projektu lub zadania</t>
  </si>
  <si>
    <t xml:space="preserve"> Wydatki bieżące na programy, projekty lub zadania finansowane z udziałem środków, o których mowa w art. 5 ust. 1 pkt 2 i 3 ustawy</t>
  </si>
  <si>
    <t xml:space="preserve">  -  w tym finansowane środkami określonymi w art. 5 ust. 1 pkt 2 ustawy </t>
  </si>
  <si>
    <t xml:space="preserve">  Wydatki bieżące na realizację programu, projektu lub zadania wynikające wyłącznie z zawartych umów z podmiotem dysponującym środkami, o których mowa w art. 5 ust. 1 pkt 2 ustawy </t>
  </si>
  <si>
    <t xml:space="preserve"> Wydatki majątkowe na programy, projekty lub zadania finansowane z udziałem środków, o których mowa w art. 5 ust. 1 pkt 2 i 3 ustawy</t>
  </si>
  <si>
    <t xml:space="preserve">  -  w tym finansowane środkami określonymi w art. 5 ust. 1 pkt 2 ustawy</t>
  </si>
  <si>
    <t xml:space="preserve">  Wydatki majątkowe na realizację programu, projektu lub zadania wynikające wyłącznie z zawartych umów z podmiotem dysponującym środkami, o których mowa w art. 5 ust. 1 pkt 2 ustawy </t>
  </si>
  <si>
    <t xml:space="preserve">Kwoty dotyczące przejęcia i spłaty zobowiązań po samodzielnych publicznych zakładach opieki zdrowotnej oraz pokrycia ujemnego wyniku </t>
  </si>
  <si>
    <t xml:space="preserve"> Dochody budżetowe z tytułu dotacji celowej z budżetu państwa, o której mowa w art. 196 ustawy z  dnia 15 kwietnia 2011 r.  o działalności leczniczej (Dz.U. Nr 112, poz. 654, z późn. zm.)</t>
  </si>
  <si>
    <t xml:space="preserve"> Wysokość zobowiązań podlegających umorzeniu, o którym mowa w art. 190 ustawy o działalności leczniczej</t>
  </si>
  <si>
    <t xml:space="preserve"> Wydatki na spłatę przejętych zobowiązań samodzielnego publicznego zakładu opieki zdrowotnej przekształconego na zasadach określonych w przepisach  o działalności leczniczej</t>
  </si>
  <si>
    <t xml:space="preserve"> Wydatki na spłatę przejętych zobowiązań samodzielnego publicznego zakładu opieki zdrowotnej likwidowanego na zasadach określonych w przepisach  o działalności leczniczej</t>
  </si>
  <si>
    <t xml:space="preserve"> Wydatki na spłatę zobowiązań samodzielnego publicznego zakładu opieki zdrowotnej przejętych do końca 2011 r. na podstawie przepisów o zakładach opieki zdrowotnej</t>
  </si>
  <si>
    <t xml:space="preserve"> Wydatki bieżące na pokrycie ujemnego wyniku finansowego samodzielnego publicznego zakładu opieki zdrowotnej</t>
  </si>
  <si>
    <t>Dane uzupełniające o długu i jego spłacie</t>
  </si>
  <si>
    <t xml:space="preserve"> Spłaty rat kapitałowych oraz wykup papierów wartościowych, o których mowa w pkt. 5.1., wynikające wyłącznie z tytułu zobowiązań już zaciągniętych</t>
  </si>
  <si>
    <t xml:space="preserve"> Kwota długu, którego planowana spłata dokona się z wydatków budżetu</t>
  </si>
  <si>
    <t xml:space="preserve"> Wydatki zmniejszające dług, w tym</t>
  </si>
  <si>
    <t xml:space="preserve">  spłata zobowiązań wymagalnych z lat poprzednich, innych niż w pkt 14.3.3</t>
  </si>
  <si>
    <t xml:space="preserve">  związane z umowami zaliczanymi do tytułów dłużnych wliczanych w państwowy dług publiczny</t>
  </si>
  <si>
    <t xml:space="preserve">  wypłaty z tytułu wymagalnych poręczeń i gwarancji</t>
  </si>
  <si>
    <t xml:space="preserve"> Wynik operacji niekasowych wpływających na kwotę długu ( m.in. umorzenia, różnice kursowe)</t>
  </si>
  <si>
    <t>9.6.1</t>
  </si>
  <si>
    <t>Relacja (Db-Wb+Dsm)/Do, o której mowa w art. 243 w danym roku</t>
  </si>
  <si>
    <t>( [1.1] - [2.1] + [1.2.1] ) / [1]</t>
  </si>
  <si>
    <t>TAK</t>
  </si>
  <si>
    <t>2.1</t>
  </si>
  <si>
    <t>Plan 3 kw. 2013</t>
  </si>
  <si>
    <t>Wykonanie 2013</t>
  </si>
  <si>
    <t>w tym: gwarancje i poręczenia podlegające wyłączeniu z limitu spłaty zobowiązań, o którym mowa w art. 243 ustawy</t>
  </si>
  <si>
    <t xml:space="preserve"> 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</si>
  <si>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 xml:space="preserve">  wydatki na obsługę długu w tym:</t>
  </si>
  <si>
    <t xml:space="preserve"> odsetki i dyskonto określone w art. 243 ust. 1 ustawy, w tym:</t>
  </si>
  <si>
    <t>2.1.3.1.1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</si>
  <si>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</si>
  <si>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2.1.3.1.2</t>
  </si>
  <si>
    <t>odsetki i dyskonto podlegające wyłączeniu z limitu spłaty zobowiązań, o którym mowa w art. 243 ustawy, z tytułu zobowiązań  zaciągniętych na wkład krajowy</t>
  </si>
  <si>
    <t>[5.1.1.1]+[5.1.1.2]+[5.1.1.3</t>
  </si>
  <si>
    <t xml:space="preserve">  w tym łączna kwota przypadających na dany rok kwot ustawowych wyłączeń z limitu spłaty zobowiązań, o którym mowa w art. 243 ustawy, z tego:</t>
  </si>
  <si>
    <t>kwota przypadających na dany rok kwot ustawowych wyłączeń określonych w art. 243 ust. 3 ustawy</t>
  </si>
  <si>
    <t>5.1.1.2</t>
  </si>
  <si>
    <t>5.1.1.3</t>
  </si>
  <si>
    <t>kwota przypadających na dany rok kwot ustawowych wyłączeń określonych w art. 243 ust. 3a ustawy</t>
  </si>
  <si>
    <t>kwota przypadających na dany rok kwot ustawowych wyłączeń innych niż określone w art. 243 ustawy</t>
  </si>
  <si>
    <t xml:space="preserve">  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</si>
  <si>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( ([2.1.1]-[2.1.1.1])+([2.1.3.1]-[2.1.3.1.1]-[2.1.3.1.2])+([5.1]-[5.1.1]) )/([1]-[15.1.1])</t>
  </si>
  <si>
    <t xml:space="preserve"> 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</si>
  <si>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 xml:space="preserve"> Kwota zobowiązań związku współtworzonego przez jednostkę samorządu terytorialnego przypadających do spłaty w danym roku budżetowym, podlegająca doliczeniu zgodnie z art. 244 ustawy</t>
  </si>
  <si>
    <t xml:space="preserve"> 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</si>
  <si>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>(([1.1] - [15.1.1])+[1.2.1] - ([2.1]-[2.1.2]-[15.2]))/ ([1]-[15.1.1])</t>
  </si>
  <si>
    <t>Wskaźnik dochodów bieżących powiększonych o dochody ze sprzedaży majątku oraz pomniejszonych o wydatki bieżące, do dochodów budżetu, ustalony dla danego roku (wskaźnik jednoroczny)</t>
  </si>
  <si>
    <t>średnia z trzech poprzednich lat [9.5]</t>
  </si>
  <si>
    <t xml:space="preserve"> 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</si>
  <si>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 xml:space="preserve">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</si>
  <si>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>[9.4]-[9.6]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</si>
  <si>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</si>
  <si>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[9.4]-[9.6.1]</t>
  </si>
  <si>
    <t xml:space="preserve"> 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</si>
  <si>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12.5</t>
  </si>
  <si>
    <t>12.5.1</t>
  </si>
  <si>
    <t>12.6</t>
  </si>
  <si>
    <t>12.6.1</t>
  </si>
  <si>
    <t>12.7</t>
  </si>
  <si>
    <t>12.7.1</t>
  </si>
  <si>
    <t>12.8</t>
  </si>
  <si>
    <t>12.8.1</t>
  </si>
  <si>
    <t xml:space="preserve">Wydatki na wkład krajowy w związku z umową na realizację programu, projektu lub zadania finansowanego z udziałem środków, o których mowa w art. 5 ust. 1 pkt 2 ustawy bez względu na stopień finansowania tymi środkami </t>
  </si>
  <si>
    <t xml:space="preserve"> w tym w związku z już zawartą umową na realizację programu, projektu lub zadania</t>
  </si>
  <si>
    <t xml:space="preserve"> Wydatki na wkład krajowy w związku z zawartą po dniu 1 stycznia 2013 r. umową na realizację programu, projektu lub zadania finansowanego w co najmniej 60% środkami, o których mowa w art. 5 ust. 1 pkt 2 ustawy</t>
  </si>
  <si>
    <t xml:space="preserve">  w tym w związku z już zawartą umową na realizację programu, projektu lub zadania</t>
  </si>
  <si>
    <t xml:space="preserve">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</si>
  <si>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>w tym w związku z już zawartą umową na realizację programu, projektu lub zadania</t>
  </si>
  <si>
    <t xml:space="preserve"> 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</si>
  <si>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>Kwota zobowiązań wynikających z przejęcia przez jednostkę samorządu terytorialnego zobowiązań po likwidowanych i przekształcanych samodzielnych zakładach opieki zdrowotnej</t>
  </si>
  <si>
    <t>15.1</t>
  </si>
  <si>
    <t>15.1.1</t>
  </si>
  <si>
    <t>15.2</t>
  </si>
  <si>
    <t>Dane dotyczące emitowanych obligacji przychodowych</t>
  </si>
  <si>
    <t xml:space="preserve"> Środki z przedsięwzięcia gromadzone na rachunku bankowym,  w tym:</t>
  </si>
  <si>
    <t xml:space="preserve"> środki na zaspokojenie roszczeń obligatariuszy</t>
  </si>
  <si>
    <t>Wydatki bieżące z tytułu świadczenia emitenta należnego obligatariuszom,  nieuwzględniane  w limicie spłaty zobowiązań, o którym mowa w art. 243 ustawy</t>
  </si>
  <si>
    <t>TA</t>
  </si>
  <si>
    <t>Przepływy pieniężne i kwota długu</t>
  </si>
  <si>
    <t>WIELOLETNIA PROGNOZA FINANSOWA  POWIATU  TORUŃSKIEGO   NA  LATA  2011-2021- wykonanie 30.06.2014</t>
  </si>
  <si>
    <t>Zał. Nr 5 do uchwały ZPT w sprawie wykonania budżetu za okres 1.01.2014-30.06.2014</t>
  </si>
  <si>
    <t>Wykonanie na 30.06.2014r.</t>
  </si>
  <si>
    <t xml:space="preserve"> Różnica między dochodami bieżącymi, powiększonymi o nadwyżkę budżetową określoną w pkt 4.1. i wolne środki określone w pkt 4.2.  a wydatkami bieżącymi, pomniejszonym o wydatki określone w pkt  2.1.2.</t>
  </si>
</sst>
</file>

<file path=xl/styles.xml><?xml version="1.0" encoding="utf-8"?>
<styleSheet xmlns="http://schemas.openxmlformats.org/spreadsheetml/2006/main">
  <fonts count="28">
    <font>
      <sz val="11"/>
      <color theme="1"/>
      <name val="Times New Roman"/>
      <family val="2"/>
      <charset val="238"/>
    </font>
    <font>
      <sz val="11"/>
      <color indexed="8"/>
      <name val="Times New Roman"/>
      <family val="2"/>
      <charset val="238"/>
    </font>
    <font>
      <sz val="11"/>
      <color indexed="9"/>
      <name val="Times New Roman"/>
      <family val="2"/>
      <charset val="238"/>
    </font>
    <font>
      <sz val="11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name val="Times New Roman"/>
      <family val="2"/>
      <charset val="238"/>
    </font>
    <font>
      <sz val="8"/>
      <name val="Times New Roman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rgb="FF3F3F76"/>
      <name val="Times New Roman"/>
      <family val="2"/>
      <charset val="238"/>
    </font>
    <font>
      <b/>
      <sz val="11"/>
      <color rgb="FF3F3F3F"/>
      <name val="Times New Roman"/>
      <family val="2"/>
      <charset val="238"/>
    </font>
    <font>
      <sz val="11"/>
      <color rgb="FF006100"/>
      <name val="Times New Roman"/>
      <family val="2"/>
      <charset val="238"/>
    </font>
    <font>
      <sz val="11"/>
      <color rgb="FFFA7D00"/>
      <name val="Times New Roman"/>
      <family val="2"/>
      <charset val="238"/>
    </font>
    <font>
      <b/>
      <sz val="11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1"/>
      <color rgb="FF9C6500"/>
      <name val="Times New Roman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A7D00"/>
      <name val="Times New Roman"/>
      <family val="2"/>
      <charset val="238"/>
    </font>
    <font>
      <b/>
      <sz val="11"/>
      <color theme="1"/>
      <name val="Times New Roman"/>
      <family val="2"/>
      <charset val="238"/>
    </font>
    <font>
      <i/>
      <sz val="11"/>
      <color rgb="FF7F7F7F"/>
      <name val="Times New Roman"/>
      <family val="2"/>
      <charset val="238"/>
    </font>
    <font>
      <sz val="11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Times New Roman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4">
    <xf numFmtId="0" fontId="0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2" fillId="29" borderId="3" applyNumberFormat="0" applyAlignment="0" applyProtection="0"/>
    <xf numFmtId="0" fontId="13" fillId="30" borderId="4" applyNumberFormat="0" applyAlignment="0" applyProtection="0"/>
    <xf numFmtId="0" fontId="14" fillId="31" borderId="0" applyNumberFormat="0" applyBorder="0" applyAlignment="0" applyProtection="0"/>
    <xf numFmtId="0" fontId="15" fillId="0" borderId="5" applyNumberFormat="0" applyFill="0" applyAlignment="0" applyProtection="0"/>
    <xf numFmtId="0" fontId="16" fillId="32" borderId="6" applyNumberFormat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22" fillId="30" borderId="3" applyNumberFormat="0" applyAlignment="0" applyProtection="0"/>
    <xf numFmtId="9" fontId="1" fillId="0" borderId="0" applyFon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34" borderId="11" applyNumberFormat="0" applyFont="0" applyAlignment="0" applyProtection="0"/>
    <xf numFmtId="0" fontId="27" fillId="35" borderId="0" applyNumberFormat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4" fontId="0" fillId="2" borderId="1" xfId="0" applyNumberFormat="1" applyFill="1" applyBorder="1" applyAlignment="1">
      <alignment vertical="center" wrapText="1"/>
    </xf>
    <xf numFmtId="10" fontId="0" fillId="2" borderId="1" xfId="37" applyNumberFormat="1" applyFont="1" applyFill="1" applyBorder="1" applyAlignment="1">
      <alignment vertical="center" wrapText="1"/>
    </xf>
    <xf numFmtId="4" fontId="0" fillId="3" borderId="1" xfId="0" applyNumberFormat="1" applyFill="1" applyBorder="1" applyAlignment="1">
      <alignment vertical="center" wrapText="1"/>
    </xf>
    <xf numFmtId="4" fontId="0" fillId="4" borderId="1" xfId="0" applyNumberFormat="1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4" fontId="0" fillId="2" borderId="1" xfId="37" applyNumberFormat="1" applyFont="1" applyFill="1" applyBorder="1" applyAlignment="1">
      <alignment vertical="center" wrapText="1"/>
    </xf>
    <xf numFmtId="10" fontId="0" fillId="2" borderId="1" xfId="37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0" fontId="2" fillId="0" borderId="0" xfId="37" applyNumberFormat="1" applyFont="1" applyAlignment="1">
      <alignment vertical="center" wrapText="1"/>
    </xf>
    <xf numFmtId="10" fontId="2" fillId="4" borderId="0" xfId="37" applyNumberFormat="1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10" fontId="0" fillId="0" borderId="1" xfId="37" applyNumberFormat="1" applyFont="1" applyFill="1" applyBorder="1" applyAlignment="1">
      <alignment vertical="center" wrapText="1"/>
    </xf>
    <xf numFmtId="4" fontId="0" fillId="0" borderId="1" xfId="37" applyNumberFormat="1" applyFont="1" applyFill="1" applyBorder="1" applyAlignment="1">
      <alignment vertical="center" wrapText="1"/>
    </xf>
    <xf numFmtId="10" fontId="0" fillId="0" borderId="1" xfId="37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3" fontId="0" fillId="0" borderId="0" xfId="0" applyNumberFormat="1" applyAlignment="1">
      <alignment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vertical="center" wrapText="1"/>
    </xf>
    <xf numFmtId="3" fontId="0" fillId="0" borderId="1" xfId="0" applyNumberFormat="1" applyFill="1" applyBorder="1" applyAlignment="1">
      <alignment vertical="center" wrapText="1"/>
    </xf>
    <xf numFmtId="3" fontId="0" fillId="0" borderId="1" xfId="37" applyNumberFormat="1" applyFont="1" applyFill="1" applyBorder="1" applyAlignment="1">
      <alignment vertical="center" wrapText="1"/>
    </xf>
    <xf numFmtId="3" fontId="0" fillId="0" borderId="1" xfId="37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36" borderId="1" xfId="0" applyFill="1" applyBorder="1" applyAlignment="1">
      <alignment horizontal="left" vertical="center" wrapText="1"/>
    </xf>
    <xf numFmtId="0" fontId="0" fillId="36" borderId="1" xfId="0" applyFill="1" applyBorder="1" applyAlignment="1">
      <alignment vertical="center" wrapText="1"/>
    </xf>
    <xf numFmtId="4" fontId="0" fillId="36" borderId="1" xfId="0" applyNumberFormat="1" applyFill="1" applyBorder="1" applyAlignment="1">
      <alignment vertical="center" wrapText="1"/>
    </xf>
    <xf numFmtId="3" fontId="0" fillId="36" borderId="1" xfId="0" applyNumberFormat="1" applyFill="1" applyBorder="1" applyAlignment="1">
      <alignment vertical="center" wrapText="1"/>
    </xf>
    <xf numFmtId="0" fontId="0" fillId="36" borderId="0" xfId="0" applyFill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44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Obliczenia" xfId="36" builtinId="22" customBuiltin="1"/>
    <cellStyle name="Procentowy" xfId="37" builtinId="5"/>
    <cellStyle name="Suma" xfId="38" builtinId="25" customBuiltin="1"/>
    <cellStyle name="Tekst objaśnienia" xfId="39" builtinId="53" customBuiltin="1"/>
    <cellStyle name="Tekst ostrzeżenia" xfId="40" builtinId="11" customBuiltin="1"/>
    <cellStyle name="Tytuł" xfId="41" builtinId="15" customBuiltin="1"/>
    <cellStyle name="Uwaga" xfId="42" builtinId="10" customBuiltin="1"/>
    <cellStyle name="Złe" xfId="43" builtinId="27" customBuiltin="1"/>
  </cellStyles>
  <dxfs count="0"/>
  <tableStyles count="0" defaultTableStyle="TableStyleMedium2" defaultPivotStyle="PivotStyleLight16"/>
  <colors>
    <mruColors>
      <color rgb="FFE1C8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3"/>
  <sheetViews>
    <sheetView tabSelected="1" zoomScale="90" zoomScaleNormal="90" workbookViewId="0">
      <pane xSplit="3" ySplit="5" topLeftCell="D60" activePane="bottomRight" state="frozen"/>
      <selection pane="topRight" activeCell="D1" sqref="D1"/>
      <selection pane="bottomLeft" activeCell="A3" sqref="A3"/>
      <selection pane="bottomRight" activeCell="P66" sqref="P66"/>
    </sheetView>
  </sheetViews>
  <sheetFormatPr defaultRowHeight="15"/>
  <cols>
    <col min="1" max="1" width="10" style="3" customWidth="1"/>
    <col min="2" max="2" width="16.5703125" style="1" customWidth="1"/>
    <col min="3" max="3" width="84.42578125" style="1" customWidth="1"/>
    <col min="4" max="4" width="13.140625" style="1" hidden="1" customWidth="1"/>
    <col min="5" max="5" width="14.85546875" style="1" hidden="1" customWidth="1"/>
    <col min="6" max="7" width="13.140625" style="1" hidden="1" customWidth="1"/>
    <col min="8" max="8" width="13.140625" style="14" customWidth="1"/>
    <col min="9" max="14" width="13.140625" style="1" hidden="1" customWidth="1"/>
    <col min="15" max="15" width="13.5703125" style="1" hidden="1" customWidth="1"/>
    <col min="16" max="16" width="14.85546875" style="36" bestFit="1" customWidth="1"/>
    <col min="17" max="18" width="9.140625" style="1"/>
    <col min="19" max="19" width="11.5703125" style="1" bestFit="1" customWidth="1"/>
    <col min="20" max="16384" width="9.140625" style="1"/>
  </cols>
  <sheetData>
    <row r="1" spans="1:16" ht="29.25" customHeight="1">
      <c r="A1" s="49" t="s">
        <v>161</v>
      </c>
      <c r="B1" s="49"/>
      <c r="C1" s="49"/>
      <c r="D1" s="49"/>
    </row>
    <row r="2" spans="1:16" ht="27.75" customHeight="1">
      <c r="A2" s="51" t="s">
        <v>160</v>
      </c>
      <c r="B2" s="51"/>
      <c r="C2" s="51"/>
      <c r="D2" s="51"/>
      <c r="E2" s="51"/>
      <c r="F2" s="51"/>
    </row>
    <row r="3" spans="1:16" ht="20.25" customHeight="1">
      <c r="A3" s="50" t="s">
        <v>159</v>
      </c>
      <c r="B3" s="50"/>
      <c r="C3" s="50"/>
      <c r="D3" s="50"/>
    </row>
    <row r="4" spans="1:16" s="2" customFormat="1" ht="30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104</v>
      </c>
      <c r="G4" s="7" t="s">
        <v>105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12</v>
      </c>
      <c r="P4" s="37" t="s">
        <v>162</v>
      </c>
    </row>
    <row r="5" spans="1:16">
      <c r="A5" s="8">
        <v>1</v>
      </c>
      <c r="B5" s="9" t="s">
        <v>13</v>
      </c>
      <c r="C5" s="9" t="s">
        <v>14</v>
      </c>
      <c r="D5" s="10">
        <f>D6+D13</f>
        <v>73388475</v>
      </c>
      <c r="E5" s="10">
        <f>E6+E13</f>
        <v>80510755</v>
      </c>
      <c r="F5" s="10">
        <f>F6+F13</f>
        <v>80445422</v>
      </c>
      <c r="G5" s="10">
        <f>G6+G13</f>
        <v>78502901.149999991</v>
      </c>
      <c r="H5" s="10">
        <f>H6+H13</f>
        <v>89886418</v>
      </c>
      <c r="I5" s="10">
        <f t="shared" ref="I5:O5" si="0">I6+I13</f>
        <v>80191111</v>
      </c>
      <c r="J5" s="10">
        <f t="shared" si="0"/>
        <v>77680006</v>
      </c>
      <c r="K5" s="10">
        <f t="shared" si="0"/>
        <v>80770000</v>
      </c>
      <c r="L5" s="10">
        <f t="shared" si="0"/>
        <v>84080000</v>
      </c>
      <c r="M5" s="10">
        <f t="shared" si="0"/>
        <v>87280000</v>
      </c>
      <c r="N5" s="10">
        <f t="shared" si="0"/>
        <v>90160000</v>
      </c>
      <c r="O5" s="10">
        <f t="shared" si="0"/>
        <v>93050000</v>
      </c>
      <c r="P5" s="38">
        <f>P6+P13</f>
        <v>39491505.100000001</v>
      </c>
    </row>
    <row r="6" spans="1:16">
      <c r="A6" s="4" t="str">
        <f>"1.1"</f>
        <v>1.1</v>
      </c>
      <c r="B6" s="5"/>
      <c r="C6" s="5" t="s">
        <v>15</v>
      </c>
      <c r="D6" s="6">
        <v>66468275</v>
      </c>
      <c r="E6" s="6">
        <v>70708871</v>
      </c>
      <c r="F6" s="6">
        <v>72895495</v>
      </c>
      <c r="G6" s="6">
        <v>73012092.189999998</v>
      </c>
      <c r="H6" s="15">
        <v>71590807</v>
      </c>
      <c r="I6" s="15">
        <f>ROUND(H6*103.8%,-4)</f>
        <v>74310000</v>
      </c>
      <c r="J6" s="15">
        <f>ROUND(I6*104.3%,-4)</f>
        <v>77510000</v>
      </c>
      <c r="K6" s="15">
        <f>ROUND(J6*104.2%,-4)</f>
        <v>80770000</v>
      </c>
      <c r="L6" s="15">
        <f>ROUND(K6*104.1%,-4)</f>
        <v>84080000</v>
      </c>
      <c r="M6" s="15">
        <f>ROUND(L6*103.8%,-4)</f>
        <v>87280000</v>
      </c>
      <c r="N6" s="15">
        <f>ROUND(M6*103.3%,-4)</f>
        <v>90160000</v>
      </c>
      <c r="O6" s="15">
        <f>ROUND(N6*103.2%,-4)</f>
        <v>93050000</v>
      </c>
      <c r="P6" s="39">
        <v>38547133.039999999</v>
      </c>
    </row>
    <row r="7" spans="1:16">
      <c r="A7" s="4" t="str">
        <f>"1.1.1"</f>
        <v>1.1.1</v>
      </c>
      <c r="B7" s="5"/>
      <c r="C7" s="5" t="s">
        <v>16</v>
      </c>
      <c r="D7" s="6">
        <v>0</v>
      </c>
      <c r="E7" s="6">
        <v>0</v>
      </c>
      <c r="F7" s="6">
        <v>13294782</v>
      </c>
      <c r="G7" s="6">
        <v>13695110</v>
      </c>
      <c r="H7" s="15">
        <v>14319000</v>
      </c>
      <c r="I7" s="15">
        <f t="shared" ref="I7:I12" si="1">ROUND(H7*103.8%,-4)</f>
        <v>14860000</v>
      </c>
      <c r="J7" s="15">
        <f t="shared" ref="J7:J12" si="2">ROUND(I7*104.3%,-4)</f>
        <v>15500000</v>
      </c>
      <c r="K7" s="15">
        <f t="shared" ref="K7:K12" si="3">ROUND(J7*104.2%,-4)</f>
        <v>16150000</v>
      </c>
      <c r="L7" s="15">
        <f t="shared" ref="L7:L12" si="4">ROUND(K7*104.1%,-4)</f>
        <v>16810000</v>
      </c>
      <c r="M7" s="15">
        <f t="shared" ref="M7:M12" si="5">ROUND(L7*103.8%,-4)</f>
        <v>17450000</v>
      </c>
      <c r="N7" s="15">
        <f t="shared" ref="N7:N12" si="6">ROUND(M7*103.3%,-4)</f>
        <v>18030000</v>
      </c>
      <c r="O7" s="15">
        <f t="shared" ref="O7:O12" si="7">ROUND(N7*103.3%,-4)</f>
        <v>18620000</v>
      </c>
      <c r="P7" s="39">
        <v>6334736</v>
      </c>
    </row>
    <row r="8" spans="1:16">
      <c r="A8" s="4" t="str">
        <f>"1.1.2"</f>
        <v>1.1.2</v>
      </c>
      <c r="B8" s="5"/>
      <c r="C8" s="5" t="s">
        <v>17</v>
      </c>
      <c r="D8" s="6">
        <v>0</v>
      </c>
      <c r="E8" s="6">
        <v>0</v>
      </c>
      <c r="F8" s="6">
        <v>472420</v>
      </c>
      <c r="G8" s="6">
        <v>581043.82999999996</v>
      </c>
      <c r="H8" s="15">
        <v>550000</v>
      </c>
      <c r="I8" s="15">
        <f t="shared" si="1"/>
        <v>570000</v>
      </c>
      <c r="J8" s="15">
        <f t="shared" si="2"/>
        <v>590000</v>
      </c>
      <c r="K8" s="15">
        <f t="shared" si="3"/>
        <v>610000</v>
      </c>
      <c r="L8" s="15">
        <f t="shared" si="4"/>
        <v>640000</v>
      </c>
      <c r="M8" s="15">
        <f t="shared" si="5"/>
        <v>660000</v>
      </c>
      <c r="N8" s="15">
        <f t="shared" si="6"/>
        <v>680000</v>
      </c>
      <c r="O8" s="15">
        <f t="shared" si="7"/>
        <v>700000</v>
      </c>
      <c r="P8" s="39">
        <v>201216.49</v>
      </c>
    </row>
    <row r="9" spans="1:16">
      <c r="A9" s="4" t="str">
        <f>"1.1.3"</f>
        <v>1.1.3</v>
      </c>
      <c r="B9" s="5"/>
      <c r="C9" s="5" t="s">
        <v>18</v>
      </c>
      <c r="D9" s="6">
        <v>0</v>
      </c>
      <c r="E9" s="6">
        <v>0</v>
      </c>
      <c r="F9" s="6">
        <v>3816030</v>
      </c>
      <c r="G9" s="6">
        <v>3527243</v>
      </c>
      <c r="H9" s="15">
        <v>4149900</v>
      </c>
      <c r="I9" s="15">
        <f t="shared" si="1"/>
        <v>4310000</v>
      </c>
      <c r="J9" s="15">
        <f t="shared" si="2"/>
        <v>4500000</v>
      </c>
      <c r="K9" s="15">
        <f t="shared" si="3"/>
        <v>4690000</v>
      </c>
      <c r="L9" s="15">
        <f t="shared" si="4"/>
        <v>4880000</v>
      </c>
      <c r="M9" s="15">
        <f t="shared" si="5"/>
        <v>5070000</v>
      </c>
      <c r="N9" s="15">
        <f t="shared" si="6"/>
        <v>5240000</v>
      </c>
      <c r="O9" s="15">
        <f t="shared" si="7"/>
        <v>5410000</v>
      </c>
      <c r="P9" s="39">
        <v>3347079.64</v>
      </c>
    </row>
    <row r="10" spans="1:16">
      <c r="A10" s="4" t="s">
        <v>19</v>
      </c>
      <c r="B10" s="5"/>
      <c r="C10" s="5" t="s">
        <v>20</v>
      </c>
      <c r="D10" s="6">
        <v>0</v>
      </c>
      <c r="E10" s="6">
        <v>0</v>
      </c>
      <c r="F10" s="6">
        <v>0</v>
      </c>
      <c r="G10" s="6">
        <f>F10</f>
        <v>0</v>
      </c>
      <c r="H10" s="15">
        <v>0</v>
      </c>
      <c r="I10" s="15">
        <f t="shared" si="1"/>
        <v>0</v>
      </c>
      <c r="J10" s="15">
        <f t="shared" si="2"/>
        <v>0</v>
      </c>
      <c r="K10" s="15">
        <f t="shared" si="3"/>
        <v>0</v>
      </c>
      <c r="L10" s="15">
        <f t="shared" si="4"/>
        <v>0</v>
      </c>
      <c r="M10" s="15">
        <f t="shared" si="5"/>
        <v>0</v>
      </c>
      <c r="N10" s="15">
        <f t="shared" si="6"/>
        <v>0</v>
      </c>
      <c r="O10" s="15">
        <f t="shared" si="7"/>
        <v>0</v>
      </c>
      <c r="P10" s="39">
        <v>0</v>
      </c>
    </row>
    <row r="11" spans="1:16">
      <c r="A11" s="4" t="str">
        <f>"1.1.4"</f>
        <v>1.1.4</v>
      </c>
      <c r="B11" s="5"/>
      <c r="C11" s="5" t="s">
        <v>21</v>
      </c>
      <c r="D11" s="6">
        <v>0</v>
      </c>
      <c r="E11" s="6">
        <v>0</v>
      </c>
      <c r="F11" s="6">
        <v>26573233</v>
      </c>
      <c r="G11" s="6">
        <v>26684580</v>
      </c>
      <c r="H11" s="15">
        <v>25371668</v>
      </c>
      <c r="I11" s="15">
        <f t="shared" si="1"/>
        <v>26340000</v>
      </c>
      <c r="J11" s="15">
        <f t="shared" si="2"/>
        <v>27470000</v>
      </c>
      <c r="K11" s="15">
        <f t="shared" si="3"/>
        <v>28620000</v>
      </c>
      <c r="L11" s="15">
        <f t="shared" si="4"/>
        <v>29790000</v>
      </c>
      <c r="M11" s="15">
        <f t="shared" si="5"/>
        <v>30920000</v>
      </c>
      <c r="N11" s="15">
        <f t="shared" si="6"/>
        <v>31940000</v>
      </c>
      <c r="O11" s="15">
        <f t="shared" si="7"/>
        <v>32990000</v>
      </c>
      <c r="P11" s="39">
        <v>14790140</v>
      </c>
    </row>
    <row r="12" spans="1:16">
      <c r="A12" s="4" t="str">
        <f>"1.1.5"</f>
        <v>1.1.5</v>
      </c>
      <c r="B12" s="5"/>
      <c r="C12" s="5" t="s">
        <v>22</v>
      </c>
      <c r="D12" s="6">
        <v>0</v>
      </c>
      <c r="E12" s="6">
        <v>0</v>
      </c>
      <c r="F12" s="6">
        <v>18212553</v>
      </c>
      <c r="G12" s="6">
        <v>16984909</v>
      </c>
      <c r="H12" s="15">
        <v>15485919</v>
      </c>
      <c r="I12" s="15">
        <f t="shared" si="1"/>
        <v>16070000</v>
      </c>
      <c r="J12" s="15">
        <f t="shared" si="2"/>
        <v>16760000</v>
      </c>
      <c r="K12" s="15">
        <f t="shared" si="3"/>
        <v>17460000</v>
      </c>
      <c r="L12" s="15">
        <f t="shared" si="4"/>
        <v>18180000</v>
      </c>
      <c r="M12" s="15">
        <f t="shared" si="5"/>
        <v>18870000</v>
      </c>
      <c r="N12" s="15">
        <f t="shared" si="6"/>
        <v>19490000</v>
      </c>
      <c r="O12" s="15">
        <f t="shared" si="7"/>
        <v>20130000</v>
      </c>
      <c r="P12" s="39">
        <v>9196348.5199999996</v>
      </c>
    </row>
    <row r="13" spans="1:16">
      <c r="A13" s="4" t="str">
        <f>"1.2"</f>
        <v>1.2</v>
      </c>
      <c r="B13" s="5"/>
      <c r="C13" s="5" t="s">
        <v>23</v>
      </c>
      <c r="D13" s="6">
        <v>6920200</v>
      </c>
      <c r="E13" s="6">
        <v>9801884</v>
      </c>
      <c r="F13" s="6">
        <v>7549927</v>
      </c>
      <c r="G13" s="6">
        <v>5490808.96</v>
      </c>
      <c r="H13" s="15">
        <v>18295611</v>
      </c>
      <c r="I13" s="16">
        <f>609583+1658351+3613177</f>
        <v>5881111</v>
      </c>
      <c r="J13" s="16">
        <v>170006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39">
        <v>944372.06</v>
      </c>
    </row>
    <row r="14" spans="1:16">
      <c r="A14" s="4" t="str">
        <f>"1.2.1"</f>
        <v>1.2.1</v>
      </c>
      <c r="B14" s="5"/>
      <c r="C14" s="5" t="s">
        <v>24</v>
      </c>
      <c r="D14" s="6">
        <v>1668964</v>
      </c>
      <c r="E14" s="6">
        <v>1915383</v>
      </c>
      <c r="F14" s="6">
        <v>0</v>
      </c>
      <c r="G14" s="6">
        <v>10100</v>
      </c>
      <c r="H14" s="15">
        <v>0</v>
      </c>
      <c r="I14" s="16">
        <v>0</v>
      </c>
      <c r="J14" s="16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39">
        <v>1105</v>
      </c>
    </row>
    <row r="15" spans="1:16">
      <c r="A15" s="4" t="str">
        <f>"1.2.2"</f>
        <v>1.2.2</v>
      </c>
      <c r="B15" s="5"/>
      <c r="C15" s="5" t="s">
        <v>25</v>
      </c>
      <c r="D15" s="6">
        <v>0</v>
      </c>
      <c r="E15" s="6">
        <v>0</v>
      </c>
      <c r="F15" s="6">
        <f>F13-F14</f>
        <v>7549927</v>
      </c>
      <c r="G15" s="6">
        <f>G13-G14</f>
        <v>5480708.96</v>
      </c>
      <c r="H15" s="15">
        <v>18295611</v>
      </c>
      <c r="I15" s="16">
        <f t="shared" ref="I15:O15" si="8">I13-I14</f>
        <v>5881111</v>
      </c>
      <c r="J15" s="16">
        <f t="shared" si="8"/>
        <v>170006</v>
      </c>
      <c r="K15" s="15">
        <f t="shared" si="8"/>
        <v>0</v>
      </c>
      <c r="L15" s="15">
        <f t="shared" si="8"/>
        <v>0</v>
      </c>
      <c r="M15" s="15">
        <f t="shared" si="8"/>
        <v>0</v>
      </c>
      <c r="N15" s="15">
        <f t="shared" si="8"/>
        <v>0</v>
      </c>
      <c r="O15" s="15">
        <f t="shared" si="8"/>
        <v>0</v>
      </c>
      <c r="P15" s="39">
        <v>943315.06</v>
      </c>
    </row>
    <row r="16" spans="1:16">
      <c r="A16" s="8">
        <v>2</v>
      </c>
      <c r="B16" s="9" t="s">
        <v>26</v>
      </c>
      <c r="C16" s="9" t="s">
        <v>27</v>
      </c>
      <c r="D16" s="10">
        <f t="shared" ref="D16:P16" si="9">D17+D25</f>
        <v>72492804</v>
      </c>
      <c r="E16" s="10">
        <f t="shared" si="9"/>
        <v>77258637</v>
      </c>
      <c r="F16" s="10">
        <f t="shared" si="9"/>
        <v>85874363</v>
      </c>
      <c r="G16" s="10">
        <f t="shared" si="9"/>
        <v>80189410.719999999</v>
      </c>
      <c r="H16" s="10">
        <f t="shared" si="9"/>
        <v>95344418</v>
      </c>
      <c r="I16" s="10" t="e">
        <f t="shared" si="9"/>
        <v>#REF!</v>
      </c>
      <c r="J16" s="10" t="e">
        <f t="shared" si="9"/>
        <v>#REF!</v>
      </c>
      <c r="K16" s="10" t="e">
        <f t="shared" si="9"/>
        <v>#REF!</v>
      </c>
      <c r="L16" s="10" t="e">
        <f t="shared" si="9"/>
        <v>#REF!</v>
      </c>
      <c r="M16" s="10" t="e">
        <f t="shared" si="9"/>
        <v>#REF!</v>
      </c>
      <c r="N16" s="10" t="e">
        <f t="shared" si="9"/>
        <v>#REF!</v>
      </c>
      <c r="O16" s="10" t="e">
        <f t="shared" si="9"/>
        <v>#REF!</v>
      </c>
      <c r="P16" s="38">
        <f t="shared" si="9"/>
        <v>36883330.990000002</v>
      </c>
    </row>
    <row r="17" spans="1:19">
      <c r="A17" s="4" t="s">
        <v>103</v>
      </c>
      <c r="B17" s="5"/>
      <c r="C17" s="5" t="s">
        <v>28</v>
      </c>
      <c r="D17" s="6">
        <v>61153605</v>
      </c>
      <c r="E17" s="6">
        <v>64167268</v>
      </c>
      <c r="F17" s="6">
        <v>71232203</v>
      </c>
      <c r="G17" s="6">
        <v>67952090.819999993</v>
      </c>
      <c r="H17" s="15">
        <v>69467046</v>
      </c>
      <c r="I17" s="16">
        <f>ROUND((H17-H22)*102.5%,-1)+I22</f>
        <v>71136324</v>
      </c>
      <c r="J17" s="16">
        <f>ROUND((I17-I22)*102.5%,-1)+J22</f>
        <v>72849766</v>
      </c>
      <c r="K17" s="16">
        <f>ROUND((J17-J22)*102.5%,-1)+K22</f>
        <v>74605396</v>
      </c>
      <c r="L17" s="16">
        <f>ROUND((K17-K22)*102.5%,-1)+L22</f>
        <v>76403372</v>
      </c>
      <c r="M17" s="16">
        <f>ROUND((L17-L22)*102.4%,-1)+M22</f>
        <v>78158205</v>
      </c>
      <c r="N17" s="16">
        <f>ROUND((M17-M22)*102.4%,-1)+N22</f>
        <v>79973242</v>
      </c>
      <c r="O17" s="16">
        <f>ROUND((N17-N22)*102.4%,-1)+O22</f>
        <v>81816415</v>
      </c>
      <c r="P17" s="39">
        <v>32496667</v>
      </c>
    </row>
    <row r="18" spans="1:19">
      <c r="A18" s="4" t="str">
        <f>"2.1.1"</f>
        <v>2.1.1</v>
      </c>
      <c r="B18" s="5"/>
      <c r="C18" s="5" t="s">
        <v>29</v>
      </c>
      <c r="D18" s="6">
        <v>0</v>
      </c>
      <c r="E18" s="6">
        <v>887245</v>
      </c>
      <c r="F18" s="6">
        <v>462411</v>
      </c>
      <c r="G18" s="6">
        <v>0</v>
      </c>
      <c r="H18" s="15">
        <v>462411</v>
      </c>
      <c r="I18" s="15">
        <v>462411</v>
      </c>
      <c r="J18" s="15">
        <v>423877</v>
      </c>
      <c r="K18" s="15">
        <v>500945</v>
      </c>
      <c r="L18" s="15">
        <v>0</v>
      </c>
      <c r="M18" s="15">
        <v>0</v>
      </c>
      <c r="N18" s="15">
        <v>0</v>
      </c>
      <c r="O18" s="15">
        <v>0</v>
      </c>
      <c r="P18" s="39">
        <v>0</v>
      </c>
    </row>
    <row r="19" spans="1:19" ht="30">
      <c r="A19" s="4" t="s">
        <v>30</v>
      </c>
      <c r="B19" s="5"/>
      <c r="C19" s="5" t="s">
        <v>106</v>
      </c>
      <c r="D19" s="6">
        <v>0</v>
      </c>
      <c r="E19" s="6">
        <v>0</v>
      </c>
      <c r="F19" s="6">
        <v>0</v>
      </c>
      <c r="G19" s="6">
        <f>F19</f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39">
        <v>0</v>
      </c>
    </row>
    <row r="20" spans="1:19" ht="45">
      <c r="A20" s="4" t="str">
        <f>"2.1.2"</f>
        <v>2.1.2</v>
      </c>
      <c r="B20" s="5"/>
      <c r="C20" s="5" t="s">
        <v>107</v>
      </c>
      <c r="D20" s="6">
        <v>0</v>
      </c>
      <c r="E20" s="6">
        <v>0</v>
      </c>
      <c r="F20" s="6">
        <v>0</v>
      </c>
      <c r="G20" s="6">
        <f>F20</f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39">
        <v>0</v>
      </c>
    </row>
    <row r="21" spans="1:19">
      <c r="A21" s="4" t="str">
        <f>"2.1.3"</f>
        <v>2.1.3</v>
      </c>
      <c r="B21" s="5"/>
      <c r="C21" s="5" t="s">
        <v>108</v>
      </c>
      <c r="D21" s="6">
        <v>588356</v>
      </c>
      <c r="E21" s="6">
        <v>723127</v>
      </c>
      <c r="F21" s="6">
        <v>582172</v>
      </c>
      <c r="G21" s="6">
        <v>485745</v>
      </c>
      <c r="H21" s="15">
        <v>493805</v>
      </c>
      <c r="I21" s="16">
        <v>438754</v>
      </c>
      <c r="J21" s="16">
        <v>384756</v>
      </c>
      <c r="K21" s="16">
        <v>328756</v>
      </c>
      <c r="L21" s="16">
        <v>269812</v>
      </c>
      <c r="M21" s="16">
        <v>197435</v>
      </c>
      <c r="N21" s="16">
        <v>141412</v>
      </c>
      <c r="O21" s="16">
        <v>68625</v>
      </c>
      <c r="P21" s="39">
        <v>258929.1</v>
      </c>
    </row>
    <row r="22" spans="1:19">
      <c r="A22" s="4" t="s">
        <v>31</v>
      </c>
      <c r="B22" s="5"/>
      <c r="C22" s="5" t="s">
        <v>109</v>
      </c>
      <c r="D22" s="6">
        <v>588356</v>
      </c>
      <c r="E22" s="6">
        <v>723127</v>
      </c>
      <c r="F22" s="6">
        <v>582172</v>
      </c>
      <c r="G22" s="6">
        <v>485745</v>
      </c>
      <c r="H22" s="15">
        <f>H21</f>
        <v>493805</v>
      </c>
      <c r="I22" s="16">
        <f t="shared" ref="I22:N22" si="10">I21</f>
        <v>438754</v>
      </c>
      <c r="J22" s="16">
        <f t="shared" si="10"/>
        <v>384756</v>
      </c>
      <c r="K22" s="16">
        <f t="shared" si="10"/>
        <v>328756</v>
      </c>
      <c r="L22" s="16">
        <f t="shared" si="10"/>
        <v>269812</v>
      </c>
      <c r="M22" s="16">
        <f t="shared" si="10"/>
        <v>197435</v>
      </c>
      <c r="N22" s="16">
        <f t="shared" si="10"/>
        <v>141412</v>
      </c>
      <c r="O22" s="16">
        <f>O21</f>
        <v>68625</v>
      </c>
      <c r="P22" s="39">
        <v>258929.1</v>
      </c>
    </row>
    <row r="23" spans="1:19" ht="45">
      <c r="A23" s="4" t="s">
        <v>110</v>
      </c>
      <c r="B23" s="5"/>
      <c r="C23" s="5" t="s">
        <v>111</v>
      </c>
      <c r="D23" s="6"/>
      <c r="E23" s="6"/>
      <c r="F23" s="6"/>
      <c r="G23" s="6"/>
      <c r="H23" s="15"/>
      <c r="I23" s="16"/>
      <c r="J23" s="16"/>
      <c r="K23" s="16"/>
      <c r="L23" s="16"/>
      <c r="M23" s="16"/>
      <c r="N23" s="16"/>
      <c r="O23" s="16"/>
      <c r="P23" s="39"/>
    </row>
    <row r="24" spans="1:19" ht="30">
      <c r="A24" s="4" t="s">
        <v>112</v>
      </c>
      <c r="B24" s="5"/>
      <c r="C24" s="5" t="s">
        <v>113</v>
      </c>
      <c r="D24" s="6"/>
      <c r="E24" s="6"/>
      <c r="F24" s="6"/>
      <c r="G24" s="6"/>
      <c r="H24" s="15"/>
      <c r="I24" s="16"/>
      <c r="J24" s="16"/>
      <c r="K24" s="16"/>
      <c r="L24" s="16"/>
      <c r="M24" s="16"/>
      <c r="N24" s="16"/>
      <c r="O24" s="16"/>
      <c r="P24" s="39"/>
      <c r="S24" s="43">
        <f>H6-H17+H30</f>
        <v>9081761</v>
      </c>
    </row>
    <row r="25" spans="1:19">
      <c r="A25" s="4" t="str">
        <f>"2.2"</f>
        <v>2.2</v>
      </c>
      <c r="B25" s="5"/>
      <c r="C25" s="5" t="s">
        <v>32</v>
      </c>
      <c r="D25" s="6">
        <v>11339199</v>
      </c>
      <c r="E25" s="6">
        <v>13091369</v>
      </c>
      <c r="F25" s="6">
        <v>14642160</v>
      </c>
      <c r="G25" s="21">
        <v>12237319.9</v>
      </c>
      <c r="H25" s="15">
        <v>25877372</v>
      </c>
      <c r="I25" s="15" t="e">
        <f>#REF!</f>
        <v>#REF!</v>
      </c>
      <c r="J25" s="15" t="e">
        <f>#REF!</f>
        <v>#REF!</v>
      </c>
      <c r="K25" s="15" t="e">
        <f>#REF!</f>
        <v>#REF!</v>
      </c>
      <c r="L25" s="15" t="e">
        <f>#REF!</f>
        <v>#REF!</v>
      </c>
      <c r="M25" s="15" t="e">
        <f>#REF!</f>
        <v>#REF!</v>
      </c>
      <c r="N25" s="15" t="e">
        <f>#REF!</f>
        <v>#REF!</v>
      </c>
      <c r="O25" s="15" t="e">
        <f>#REF!</f>
        <v>#REF!</v>
      </c>
      <c r="P25" s="39">
        <v>4386663.99</v>
      </c>
    </row>
    <row r="26" spans="1:19">
      <c r="A26" s="8">
        <v>3</v>
      </c>
      <c r="B26" s="9" t="s">
        <v>33</v>
      </c>
      <c r="C26" s="9" t="s">
        <v>34</v>
      </c>
      <c r="D26" s="10">
        <f t="shared" ref="D26:P26" si="11">D5-D16</f>
        <v>895671</v>
      </c>
      <c r="E26" s="10">
        <f t="shared" si="11"/>
        <v>3252118</v>
      </c>
      <c r="F26" s="10">
        <f t="shared" si="11"/>
        <v>-5428941</v>
      </c>
      <c r="G26" s="10">
        <f t="shared" si="11"/>
        <v>-1686509.5700000077</v>
      </c>
      <c r="H26" s="10">
        <f>H5-H16</f>
        <v>-5458000</v>
      </c>
      <c r="I26" s="10" t="e">
        <f t="shared" si="11"/>
        <v>#REF!</v>
      </c>
      <c r="J26" s="10" t="e">
        <f t="shared" si="11"/>
        <v>#REF!</v>
      </c>
      <c r="K26" s="10" t="e">
        <f t="shared" si="11"/>
        <v>#REF!</v>
      </c>
      <c r="L26" s="10" t="e">
        <f t="shared" si="11"/>
        <v>#REF!</v>
      </c>
      <c r="M26" s="10" t="e">
        <f t="shared" si="11"/>
        <v>#REF!</v>
      </c>
      <c r="N26" s="10" t="e">
        <f t="shared" si="11"/>
        <v>#REF!</v>
      </c>
      <c r="O26" s="10" t="e">
        <f t="shared" si="11"/>
        <v>#REF!</v>
      </c>
      <c r="P26" s="38">
        <f t="shared" si="11"/>
        <v>2608174.1099999994</v>
      </c>
    </row>
    <row r="27" spans="1:19" ht="30">
      <c r="A27" s="8">
        <v>4</v>
      </c>
      <c r="B27" s="9" t="s">
        <v>35</v>
      </c>
      <c r="C27" s="9" t="s">
        <v>36</v>
      </c>
      <c r="D27" s="10">
        <f>D28+D30+D32+D34</f>
        <v>2067770</v>
      </c>
      <c r="E27" s="10">
        <f>E30+E32+E34</f>
        <v>2181516</v>
      </c>
      <c r="F27" s="10">
        <f>F30+F32+F34</f>
        <v>7706711</v>
      </c>
      <c r="G27" s="10">
        <f>G30+G32+G34</f>
        <v>13074525.119999999</v>
      </c>
      <c r="H27" s="10">
        <f>H28+H30+H32+H34</f>
        <v>6958000</v>
      </c>
      <c r="I27" s="10">
        <f t="shared" ref="I27:P27" si="12">I28+I30+I32+I34</f>
        <v>0</v>
      </c>
      <c r="J27" s="10">
        <f t="shared" si="12"/>
        <v>0</v>
      </c>
      <c r="K27" s="10">
        <f t="shared" si="12"/>
        <v>0</v>
      </c>
      <c r="L27" s="10">
        <f t="shared" si="12"/>
        <v>0</v>
      </c>
      <c r="M27" s="10">
        <f t="shared" si="12"/>
        <v>0</v>
      </c>
      <c r="N27" s="10">
        <f t="shared" si="12"/>
        <v>0</v>
      </c>
      <c r="O27" s="10">
        <f t="shared" si="12"/>
        <v>0</v>
      </c>
      <c r="P27" s="38">
        <f t="shared" si="12"/>
        <v>9110245.5500000007</v>
      </c>
    </row>
    <row r="28" spans="1:19">
      <c r="A28" s="4" t="str">
        <f>"4.1"</f>
        <v>4.1</v>
      </c>
      <c r="B28" s="5"/>
      <c r="C28" s="5" t="s">
        <v>37</v>
      </c>
      <c r="D28" s="5"/>
      <c r="E28" s="5"/>
      <c r="F28" s="6">
        <v>0</v>
      </c>
      <c r="G28" s="6">
        <f>F28</f>
        <v>0</v>
      </c>
      <c r="H28" s="15">
        <v>0</v>
      </c>
      <c r="I28" s="6"/>
      <c r="J28" s="13"/>
      <c r="K28" s="13"/>
      <c r="L28" s="13"/>
      <c r="M28" s="13"/>
      <c r="N28" s="13"/>
      <c r="O28" s="13"/>
      <c r="P28" s="21"/>
    </row>
    <row r="29" spans="1:19">
      <c r="A29" s="4" t="str">
        <f>"4.1.1"</f>
        <v>4.1.1</v>
      </c>
      <c r="B29" s="5"/>
      <c r="C29" s="5" t="s">
        <v>38</v>
      </c>
      <c r="D29" s="5"/>
      <c r="E29" s="5"/>
      <c r="F29" s="6">
        <v>0</v>
      </c>
      <c r="G29" s="6">
        <f t="shared" ref="G29:G35" si="13">F29</f>
        <v>0</v>
      </c>
      <c r="H29" s="16">
        <v>0</v>
      </c>
      <c r="I29" s="20"/>
      <c r="J29" s="19"/>
      <c r="K29" s="13"/>
      <c r="L29" s="13"/>
      <c r="M29" s="13"/>
      <c r="N29" s="13"/>
      <c r="O29" s="13"/>
      <c r="P29" s="21"/>
    </row>
    <row r="30" spans="1:19">
      <c r="A30" s="4" t="str">
        <f>"4.2"</f>
        <v>4.2</v>
      </c>
      <c r="B30" s="5"/>
      <c r="C30" s="5" t="s">
        <v>39</v>
      </c>
      <c r="D30" s="6">
        <v>475000</v>
      </c>
      <c r="E30" s="6">
        <v>2181516</v>
      </c>
      <c r="F30" s="6">
        <v>3331711</v>
      </c>
      <c r="G30" s="6">
        <v>8699525.1199999992</v>
      </c>
      <c r="H30" s="16">
        <v>6958000</v>
      </c>
      <c r="I30" s="19"/>
      <c r="J30" s="20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21">
        <v>9110245.5500000007</v>
      </c>
    </row>
    <row r="31" spans="1:19">
      <c r="A31" s="4" t="str">
        <f>"4.2.1"</f>
        <v>4.2.1</v>
      </c>
      <c r="B31" s="5"/>
      <c r="C31" s="5" t="s">
        <v>40</v>
      </c>
      <c r="D31" s="6">
        <v>0</v>
      </c>
      <c r="E31" s="6">
        <v>1366516</v>
      </c>
      <c r="F31" s="6">
        <f>F30-F37</f>
        <v>1053941</v>
      </c>
      <c r="G31" s="6">
        <v>0</v>
      </c>
      <c r="H31" s="16">
        <v>5458000</v>
      </c>
      <c r="I31" s="20"/>
      <c r="J31" s="20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21"/>
    </row>
    <row r="32" spans="1:19">
      <c r="A32" s="4" t="str">
        <f>"4.3"</f>
        <v>4.3</v>
      </c>
      <c r="B32" s="5"/>
      <c r="C32" s="5" t="s">
        <v>41</v>
      </c>
      <c r="D32" s="6">
        <v>1592770</v>
      </c>
      <c r="E32" s="6">
        <v>0</v>
      </c>
      <c r="F32" s="6">
        <f>F33</f>
        <v>4375000</v>
      </c>
      <c r="G32" s="6">
        <f t="shared" si="13"/>
        <v>4375000</v>
      </c>
      <c r="H32" s="16">
        <f>H33</f>
        <v>0</v>
      </c>
      <c r="I32" s="20">
        <v>0</v>
      </c>
      <c r="J32" s="20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21"/>
    </row>
    <row r="33" spans="1:16">
      <c r="A33" s="4" t="str">
        <f>"4.3.1"</f>
        <v>4.3.1</v>
      </c>
      <c r="B33" s="5"/>
      <c r="C33" s="5" t="s">
        <v>40</v>
      </c>
      <c r="D33" s="6">
        <v>0</v>
      </c>
      <c r="E33" s="6">
        <v>0</v>
      </c>
      <c r="F33" s="6">
        <v>4375000</v>
      </c>
      <c r="G33" s="6">
        <f t="shared" si="13"/>
        <v>4375000</v>
      </c>
      <c r="H33" s="16">
        <v>0</v>
      </c>
      <c r="I33" s="20">
        <v>0</v>
      </c>
      <c r="J33" s="20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21"/>
    </row>
    <row r="34" spans="1:16">
      <c r="A34" s="4" t="str">
        <f>"4.4"</f>
        <v>4.4</v>
      </c>
      <c r="B34" s="5"/>
      <c r="C34" s="5" t="s">
        <v>42</v>
      </c>
      <c r="D34" s="6">
        <v>0</v>
      </c>
      <c r="E34" s="6">
        <v>0</v>
      </c>
      <c r="F34" s="6">
        <v>0</v>
      </c>
      <c r="G34" s="6">
        <f t="shared" si="13"/>
        <v>0</v>
      </c>
      <c r="H34" s="16">
        <v>0</v>
      </c>
      <c r="I34" s="20">
        <v>0</v>
      </c>
      <c r="J34" s="20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21"/>
    </row>
    <row r="35" spans="1:16">
      <c r="A35" s="4" t="str">
        <f>"4.4.1"</f>
        <v>4.4.1</v>
      </c>
      <c r="B35" s="5"/>
      <c r="C35" s="5" t="s">
        <v>40</v>
      </c>
      <c r="D35" s="6">
        <v>0</v>
      </c>
      <c r="E35" s="6">
        <v>0</v>
      </c>
      <c r="F35" s="6">
        <v>0</v>
      </c>
      <c r="G35" s="6">
        <f t="shared" si="13"/>
        <v>0</v>
      </c>
      <c r="H35" s="16">
        <v>0</v>
      </c>
      <c r="I35" s="20">
        <v>0</v>
      </c>
      <c r="J35" s="20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21"/>
    </row>
    <row r="36" spans="1:16">
      <c r="A36" s="8">
        <v>5</v>
      </c>
      <c r="B36" s="9" t="s">
        <v>43</v>
      </c>
      <c r="C36" s="9" t="s">
        <v>44</v>
      </c>
      <c r="D36" s="10">
        <f>D37+D42</f>
        <v>475000</v>
      </c>
      <c r="E36" s="10">
        <f t="shared" ref="E36:P36" si="14">E37+E42</f>
        <v>815000</v>
      </c>
      <c r="F36" s="10">
        <f t="shared" si="14"/>
        <v>2277770</v>
      </c>
      <c r="G36" s="10">
        <f t="shared" si="14"/>
        <v>2277770</v>
      </c>
      <c r="H36" s="10">
        <f t="shared" si="14"/>
        <v>1500000</v>
      </c>
      <c r="I36" s="10">
        <f t="shared" si="14"/>
        <v>1500000</v>
      </c>
      <c r="J36" s="10">
        <f t="shared" si="14"/>
        <v>1500000</v>
      </c>
      <c r="K36" s="10">
        <f t="shared" si="14"/>
        <v>1800000</v>
      </c>
      <c r="L36" s="10">
        <f t="shared" si="14"/>
        <v>1800000</v>
      </c>
      <c r="M36" s="10">
        <f t="shared" si="14"/>
        <v>1470000</v>
      </c>
      <c r="N36" s="10">
        <f t="shared" si="14"/>
        <v>2000000</v>
      </c>
      <c r="O36" s="10">
        <f t="shared" si="14"/>
        <v>1875000</v>
      </c>
      <c r="P36" s="38">
        <f t="shared" si="14"/>
        <v>0</v>
      </c>
    </row>
    <row r="37" spans="1:16">
      <c r="A37" s="4" t="str">
        <f>"5.1"</f>
        <v>5.1</v>
      </c>
      <c r="B37" s="5"/>
      <c r="C37" s="5" t="s">
        <v>45</v>
      </c>
      <c r="D37" s="6">
        <v>475000</v>
      </c>
      <c r="E37" s="6">
        <v>815000</v>
      </c>
      <c r="F37" s="6">
        <v>2277770</v>
      </c>
      <c r="G37" s="6">
        <f>F37</f>
        <v>2277770</v>
      </c>
      <c r="H37" s="15">
        <v>1500000</v>
      </c>
      <c r="I37" s="6">
        <v>1500000</v>
      </c>
      <c r="J37" s="6">
        <v>1500000</v>
      </c>
      <c r="K37" s="6">
        <v>1800000</v>
      </c>
      <c r="L37" s="6">
        <v>1800000</v>
      </c>
      <c r="M37" s="6">
        <v>1470000</v>
      </c>
      <c r="N37" s="6">
        <v>2000000</v>
      </c>
      <c r="O37" s="6">
        <v>1875000</v>
      </c>
      <c r="P37" s="21"/>
    </row>
    <row r="38" spans="1:16" ht="30">
      <c r="A38" s="4" t="str">
        <f>"5.1.1"</f>
        <v>5.1.1</v>
      </c>
      <c r="B38" s="5" t="s">
        <v>114</v>
      </c>
      <c r="C38" s="5" t="s">
        <v>115</v>
      </c>
      <c r="D38" s="6">
        <v>0</v>
      </c>
      <c r="E38" s="6">
        <v>0</v>
      </c>
      <c r="F38" s="6">
        <v>0</v>
      </c>
      <c r="G38" s="6">
        <f t="shared" ref="G38:G43" si="15">F38</f>
        <v>0</v>
      </c>
      <c r="H38" s="15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21"/>
    </row>
    <row r="39" spans="1:16" ht="30">
      <c r="A39" s="4" t="s">
        <v>46</v>
      </c>
      <c r="B39" s="5"/>
      <c r="C39" s="5" t="s">
        <v>116</v>
      </c>
      <c r="D39" s="6">
        <v>0</v>
      </c>
      <c r="E39" s="6">
        <v>0</v>
      </c>
      <c r="F39" s="6">
        <v>0</v>
      </c>
      <c r="G39" s="6">
        <f t="shared" si="15"/>
        <v>0</v>
      </c>
      <c r="H39" s="15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21"/>
    </row>
    <row r="40" spans="1:16" ht="30">
      <c r="A40" s="4" t="s">
        <v>117</v>
      </c>
      <c r="B40" s="5"/>
      <c r="C40" s="5" t="s">
        <v>119</v>
      </c>
      <c r="D40" s="6">
        <v>0</v>
      </c>
      <c r="E40" s="6">
        <v>0</v>
      </c>
      <c r="F40" s="6">
        <v>0</v>
      </c>
      <c r="G40" s="6">
        <f>F40</f>
        <v>0</v>
      </c>
      <c r="H40" s="15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21"/>
    </row>
    <row r="41" spans="1:16" ht="30">
      <c r="A41" s="4" t="s">
        <v>118</v>
      </c>
      <c r="B41" s="5"/>
      <c r="C41" s="5" t="s">
        <v>120</v>
      </c>
      <c r="D41" s="6">
        <v>0</v>
      </c>
      <c r="E41" s="6">
        <v>0</v>
      </c>
      <c r="F41" s="6">
        <v>0</v>
      </c>
      <c r="G41" s="6">
        <f>F41</f>
        <v>0</v>
      </c>
      <c r="H41" s="15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21"/>
    </row>
    <row r="42" spans="1:16">
      <c r="A42" s="4" t="str">
        <f>"5.2"</f>
        <v>5.2</v>
      </c>
      <c r="B42" s="5"/>
      <c r="C42" s="5" t="s">
        <v>47</v>
      </c>
      <c r="D42" s="6">
        <v>0</v>
      </c>
      <c r="E42" s="6">
        <v>0</v>
      </c>
      <c r="F42" s="6">
        <v>0</v>
      </c>
      <c r="G42" s="6">
        <f t="shared" si="15"/>
        <v>0</v>
      </c>
      <c r="H42" s="15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21"/>
    </row>
    <row r="43" spans="1:16">
      <c r="A43" s="8">
        <v>6</v>
      </c>
      <c r="B43" s="9"/>
      <c r="C43" s="9" t="s">
        <v>48</v>
      </c>
      <c r="D43" s="10">
        <v>12162770</v>
      </c>
      <c r="E43" s="10">
        <v>11347770</v>
      </c>
      <c r="F43" s="10">
        <f>E43+F33-F37</f>
        <v>13445000</v>
      </c>
      <c r="G43" s="10">
        <f t="shared" si="15"/>
        <v>13445000</v>
      </c>
      <c r="H43" s="10">
        <f t="shared" ref="H43:O43" si="16">G43+H33-H37</f>
        <v>11945000</v>
      </c>
      <c r="I43" s="10">
        <f t="shared" si="16"/>
        <v>10445000</v>
      </c>
      <c r="J43" s="10">
        <f t="shared" si="16"/>
        <v>8945000</v>
      </c>
      <c r="K43" s="10">
        <f t="shared" si="16"/>
        <v>7145000</v>
      </c>
      <c r="L43" s="10">
        <f t="shared" si="16"/>
        <v>5345000</v>
      </c>
      <c r="M43" s="10">
        <f t="shared" si="16"/>
        <v>3875000</v>
      </c>
      <c r="N43" s="10">
        <f t="shared" si="16"/>
        <v>1875000</v>
      </c>
      <c r="O43" s="10">
        <f t="shared" si="16"/>
        <v>0</v>
      </c>
      <c r="P43" s="38">
        <v>13445000</v>
      </c>
    </row>
    <row r="44" spans="1:16" ht="45">
      <c r="A44" s="4">
        <v>7</v>
      </c>
      <c r="B44" s="5"/>
      <c r="C44" s="5" t="s">
        <v>49</v>
      </c>
      <c r="D44" s="6">
        <v>0</v>
      </c>
      <c r="E44" s="6">
        <v>0</v>
      </c>
      <c r="F44" s="6">
        <v>0</v>
      </c>
      <c r="G44" s="6">
        <v>0</v>
      </c>
      <c r="H44" s="15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21"/>
    </row>
    <row r="45" spans="1:16">
      <c r="A45" s="4">
        <v>8</v>
      </c>
      <c r="B45" s="5"/>
      <c r="C45" s="5" t="s">
        <v>50</v>
      </c>
      <c r="D45" s="6"/>
      <c r="E45" s="6"/>
      <c r="F45" s="6"/>
      <c r="G45" s="6"/>
      <c r="H45" s="15"/>
      <c r="I45" s="13"/>
      <c r="J45" s="13"/>
      <c r="K45" s="13"/>
      <c r="L45" s="13"/>
      <c r="M45" s="13"/>
      <c r="N45" s="13"/>
      <c r="O45" s="13"/>
      <c r="P45" s="21"/>
    </row>
    <row r="46" spans="1:16">
      <c r="A46" s="8" t="str">
        <f>"8.1"</f>
        <v>8.1</v>
      </c>
      <c r="B46" s="9" t="s">
        <v>51</v>
      </c>
      <c r="C46" s="9" t="s">
        <v>52</v>
      </c>
      <c r="D46" s="10">
        <f t="shared" ref="D46:P46" si="17">D6-D17</f>
        <v>5314670</v>
      </c>
      <c r="E46" s="10">
        <f t="shared" si="17"/>
        <v>6541603</v>
      </c>
      <c r="F46" s="10">
        <f t="shared" si="17"/>
        <v>1663292</v>
      </c>
      <c r="G46" s="10">
        <f t="shared" si="17"/>
        <v>5060001.3700000048</v>
      </c>
      <c r="H46" s="10">
        <f t="shared" si="17"/>
        <v>2123761</v>
      </c>
      <c r="I46" s="10">
        <f t="shared" si="17"/>
        <v>3173676</v>
      </c>
      <c r="J46" s="10">
        <f t="shared" si="17"/>
        <v>4660234</v>
      </c>
      <c r="K46" s="10">
        <f t="shared" si="17"/>
        <v>6164604</v>
      </c>
      <c r="L46" s="10">
        <f t="shared" si="17"/>
        <v>7676628</v>
      </c>
      <c r="M46" s="10">
        <f t="shared" si="17"/>
        <v>9121795</v>
      </c>
      <c r="N46" s="10">
        <f t="shared" si="17"/>
        <v>10186758</v>
      </c>
      <c r="O46" s="10">
        <f t="shared" si="17"/>
        <v>11233585</v>
      </c>
      <c r="P46" s="38">
        <f t="shared" si="17"/>
        <v>6050466.0399999991</v>
      </c>
    </row>
    <row r="47" spans="1:16" ht="45">
      <c r="A47" s="44" t="str">
        <f>"8.2"</f>
        <v>8.2</v>
      </c>
      <c r="B47" s="45" t="s">
        <v>53</v>
      </c>
      <c r="C47" s="45" t="s">
        <v>163</v>
      </c>
      <c r="D47" s="10">
        <f>D6+D28+D30-(D17-D20)</f>
        <v>5789670</v>
      </c>
      <c r="E47" s="12">
        <f>E6+E30+E28-(E17-E20)</f>
        <v>8723119</v>
      </c>
      <c r="F47" s="12">
        <f>F6+F30+F28-(F17-F20)</f>
        <v>4995003</v>
      </c>
      <c r="G47" s="12">
        <f>G6+G30+G28-(G17-G20)</f>
        <v>13759526.49000001</v>
      </c>
      <c r="H47" s="15">
        <f>H6+H28+H30-(H17-H20)</f>
        <v>9081761</v>
      </c>
      <c r="I47" s="15">
        <f t="shared" ref="I47:P47" si="18">I6+I28+I30-(I17-I20)</f>
        <v>3173676</v>
      </c>
      <c r="J47" s="15">
        <f t="shared" si="18"/>
        <v>4660234</v>
      </c>
      <c r="K47" s="15">
        <f t="shared" si="18"/>
        <v>6164604</v>
      </c>
      <c r="L47" s="15">
        <f t="shared" si="18"/>
        <v>7676628</v>
      </c>
      <c r="M47" s="15">
        <f t="shared" si="18"/>
        <v>9121795</v>
      </c>
      <c r="N47" s="15">
        <f t="shared" si="18"/>
        <v>10186758</v>
      </c>
      <c r="O47" s="15">
        <f t="shared" si="18"/>
        <v>11233585</v>
      </c>
      <c r="P47" s="39">
        <f t="shared" si="18"/>
        <v>15160711.590000004</v>
      </c>
    </row>
    <row r="48" spans="1:16">
      <c r="A48" s="4">
        <v>9</v>
      </c>
      <c r="B48" s="5"/>
      <c r="C48" s="5" t="s">
        <v>54</v>
      </c>
      <c r="D48" s="5"/>
      <c r="E48" s="5"/>
      <c r="F48" s="5"/>
      <c r="G48" s="5"/>
      <c r="H48" s="30"/>
      <c r="I48" s="30"/>
      <c r="J48" s="30"/>
      <c r="K48" s="30"/>
      <c r="L48" s="30"/>
      <c r="M48" s="30"/>
      <c r="N48" s="30"/>
      <c r="O48" s="30"/>
      <c r="P48" s="39"/>
    </row>
    <row r="49" spans="1:16" ht="60">
      <c r="A49" s="44" t="str">
        <f>"9.1"</f>
        <v>9.1</v>
      </c>
      <c r="B49" s="45" t="s">
        <v>55</v>
      </c>
      <c r="C49" s="45" t="s">
        <v>121</v>
      </c>
      <c r="D49" s="11">
        <f t="shared" ref="D49:P49" si="19">(D18+D22+D37)/D5</f>
        <v>1.4489414039466006E-2</v>
      </c>
      <c r="E49" s="11">
        <f t="shared" si="19"/>
        <v>3.0124819969704668E-2</v>
      </c>
      <c r="F49" s="11">
        <f t="shared" si="19"/>
        <v>4.1299466363667034E-2</v>
      </c>
      <c r="G49" s="11">
        <f t="shared" si="19"/>
        <v>3.5202711740800426E-2</v>
      </c>
      <c r="H49" s="31">
        <f t="shared" si="19"/>
        <v>2.732577462370344E-2</v>
      </c>
      <c r="I49" s="31">
        <f t="shared" si="19"/>
        <v>2.9943031965226172E-2</v>
      </c>
      <c r="J49" s="31">
        <f t="shared" si="19"/>
        <v>2.9719784007225747E-2</v>
      </c>
      <c r="K49" s="31">
        <f t="shared" si="19"/>
        <v>3.2557892781973505E-2</v>
      </c>
      <c r="L49" s="31">
        <f t="shared" si="19"/>
        <v>2.4617174119885822E-2</v>
      </c>
      <c r="M49" s="31">
        <f t="shared" si="19"/>
        <v>1.9104434005499542E-2</v>
      </c>
      <c r="N49" s="31">
        <f t="shared" si="19"/>
        <v>2.3751242236024844E-2</v>
      </c>
      <c r="O49" s="31">
        <f t="shared" si="19"/>
        <v>2.0887963460505105E-2</v>
      </c>
      <c r="P49" s="40">
        <f t="shared" si="19"/>
        <v>6.5565771510693828E-3</v>
      </c>
    </row>
    <row r="50" spans="1:16" ht="90">
      <c r="A50" s="44" t="str">
        <f>"9.2"</f>
        <v>9.2</v>
      </c>
      <c r="B50" s="45" t="s">
        <v>122</v>
      </c>
      <c r="C50" s="45" t="s">
        <v>123</v>
      </c>
      <c r="D50" s="11">
        <f t="shared" ref="D50:P50" si="20">((D18-D19)+(D22-D23-D24)+(D37-D38))/(D5-D108)</f>
        <v>1.4489414039466006E-2</v>
      </c>
      <c r="E50" s="11">
        <f t="shared" si="20"/>
        <v>3.0124819969704668E-2</v>
      </c>
      <c r="F50" s="11">
        <f t="shared" si="20"/>
        <v>4.1299466363667034E-2</v>
      </c>
      <c r="G50" s="11">
        <f t="shared" si="20"/>
        <v>3.5202711740800426E-2</v>
      </c>
      <c r="H50" s="31">
        <f t="shared" si="20"/>
        <v>2.732577462370344E-2</v>
      </c>
      <c r="I50" s="31">
        <f t="shared" si="20"/>
        <v>2.9943031965226172E-2</v>
      </c>
      <c r="J50" s="31">
        <f t="shared" si="20"/>
        <v>2.9719784007225747E-2</v>
      </c>
      <c r="K50" s="31">
        <f t="shared" si="20"/>
        <v>3.2557892781973505E-2</v>
      </c>
      <c r="L50" s="31">
        <f t="shared" si="20"/>
        <v>2.4617174119885822E-2</v>
      </c>
      <c r="M50" s="31">
        <f t="shared" si="20"/>
        <v>1.9104434005499542E-2</v>
      </c>
      <c r="N50" s="31">
        <f t="shared" si="20"/>
        <v>2.3751242236024844E-2</v>
      </c>
      <c r="O50" s="31">
        <f t="shared" si="20"/>
        <v>2.0887963460505105E-2</v>
      </c>
      <c r="P50" s="40">
        <f t="shared" si="20"/>
        <v>6.5565771510693828E-3</v>
      </c>
    </row>
    <row r="51" spans="1:16" ht="45">
      <c r="A51" s="44" t="str">
        <f>"9.3"</f>
        <v>9.3</v>
      </c>
      <c r="B51" s="45"/>
      <c r="C51" s="45" t="s">
        <v>124</v>
      </c>
      <c r="D51" s="23">
        <v>0</v>
      </c>
      <c r="E51" s="23">
        <v>0</v>
      </c>
      <c r="F51" s="23">
        <v>0</v>
      </c>
      <c r="G51" s="23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9"/>
    </row>
    <row r="52" spans="1:16" ht="60">
      <c r="A52" s="44" t="str">
        <f>"9.4"</f>
        <v>9.4</v>
      </c>
      <c r="B52" s="45" t="s">
        <v>56</v>
      </c>
      <c r="C52" s="45" t="s">
        <v>125</v>
      </c>
      <c r="D52" s="11">
        <f t="shared" ref="D52:P52" si="21">((D18-D19)+(D22-D23-D24)+(D37-D38)+D51)/(D5-D108)</f>
        <v>1.4489414039466006E-2</v>
      </c>
      <c r="E52" s="11">
        <f t="shared" si="21"/>
        <v>3.0124819969704668E-2</v>
      </c>
      <c r="F52" s="11">
        <f t="shared" si="21"/>
        <v>4.1299466363667034E-2</v>
      </c>
      <c r="G52" s="11">
        <f t="shared" si="21"/>
        <v>3.5202711740800426E-2</v>
      </c>
      <c r="H52" s="31">
        <f t="shared" si="21"/>
        <v>2.732577462370344E-2</v>
      </c>
      <c r="I52" s="31">
        <f t="shared" si="21"/>
        <v>2.9943031965226172E-2</v>
      </c>
      <c r="J52" s="31">
        <f t="shared" si="21"/>
        <v>2.9719784007225747E-2</v>
      </c>
      <c r="K52" s="31">
        <f t="shared" si="21"/>
        <v>3.2557892781973505E-2</v>
      </c>
      <c r="L52" s="31">
        <f t="shared" si="21"/>
        <v>2.4617174119885822E-2</v>
      </c>
      <c r="M52" s="31">
        <f t="shared" si="21"/>
        <v>1.9104434005499542E-2</v>
      </c>
      <c r="N52" s="31">
        <f t="shared" si="21"/>
        <v>2.3751242236024844E-2</v>
      </c>
      <c r="O52" s="31">
        <f t="shared" si="21"/>
        <v>2.0887963460505105E-2</v>
      </c>
      <c r="P52" s="40">
        <f t="shared" si="21"/>
        <v>6.5565771510693828E-3</v>
      </c>
    </row>
    <row r="53" spans="1:16" ht="75">
      <c r="A53" s="44" t="str">
        <f>"9.5"</f>
        <v>9.5</v>
      </c>
      <c r="B53" s="45" t="s">
        <v>126</v>
      </c>
      <c r="C53" s="45" t="s">
        <v>127</v>
      </c>
      <c r="D53" s="11">
        <f t="shared" ref="D53:P53" si="22">((D6-D108)+D14-(D17-D20-D109))/(D5-D108)</f>
        <v>9.5159819031530493E-2</v>
      </c>
      <c r="E53" s="11">
        <f t="shared" si="22"/>
        <v>0.10504169287693303</v>
      </c>
      <c r="F53" s="11">
        <f t="shared" si="22"/>
        <v>2.0676030514203778E-2</v>
      </c>
      <c r="G53" s="11">
        <f t="shared" si="22"/>
        <v>6.4584891713903303E-2</v>
      </c>
      <c r="H53" s="31">
        <f t="shared" si="22"/>
        <v>2.362716244850251E-2</v>
      </c>
      <c r="I53" s="31">
        <f t="shared" si="22"/>
        <v>3.9576406417414521E-2</v>
      </c>
      <c r="J53" s="31">
        <f t="shared" si="22"/>
        <v>5.9992709063384983E-2</v>
      </c>
      <c r="K53" s="31">
        <f t="shared" si="22"/>
        <v>7.6322941686269657E-2</v>
      </c>
      <c r="L53" s="31">
        <f t="shared" si="22"/>
        <v>9.1301474785918171E-2</v>
      </c>
      <c r="M53" s="31">
        <f t="shared" si="22"/>
        <v>0.1045118583868011</v>
      </c>
      <c r="N53" s="31">
        <f t="shared" si="22"/>
        <v>0.1129853371783496</v>
      </c>
      <c r="O53" s="31">
        <f t="shared" si="22"/>
        <v>0.12072632993014508</v>
      </c>
      <c r="P53" s="40">
        <f t="shared" si="22"/>
        <v>0.15323728545357465</v>
      </c>
    </row>
    <row r="54" spans="1:16" ht="45">
      <c r="A54" s="44" t="str">
        <f>"9.6"</f>
        <v>9.6</v>
      </c>
      <c r="B54" s="45" t="s">
        <v>128</v>
      </c>
      <c r="C54" s="45" t="s">
        <v>129</v>
      </c>
      <c r="D54" s="11">
        <v>0</v>
      </c>
      <c r="E54" s="11">
        <v>0</v>
      </c>
      <c r="F54" s="11">
        <v>0</v>
      </c>
      <c r="G54" s="11">
        <v>0</v>
      </c>
      <c r="H54" s="31">
        <f>(D53+E53+F53)/3</f>
        <v>7.3625847474222433E-2</v>
      </c>
      <c r="I54" s="31">
        <f t="shared" ref="I54:P54" si="23">(E53+F53+G53)/3</f>
        <v>6.3434205035013375E-2</v>
      </c>
      <c r="J54" s="31">
        <f t="shared" si="23"/>
        <v>3.6296028225536528E-2</v>
      </c>
      <c r="K54" s="31">
        <f t="shared" si="23"/>
        <v>4.2596153526606777E-2</v>
      </c>
      <c r="L54" s="31">
        <f t="shared" si="23"/>
        <v>4.1065425976434006E-2</v>
      </c>
      <c r="M54" s="31">
        <f t="shared" si="23"/>
        <v>5.8630685722356385E-2</v>
      </c>
      <c r="N54" s="31">
        <f t="shared" si="23"/>
        <v>7.5872375178524257E-2</v>
      </c>
      <c r="O54" s="31">
        <f t="shared" si="23"/>
        <v>9.0712091619662982E-2</v>
      </c>
      <c r="P54" s="40">
        <f t="shared" si="23"/>
        <v>0.10293289011702296</v>
      </c>
    </row>
    <row r="55" spans="1:16" ht="45">
      <c r="A55" s="44" t="s">
        <v>99</v>
      </c>
      <c r="B55" s="45" t="s">
        <v>128</v>
      </c>
      <c r="C55" s="45" t="s">
        <v>130</v>
      </c>
      <c r="D55" s="11">
        <v>0</v>
      </c>
      <c r="E55" s="11">
        <v>0</v>
      </c>
      <c r="F55" s="11">
        <v>0</v>
      </c>
      <c r="G55" s="11">
        <v>0</v>
      </c>
      <c r="H55" s="31">
        <f>(D53+E53+G53)/3</f>
        <v>8.8262134540788947E-2</v>
      </c>
      <c r="I55" s="31">
        <f t="shared" ref="I55:P55" si="24">(E53+F53+H53)/3</f>
        <v>4.9781628613213114E-2</v>
      </c>
      <c r="J55" s="31">
        <f t="shared" si="24"/>
        <v>4.1612442881840538E-2</v>
      </c>
      <c r="K55" s="31">
        <f t="shared" si="24"/>
        <v>4.9401587741930264E-2</v>
      </c>
      <c r="L55" s="31">
        <f t="shared" si="24"/>
        <v>4.6508836850728895E-2</v>
      </c>
      <c r="M55" s="31">
        <f t="shared" si="24"/>
        <v>6.362353008890588E-2</v>
      </c>
      <c r="N55" s="31">
        <f t="shared" si="24"/>
        <v>8.0275836378818577E-2</v>
      </c>
      <c r="O55" s="31">
        <f t="shared" si="24"/>
        <v>9.3536584550179144E-2</v>
      </c>
      <c r="P55" s="40">
        <f t="shared" si="24"/>
        <v>0.10551322103428812</v>
      </c>
    </row>
    <row r="56" spans="1:16" ht="60">
      <c r="A56" s="44" t="str">
        <f>"9.7"</f>
        <v>9.7</v>
      </c>
      <c r="B56" s="45" t="s">
        <v>131</v>
      </c>
      <c r="C56" s="45" t="s">
        <v>132</v>
      </c>
      <c r="D56" s="24" t="s">
        <v>102</v>
      </c>
      <c r="E56" s="24" t="s">
        <v>102</v>
      </c>
      <c r="F56" s="24" t="s">
        <v>158</v>
      </c>
      <c r="G56" s="24" t="s">
        <v>102</v>
      </c>
      <c r="H56" s="33" t="str">
        <f>IF(H52-H55&lt;=0,"TAK","NIE")</f>
        <v>TAK</v>
      </c>
      <c r="I56" s="33" t="str">
        <f t="shared" ref="I56:P56" si="25">IF(I52-I55&lt;=0,"TAK","NIE")</f>
        <v>TAK</v>
      </c>
      <c r="J56" s="33" t="str">
        <f t="shared" si="25"/>
        <v>TAK</v>
      </c>
      <c r="K56" s="33" t="str">
        <f t="shared" si="25"/>
        <v>TAK</v>
      </c>
      <c r="L56" s="33" t="str">
        <f t="shared" si="25"/>
        <v>TAK</v>
      </c>
      <c r="M56" s="33" t="str">
        <f t="shared" si="25"/>
        <v>TAK</v>
      </c>
      <c r="N56" s="33" t="str">
        <f t="shared" si="25"/>
        <v>TAK</v>
      </c>
      <c r="O56" s="33" t="str">
        <f t="shared" si="25"/>
        <v>TAK</v>
      </c>
      <c r="P56" s="41" t="str">
        <f t="shared" si="25"/>
        <v>TAK</v>
      </c>
    </row>
    <row r="57" spans="1:16" ht="60">
      <c r="A57" s="44" t="str">
        <f>"9.7.1"</f>
        <v>9.7.1</v>
      </c>
      <c r="B57" s="45" t="s">
        <v>133</v>
      </c>
      <c r="C57" s="45" t="s">
        <v>134</v>
      </c>
      <c r="D57" s="24" t="s">
        <v>102</v>
      </c>
      <c r="E57" s="24" t="s">
        <v>102</v>
      </c>
      <c r="F57" s="24" t="s">
        <v>102</v>
      </c>
      <c r="G57" s="24" t="s">
        <v>102</v>
      </c>
      <c r="H57" s="33" t="str">
        <f>IF(H52-H55&lt;=0,"TAK","NIE")</f>
        <v>TAK</v>
      </c>
      <c r="I57" s="33" t="str">
        <f t="shared" ref="I57:P57" si="26">IF(I52-I55&lt;=0,"TAK","NIE")</f>
        <v>TAK</v>
      </c>
      <c r="J57" s="33" t="str">
        <f t="shared" si="26"/>
        <v>TAK</v>
      </c>
      <c r="K57" s="33" t="str">
        <f t="shared" si="26"/>
        <v>TAK</v>
      </c>
      <c r="L57" s="33" t="str">
        <f t="shared" si="26"/>
        <v>TAK</v>
      </c>
      <c r="M57" s="33" t="str">
        <f t="shared" si="26"/>
        <v>TAK</v>
      </c>
      <c r="N57" s="33" t="str">
        <f t="shared" si="26"/>
        <v>TAK</v>
      </c>
      <c r="O57" s="33" t="str">
        <f t="shared" si="26"/>
        <v>TAK</v>
      </c>
      <c r="P57" s="41" t="str">
        <f t="shared" si="26"/>
        <v>TAK</v>
      </c>
    </row>
    <row r="58" spans="1:16">
      <c r="A58" s="44">
        <v>10</v>
      </c>
      <c r="B58" s="45"/>
      <c r="C58" s="45" t="s">
        <v>57</v>
      </c>
      <c r="D58" s="6">
        <v>0</v>
      </c>
      <c r="E58" s="6">
        <v>0</v>
      </c>
      <c r="F58" s="6">
        <v>0</v>
      </c>
      <c r="G58" s="6">
        <v>0</v>
      </c>
      <c r="H58" s="31">
        <v>0</v>
      </c>
      <c r="I58" s="16" t="e">
        <f t="shared" ref="I58:O58" si="27">I5-I16</f>
        <v>#REF!</v>
      </c>
      <c r="J58" s="16" t="e">
        <f t="shared" si="27"/>
        <v>#REF!</v>
      </c>
      <c r="K58" s="16" t="e">
        <f t="shared" si="27"/>
        <v>#REF!</v>
      </c>
      <c r="L58" s="16" t="e">
        <f t="shared" si="27"/>
        <v>#REF!</v>
      </c>
      <c r="M58" s="16" t="e">
        <f t="shared" si="27"/>
        <v>#REF!</v>
      </c>
      <c r="N58" s="16" t="e">
        <f t="shared" si="27"/>
        <v>#REF!</v>
      </c>
      <c r="O58" s="16" t="e">
        <f t="shared" si="27"/>
        <v>#REF!</v>
      </c>
      <c r="P58" s="39"/>
    </row>
    <row r="59" spans="1:16">
      <c r="A59" s="44" t="str">
        <f>"10.1"</f>
        <v>10.1</v>
      </c>
      <c r="B59" s="45"/>
      <c r="C59" s="45" t="s">
        <v>58</v>
      </c>
      <c r="D59" s="6">
        <v>0</v>
      </c>
      <c r="E59" s="6">
        <v>0</v>
      </c>
      <c r="F59" s="6">
        <v>0</v>
      </c>
      <c r="G59" s="6">
        <v>0</v>
      </c>
      <c r="H59" s="15">
        <v>0</v>
      </c>
      <c r="I59" s="15">
        <v>1500000</v>
      </c>
      <c r="J59" s="15">
        <v>1500000</v>
      </c>
      <c r="K59" s="15">
        <f>K37</f>
        <v>1800000</v>
      </c>
      <c r="L59" s="15">
        <f>L37</f>
        <v>1800000</v>
      </c>
      <c r="M59" s="15">
        <f>M37</f>
        <v>1470000</v>
      </c>
      <c r="N59" s="15">
        <f>N37</f>
        <v>2000000</v>
      </c>
      <c r="O59" s="15">
        <f>O37</f>
        <v>1875000</v>
      </c>
      <c r="P59" s="39"/>
    </row>
    <row r="60" spans="1:16">
      <c r="A60" s="44">
        <v>11</v>
      </c>
      <c r="B60" s="45"/>
      <c r="C60" s="45" t="s">
        <v>59</v>
      </c>
      <c r="D60" s="5"/>
      <c r="E60" s="5"/>
      <c r="F60" s="5"/>
      <c r="G60" s="5"/>
      <c r="H60" s="30"/>
      <c r="I60" s="30"/>
      <c r="J60" s="30"/>
      <c r="K60" s="30"/>
      <c r="L60" s="30"/>
      <c r="M60" s="30"/>
      <c r="N60" s="30"/>
      <c r="O60" s="30"/>
      <c r="P60" s="39"/>
    </row>
    <row r="61" spans="1:16">
      <c r="A61" s="44" t="str">
        <f>"11.1"</f>
        <v>11.1</v>
      </c>
      <c r="B61" s="45"/>
      <c r="C61" s="45" t="s">
        <v>60</v>
      </c>
      <c r="D61" s="6">
        <v>39505029</v>
      </c>
      <c r="E61" s="6">
        <v>35228955</v>
      </c>
      <c r="F61" s="6">
        <v>37546713</v>
      </c>
      <c r="G61" s="6">
        <v>36624301</v>
      </c>
      <c r="H61" s="18">
        <v>36319791</v>
      </c>
      <c r="I61" s="18">
        <f t="shared" ref="I61:L62" si="28">ROUND(H61*102.5%,-2)</f>
        <v>37227800</v>
      </c>
      <c r="J61" s="18">
        <f t="shared" si="28"/>
        <v>38158500</v>
      </c>
      <c r="K61" s="18">
        <f t="shared" si="28"/>
        <v>39112500</v>
      </c>
      <c r="L61" s="18">
        <f t="shared" si="28"/>
        <v>40090300</v>
      </c>
      <c r="M61" s="18">
        <f t="shared" ref="M61:O62" si="29">ROUND(L61*102.4%,-2)</f>
        <v>41052500</v>
      </c>
      <c r="N61" s="18">
        <f t="shared" si="29"/>
        <v>42037800</v>
      </c>
      <c r="O61" s="18">
        <f t="shared" si="29"/>
        <v>43046700</v>
      </c>
      <c r="P61" s="39">
        <v>17816609.579999998</v>
      </c>
    </row>
    <row r="62" spans="1:16">
      <c r="A62" s="44" t="str">
        <f>"11.2"</f>
        <v>11.2</v>
      </c>
      <c r="B62" s="45"/>
      <c r="C62" s="45" t="s">
        <v>61</v>
      </c>
      <c r="D62" s="6">
        <v>710563</v>
      </c>
      <c r="E62" s="6">
        <v>797669</v>
      </c>
      <c r="F62" s="6">
        <v>8949460</v>
      </c>
      <c r="G62" s="6">
        <v>8955464</v>
      </c>
      <c r="H62" s="15">
        <f>368300+9090265</f>
        <v>9458565</v>
      </c>
      <c r="I62" s="15">
        <f t="shared" si="28"/>
        <v>9695000</v>
      </c>
      <c r="J62" s="15">
        <f t="shared" si="28"/>
        <v>9937400</v>
      </c>
      <c r="K62" s="15">
        <f t="shared" si="28"/>
        <v>10185800</v>
      </c>
      <c r="L62" s="15">
        <f t="shared" si="28"/>
        <v>10440400</v>
      </c>
      <c r="M62" s="15">
        <f t="shared" si="29"/>
        <v>10691000</v>
      </c>
      <c r="N62" s="15">
        <f t="shared" si="29"/>
        <v>10947600</v>
      </c>
      <c r="O62" s="15">
        <f t="shared" si="29"/>
        <v>11210300</v>
      </c>
      <c r="P62" s="39">
        <v>4468781.62</v>
      </c>
    </row>
    <row r="63" spans="1:16" s="48" customFormat="1">
      <c r="A63" s="44" t="str">
        <f>"11.3"</f>
        <v>11.3</v>
      </c>
      <c r="B63" s="45" t="s">
        <v>62</v>
      </c>
      <c r="C63" s="45" t="s">
        <v>63</v>
      </c>
      <c r="D63" s="46">
        <f>D64+D65</f>
        <v>10144665</v>
      </c>
      <c r="E63" s="46">
        <f t="shared" ref="E63:P63" si="30">E64+E65</f>
        <v>25863097</v>
      </c>
      <c r="F63" s="46">
        <f t="shared" si="30"/>
        <v>11822592</v>
      </c>
      <c r="G63" s="46">
        <f t="shared" si="30"/>
        <v>11822592</v>
      </c>
      <c r="H63" s="46">
        <v>12273406</v>
      </c>
      <c r="I63" s="46" t="e">
        <f t="shared" si="30"/>
        <v>#REF!</v>
      </c>
      <c r="J63" s="46" t="e">
        <f t="shared" si="30"/>
        <v>#REF!</v>
      </c>
      <c r="K63" s="46" t="e">
        <f t="shared" si="30"/>
        <v>#REF!</v>
      </c>
      <c r="L63" s="46" t="e">
        <f t="shared" si="30"/>
        <v>#REF!</v>
      </c>
      <c r="M63" s="46" t="e">
        <f t="shared" si="30"/>
        <v>#REF!</v>
      </c>
      <c r="N63" s="46" t="e">
        <f t="shared" si="30"/>
        <v>#REF!</v>
      </c>
      <c r="O63" s="46" t="e">
        <f t="shared" si="30"/>
        <v>#REF!</v>
      </c>
      <c r="P63" s="47">
        <f t="shared" si="30"/>
        <v>0</v>
      </c>
    </row>
    <row r="64" spans="1:16">
      <c r="A64" s="44" t="str">
        <f>"11.3.1"</f>
        <v>11.3.1</v>
      </c>
      <c r="B64" s="45"/>
      <c r="C64" s="45" t="s">
        <v>64</v>
      </c>
      <c r="D64" s="6">
        <v>6272299</v>
      </c>
      <c r="E64" s="6">
        <v>8827534</v>
      </c>
      <c r="F64" s="6">
        <v>3452316</v>
      </c>
      <c r="G64" s="6">
        <f>F64</f>
        <v>3452316</v>
      </c>
      <c r="H64" s="18">
        <v>3530438</v>
      </c>
      <c r="I64" s="18" t="e">
        <f>ROUND(#REF!,)</f>
        <v>#REF!</v>
      </c>
      <c r="J64" s="18" t="e">
        <f>ROUND(#REF!,)</f>
        <v>#REF!</v>
      </c>
      <c r="K64" s="18" t="e">
        <f>ROUND(#REF!,)</f>
        <v>#REF!</v>
      </c>
      <c r="L64" s="18" t="e">
        <f>ROUND(#REF!,)</f>
        <v>#REF!</v>
      </c>
      <c r="M64" s="18" t="e">
        <f>ROUND(#REF!,)</f>
        <v>#REF!</v>
      </c>
      <c r="N64" s="18" t="e">
        <f>ROUND(#REF!,)</f>
        <v>#REF!</v>
      </c>
      <c r="O64" s="18" t="e">
        <f>ROUND(#REF!,)</f>
        <v>#REF!</v>
      </c>
      <c r="P64" s="34"/>
    </row>
    <row r="65" spans="1:16">
      <c r="A65" s="44" t="str">
        <f>"11.3.2"</f>
        <v>11.3.2</v>
      </c>
      <c r="B65" s="45"/>
      <c r="C65" s="45" t="s">
        <v>65</v>
      </c>
      <c r="D65" s="6">
        <v>3872366</v>
      </c>
      <c r="E65" s="6">
        <v>17035563</v>
      </c>
      <c r="F65" s="6">
        <v>8370276</v>
      </c>
      <c r="G65" s="6">
        <f>F65</f>
        <v>8370276</v>
      </c>
      <c r="H65" s="18">
        <v>8742968</v>
      </c>
      <c r="I65" s="18" t="e">
        <f>#REF!</f>
        <v>#REF!</v>
      </c>
      <c r="J65" s="18" t="e">
        <f>#REF!</f>
        <v>#REF!</v>
      </c>
      <c r="K65" s="18" t="e">
        <f>#REF!</f>
        <v>#REF!</v>
      </c>
      <c r="L65" s="18" t="e">
        <f>#REF!</f>
        <v>#REF!</v>
      </c>
      <c r="M65" s="18" t="e">
        <f>#REF!</f>
        <v>#REF!</v>
      </c>
      <c r="N65" s="18" t="e">
        <f>#REF!</f>
        <v>#REF!</v>
      </c>
      <c r="O65" s="18" t="e">
        <f>#REF!</f>
        <v>#REF!</v>
      </c>
      <c r="P65" s="34"/>
    </row>
    <row r="66" spans="1:16">
      <c r="A66" s="44" t="str">
        <f>"11.4"</f>
        <v>11.4</v>
      </c>
      <c r="B66" s="45"/>
      <c r="C66" s="45" t="s">
        <v>66</v>
      </c>
      <c r="D66" s="6">
        <v>0</v>
      </c>
      <c r="E66" s="6">
        <v>0</v>
      </c>
      <c r="F66" s="6">
        <v>14271160</v>
      </c>
      <c r="G66" s="6">
        <f>11898320-G67</f>
        <v>11688320</v>
      </c>
      <c r="H66" s="18">
        <f t="shared" ref="H66:O66" si="31">25877372-H67-H68</f>
        <v>20163442</v>
      </c>
      <c r="I66" s="18">
        <f t="shared" si="31"/>
        <v>20507742</v>
      </c>
      <c r="J66" s="18">
        <f t="shared" si="31"/>
        <v>20507742</v>
      </c>
      <c r="K66" s="18">
        <f t="shared" si="31"/>
        <v>20507742</v>
      </c>
      <c r="L66" s="18">
        <f t="shared" si="31"/>
        <v>20507742</v>
      </c>
      <c r="M66" s="18">
        <f t="shared" si="31"/>
        <v>20507742</v>
      </c>
      <c r="N66" s="18">
        <f t="shared" si="31"/>
        <v>20507742</v>
      </c>
      <c r="O66" s="18">
        <f t="shared" si="31"/>
        <v>20507742</v>
      </c>
      <c r="P66" s="34"/>
    </row>
    <row r="67" spans="1:16">
      <c r="A67" s="44" t="str">
        <f>"11.5"</f>
        <v>11.5</v>
      </c>
      <c r="B67" s="45"/>
      <c r="C67" s="45" t="s">
        <v>67</v>
      </c>
      <c r="D67" s="6">
        <v>0</v>
      </c>
      <c r="E67" s="6">
        <v>0</v>
      </c>
      <c r="F67" s="6">
        <v>210000</v>
      </c>
      <c r="G67" s="6">
        <f>F67</f>
        <v>210000</v>
      </c>
      <c r="H67" s="18">
        <f>1337630+4032000</f>
        <v>5369630</v>
      </c>
      <c r="I67" s="18">
        <f t="shared" ref="I67:O67" si="32">1337630+4032000</f>
        <v>5369630</v>
      </c>
      <c r="J67" s="18">
        <f t="shared" si="32"/>
        <v>5369630</v>
      </c>
      <c r="K67" s="18">
        <f t="shared" si="32"/>
        <v>5369630</v>
      </c>
      <c r="L67" s="18">
        <f t="shared" si="32"/>
        <v>5369630</v>
      </c>
      <c r="M67" s="18">
        <f t="shared" si="32"/>
        <v>5369630</v>
      </c>
      <c r="N67" s="18">
        <f t="shared" si="32"/>
        <v>5369630</v>
      </c>
      <c r="O67" s="18">
        <f t="shared" si="32"/>
        <v>5369630</v>
      </c>
      <c r="P67" s="34"/>
    </row>
    <row r="68" spans="1:16">
      <c r="A68" s="4" t="str">
        <f>"11.6"</f>
        <v>11.6</v>
      </c>
      <c r="B68" s="5"/>
      <c r="C68" s="5" t="s">
        <v>68</v>
      </c>
      <c r="D68" s="6">
        <v>0</v>
      </c>
      <c r="E68" s="6">
        <v>0</v>
      </c>
      <c r="F68" s="6">
        <v>161000</v>
      </c>
      <c r="G68" s="6">
        <f>F68</f>
        <v>161000</v>
      </c>
      <c r="H68" s="16">
        <v>344300</v>
      </c>
      <c r="I68" s="18">
        <v>0</v>
      </c>
      <c r="J68" s="18">
        <v>0</v>
      </c>
      <c r="K68" s="18">
        <v>0</v>
      </c>
      <c r="L68" s="15">
        <v>0</v>
      </c>
      <c r="M68" s="15">
        <v>0</v>
      </c>
      <c r="N68" s="15">
        <v>0</v>
      </c>
      <c r="O68" s="15">
        <v>0</v>
      </c>
      <c r="P68" s="39">
        <v>0</v>
      </c>
    </row>
    <row r="69" spans="1:16" ht="30">
      <c r="A69" s="4">
        <v>12</v>
      </c>
      <c r="B69" s="5"/>
      <c r="C69" s="5" t="s">
        <v>69</v>
      </c>
      <c r="D69" s="5"/>
      <c r="E69" s="5"/>
      <c r="F69" s="6"/>
      <c r="G69" s="6">
        <f>F69</f>
        <v>0</v>
      </c>
      <c r="H69" s="34"/>
      <c r="I69" s="35"/>
      <c r="J69" s="35"/>
      <c r="K69" s="35"/>
      <c r="L69" s="30"/>
      <c r="M69" s="30"/>
      <c r="N69" s="30"/>
      <c r="O69" s="30"/>
      <c r="P69" s="39"/>
    </row>
    <row r="70" spans="1:16" ht="30">
      <c r="A70" s="4" t="str">
        <f>"12.1"</f>
        <v>12.1</v>
      </c>
      <c r="B70" s="5"/>
      <c r="C70" s="5" t="s">
        <v>70</v>
      </c>
      <c r="D70" s="6">
        <v>0</v>
      </c>
      <c r="E70" s="6">
        <v>0</v>
      </c>
      <c r="F70" s="6">
        <v>7219836</v>
      </c>
      <c r="G70" s="6">
        <v>4882365.8600000003</v>
      </c>
      <c r="H70" s="16">
        <f>30458+3530696+3149+71505+135446</f>
        <v>3771254</v>
      </c>
      <c r="I70" s="18" t="e">
        <f>#REF!</f>
        <v>#REF!</v>
      </c>
      <c r="J70" s="18" t="e">
        <f>#REF!</f>
        <v>#REF!</v>
      </c>
      <c r="K70" s="18" t="e">
        <f>#REF!</f>
        <v>#REF!</v>
      </c>
      <c r="L70" s="15">
        <v>0</v>
      </c>
      <c r="M70" s="15">
        <v>0</v>
      </c>
      <c r="N70" s="15">
        <v>0</v>
      </c>
      <c r="O70" s="15">
        <v>0</v>
      </c>
      <c r="P70" s="39">
        <v>1084526.73</v>
      </c>
    </row>
    <row r="71" spans="1:16">
      <c r="A71" s="4" t="str">
        <f>"12.1.1"</f>
        <v>12.1.1</v>
      </c>
      <c r="B71" s="5"/>
      <c r="C71" s="5" t="s">
        <v>71</v>
      </c>
      <c r="D71" s="6">
        <v>5537617</v>
      </c>
      <c r="E71" s="6">
        <v>7459906</v>
      </c>
      <c r="F71" s="6">
        <v>6258782</v>
      </c>
      <c r="G71" s="6">
        <v>4210453.41</v>
      </c>
      <c r="H71" s="16">
        <f>30458+3530696+135446</f>
        <v>3696600</v>
      </c>
      <c r="I71" s="18">
        <v>1014727</v>
      </c>
      <c r="J71" s="18">
        <v>6574</v>
      </c>
      <c r="K71" s="18">
        <v>0</v>
      </c>
      <c r="L71" s="15">
        <v>0</v>
      </c>
      <c r="M71" s="15">
        <v>0</v>
      </c>
      <c r="N71" s="15">
        <v>0</v>
      </c>
      <c r="O71" s="15">
        <v>0</v>
      </c>
      <c r="P71" s="39">
        <v>1051926.27</v>
      </c>
    </row>
    <row r="72" spans="1:16" ht="30">
      <c r="A72" s="4" t="s">
        <v>72</v>
      </c>
      <c r="B72" s="5"/>
      <c r="C72" s="5" t="s">
        <v>73</v>
      </c>
      <c r="D72" s="6">
        <v>0</v>
      </c>
      <c r="E72" s="6">
        <v>0</v>
      </c>
      <c r="F72" s="6">
        <f>F71</f>
        <v>6258782</v>
      </c>
      <c r="G72" s="6">
        <v>4210453.41</v>
      </c>
      <c r="H72" s="16">
        <f>H71-1063189+135446</f>
        <v>2768857</v>
      </c>
      <c r="I72" s="18">
        <f>I71-329499</f>
        <v>685228</v>
      </c>
      <c r="J72" s="18">
        <v>0</v>
      </c>
      <c r="K72" s="18">
        <v>0</v>
      </c>
      <c r="L72" s="15">
        <v>0</v>
      </c>
      <c r="M72" s="15">
        <v>0</v>
      </c>
      <c r="N72" s="15">
        <v>0</v>
      </c>
      <c r="O72" s="15">
        <v>0</v>
      </c>
      <c r="P72" s="39">
        <v>1084526.73</v>
      </c>
    </row>
    <row r="73" spans="1:16" ht="30">
      <c r="A73" s="4" t="str">
        <f>"12.2"</f>
        <v>12.2</v>
      </c>
      <c r="B73" s="5"/>
      <c r="C73" s="5" t="s">
        <v>74</v>
      </c>
      <c r="D73" s="6">
        <v>0</v>
      </c>
      <c r="E73" s="6">
        <v>0</v>
      </c>
      <c r="F73" s="6">
        <v>3969440</v>
      </c>
      <c r="G73" s="6">
        <v>2160869.48</v>
      </c>
      <c r="H73" s="16">
        <f>5818736+1254646+1356551</f>
        <v>8429933</v>
      </c>
      <c r="I73" s="16">
        <v>3613177</v>
      </c>
      <c r="J73" s="16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39">
        <v>943315.06</v>
      </c>
    </row>
    <row r="74" spans="1:16">
      <c r="A74" s="4" t="str">
        <f>"12.2.1"</f>
        <v>12.2.1</v>
      </c>
      <c r="B74" s="5"/>
      <c r="C74" s="5" t="s">
        <v>75</v>
      </c>
      <c r="D74" s="6">
        <v>854516</v>
      </c>
      <c r="E74" s="6">
        <v>10992773</v>
      </c>
      <c r="F74" s="6">
        <v>3969440</v>
      </c>
      <c r="G74" s="6">
        <v>2160869.48</v>
      </c>
      <c r="H74" s="16">
        <f>H73</f>
        <v>8429933</v>
      </c>
      <c r="I74" s="16">
        <v>3613177</v>
      </c>
      <c r="J74" s="16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39">
        <v>943315.06</v>
      </c>
    </row>
    <row r="75" spans="1:16" ht="30">
      <c r="A75" s="4" t="s">
        <v>76</v>
      </c>
      <c r="B75" s="5"/>
      <c r="C75" s="5" t="s">
        <v>77</v>
      </c>
      <c r="D75" s="6">
        <v>0</v>
      </c>
      <c r="E75" s="6">
        <v>0</v>
      </c>
      <c r="F75" s="6">
        <f>5798162-3018700</f>
        <v>2779462</v>
      </c>
      <c r="G75" s="6">
        <v>2160869.48</v>
      </c>
      <c r="H75" s="16">
        <f>H74</f>
        <v>8429933</v>
      </c>
      <c r="I75" s="16">
        <f>I74</f>
        <v>3613177</v>
      </c>
      <c r="J75" s="16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39">
        <v>943315.06</v>
      </c>
    </row>
    <row r="76" spans="1:16" ht="30">
      <c r="A76" s="4" t="str">
        <f>"12.3"</f>
        <v>12.3</v>
      </c>
      <c r="B76" s="5"/>
      <c r="C76" s="5" t="s">
        <v>78</v>
      </c>
      <c r="D76" s="6">
        <v>0</v>
      </c>
      <c r="E76" s="6">
        <v>0</v>
      </c>
      <c r="F76" s="6">
        <v>7293814</v>
      </c>
      <c r="G76" s="6">
        <v>5160620</v>
      </c>
      <c r="H76" s="16">
        <f>3835051+381968</f>
        <v>4217019</v>
      </c>
      <c r="I76" s="16" t="e">
        <f>#REF!</f>
        <v>#REF!</v>
      </c>
      <c r="J76" s="16" t="e">
        <f>#REF!</f>
        <v>#REF!</v>
      </c>
      <c r="K76" s="15" t="e">
        <f>#REF!</f>
        <v>#REF!</v>
      </c>
      <c r="L76" s="15" t="e">
        <f>#REF!</f>
        <v>#REF!</v>
      </c>
      <c r="M76" s="15" t="e">
        <f>#REF!</f>
        <v>#REF!</v>
      </c>
      <c r="N76" s="15">
        <v>0</v>
      </c>
      <c r="O76" s="15">
        <v>0</v>
      </c>
      <c r="P76" s="39">
        <v>988334.76</v>
      </c>
    </row>
    <row r="77" spans="1:16">
      <c r="A77" s="4" t="str">
        <f>"12.3.1"</f>
        <v>12.3.1</v>
      </c>
      <c r="B77" s="5"/>
      <c r="C77" s="5" t="s">
        <v>79</v>
      </c>
      <c r="D77" s="6">
        <v>0</v>
      </c>
      <c r="E77" s="6">
        <v>0</v>
      </c>
      <c r="F77" s="6">
        <v>3984164</v>
      </c>
      <c r="G77" s="6">
        <v>4443383</v>
      </c>
      <c r="H77" s="16">
        <v>3835051</v>
      </c>
      <c r="I77" s="16">
        <v>1014727</v>
      </c>
      <c r="J77" s="16">
        <v>6574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39">
        <v>988334.76</v>
      </c>
    </row>
    <row r="78" spans="1:16" ht="45">
      <c r="A78" s="4" t="str">
        <f>"12.3.2"</f>
        <v>12.3.2</v>
      </c>
      <c r="B78" s="5"/>
      <c r="C78" s="5" t="s">
        <v>80</v>
      </c>
      <c r="D78" s="6">
        <v>0</v>
      </c>
      <c r="E78" s="6">
        <v>0</v>
      </c>
      <c r="F78" s="6">
        <f>F77</f>
        <v>3984164</v>
      </c>
      <c r="G78" s="6">
        <v>4443383</v>
      </c>
      <c r="H78" s="18">
        <f>H77</f>
        <v>3835051</v>
      </c>
      <c r="I78" s="18">
        <v>0</v>
      </c>
      <c r="J78" s="18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39">
        <v>988334.76</v>
      </c>
    </row>
    <row r="79" spans="1:16" ht="30">
      <c r="A79" s="4" t="str">
        <f>"12.4"</f>
        <v>12.4</v>
      </c>
      <c r="B79" s="5"/>
      <c r="C79" s="5" t="s">
        <v>81</v>
      </c>
      <c r="D79" s="6">
        <v>0</v>
      </c>
      <c r="E79" s="6">
        <v>0</v>
      </c>
      <c r="F79" s="6">
        <v>6185133</v>
      </c>
      <c r="G79" s="6">
        <v>4573259</v>
      </c>
      <c r="H79" s="18">
        <f>8320384+3299928+3680+17500</f>
        <v>11641492</v>
      </c>
      <c r="I79" s="18" t="e">
        <f>#REF!</f>
        <v>#REF!</v>
      </c>
      <c r="J79" s="18" t="e">
        <f>#REF!</f>
        <v>#REF!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39">
        <v>1922580.33</v>
      </c>
    </row>
    <row r="80" spans="1:16">
      <c r="A80" s="4" t="str">
        <f>"12.4.1"</f>
        <v>12.4.1</v>
      </c>
      <c r="B80" s="5"/>
      <c r="C80" s="5" t="s">
        <v>82</v>
      </c>
      <c r="D80" s="6">
        <v>0</v>
      </c>
      <c r="E80" s="6">
        <v>0</v>
      </c>
      <c r="F80" s="6">
        <v>6181453</v>
      </c>
      <c r="G80" s="21">
        <v>2398195.75</v>
      </c>
      <c r="H80" s="18">
        <v>8320384</v>
      </c>
      <c r="I80" s="18">
        <f>I74</f>
        <v>3613177</v>
      </c>
      <c r="J80" s="18">
        <f>J74</f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39">
        <v>1922580.33</v>
      </c>
    </row>
    <row r="81" spans="1:16" ht="45">
      <c r="A81" s="4" t="str">
        <f>"12.4.2"</f>
        <v>12.4.2</v>
      </c>
      <c r="B81" s="5"/>
      <c r="C81" s="5" t="s">
        <v>83</v>
      </c>
      <c r="D81" s="6">
        <v>0</v>
      </c>
      <c r="E81" s="6">
        <v>0</v>
      </c>
      <c r="F81" s="17">
        <f>F75</f>
        <v>2779462</v>
      </c>
      <c r="G81" s="22">
        <f>G80</f>
        <v>2398195.75</v>
      </c>
      <c r="H81" s="16">
        <f>H80</f>
        <v>8320384</v>
      </c>
      <c r="I81" s="16">
        <v>0</v>
      </c>
      <c r="J81" s="16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39">
        <v>1922580.33</v>
      </c>
    </row>
    <row r="82" spans="1:16" ht="45">
      <c r="A82" s="4" t="s">
        <v>135</v>
      </c>
      <c r="B82" s="5"/>
      <c r="C82" s="5" t="s">
        <v>143</v>
      </c>
      <c r="D82" s="6">
        <v>0</v>
      </c>
      <c r="E82" s="6">
        <v>0</v>
      </c>
      <c r="F82" s="6">
        <v>0</v>
      </c>
      <c r="G82" s="6">
        <v>0</v>
      </c>
      <c r="H82" s="16">
        <f>125813+58240+112342+31890+32880+54839</f>
        <v>416004</v>
      </c>
      <c r="I82" s="16">
        <v>0</v>
      </c>
      <c r="J82" s="16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39"/>
    </row>
    <row r="83" spans="1:16">
      <c r="A83" s="4" t="s">
        <v>136</v>
      </c>
      <c r="B83" s="5"/>
      <c r="C83" s="5" t="s">
        <v>144</v>
      </c>
      <c r="D83" s="6">
        <v>0</v>
      </c>
      <c r="E83" s="6">
        <v>0</v>
      </c>
      <c r="F83" s="6">
        <v>0</v>
      </c>
      <c r="G83" s="6">
        <v>0</v>
      </c>
      <c r="H83" s="16">
        <f>H82</f>
        <v>416004</v>
      </c>
      <c r="I83" s="16">
        <v>0</v>
      </c>
      <c r="J83" s="16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39"/>
    </row>
    <row r="84" spans="1:16" ht="45">
      <c r="A84" s="4" t="s">
        <v>137</v>
      </c>
      <c r="B84" s="5"/>
      <c r="C84" s="5" t="s">
        <v>145</v>
      </c>
      <c r="D84" s="6">
        <v>0</v>
      </c>
      <c r="E84" s="6">
        <v>0</v>
      </c>
      <c r="F84" s="6">
        <v>0</v>
      </c>
      <c r="G84" s="6">
        <v>0</v>
      </c>
      <c r="H84" s="16">
        <f>125813</f>
        <v>125813</v>
      </c>
      <c r="I84" s="16">
        <v>0</v>
      </c>
      <c r="J84" s="16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39"/>
    </row>
    <row r="85" spans="1:16">
      <c r="A85" s="4" t="s">
        <v>138</v>
      </c>
      <c r="B85" s="5"/>
      <c r="C85" s="5" t="s">
        <v>146</v>
      </c>
      <c r="D85" s="6">
        <v>0</v>
      </c>
      <c r="E85" s="6">
        <v>0</v>
      </c>
      <c r="F85" s="6">
        <v>0</v>
      </c>
      <c r="G85" s="6">
        <v>0</v>
      </c>
      <c r="H85" s="16">
        <v>125813</v>
      </c>
      <c r="I85" s="16">
        <v>0</v>
      </c>
      <c r="J85" s="16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39"/>
    </row>
    <row r="86" spans="1:16" ht="45">
      <c r="A86" s="4" t="s">
        <v>139</v>
      </c>
      <c r="B86" s="5"/>
      <c r="C86" s="5" t="s">
        <v>147</v>
      </c>
      <c r="D86" s="6">
        <v>0</v>
      </c>
      <c r="E86" s="6">
        <v>0</v>
      </c>
      <c r="F86" s="6">
        <v>0</v>
      </c>
      <c r="G86" s="6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39"/>
    </row>
    <row r="87" spans="1:16">
      <c r="A87" s="4" t="s">
        <v>140</v>
      </c>
      <c r="B87" s="5"/>
      <c r="C87" s="5" t="s">
        <v>148</v>
      </c>
      <c r="D87" s="6">
        <v>0</v>
      </c>
      <c r="E87" s="6">
        <v>0</v>
      </c>
      <c r="F87" s="6">
        <v>0</v>
      </c>
      <c r="G87" s="6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39"/>
    </row>
    <row r="88" spans="1:16" ht="45">
      <c r="A88" s="4" t="s">
        <v>141</v>
      </c>
      <c r="B88" s="5"/>
      <c r="C88" s="5" t="s">
        <v>149</v>
      </c>
      <c r="D88" s="6">
        <v>0</v>
      </c>
      <c r="E88" s="6">
        <v>0</v>
      </c>
      <c r="F88" s="6">
        <v>0</v>
      </c>
      <c r="G88" s="6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39"/>
    </row>
    <row r="89" spans="1:16">
      <c r="A89" s="4" t="s">
        <v>142</v>
      </c>
      <c r="B89" s="5"/>
      <c r="C89" s="5" t="s">
        <v>144</v>
      </c>
      <c r="D89" s="6">
        <v>0</v>
      </c>
      <c r="E89" s="6">
        <v>0</v>
      </c>
      <c r="F89" s="6">
        <v>0</v>
      </c>
      <c r="G89" s="6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39"/>
    </row>
    <row r="90" spans="1:16" ht="30">
      <c r="A90" s="4">
        <v>13</v>
      </c>
      <c r="B90" s="5"/>
      <c r="C90" s="5" t="s">
        <v>84</v>
      </c>
      <c r="D90" s="6">
        <v>0</v>
      </c>
      <c r="E90" s="6">
        <v>0</v>
      </c>
      <c r="F90" s="6">
        <v>0</v>
      </c>
      <c r="G90" s="6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39"/>
    </row>
    <row r="91" spans="1:16" ht="30">
      <c r="A91" s="4" t="str">
        <f>"13.1"</f>
        <v>13.1</v>
      </c>
      <c r="B91" s="5"/>
      <c r="C91" s="5" t="s">
        <v>150</v>
      </c>
      <c r="D91" s="6">
        <v>0</v>
      </c>
      <c r="E91" s="6">
        <v>0</v>
      </c>
      <c r="F91" s="6">
        <v>0</v>
      </c>
      <c r="G91" s="6">
        <f t="shared" ref="G91:G109" si="33">F91</f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39"/>
    </row>
    <row r="92" spans="1:16" ht="45">
      <c r="A92" s="4" t="str">
        <f>"13.2"</f>
        <v>13.2</v>
      </c>
      <c r="B92" s="5"/>
      <c r="C92" s="5" t="s">
        <v>85</v>
      </c>
      <c r="D92" s="6">
        <v>0</v>
      </c>
      <c r="E92" s="6">
        <v>0</v>
      </c>
      <c r="F92" s="6">
        <v>0</v>
      </c>
      <c r="G92" s="6">
        <f t="shared" si="33"/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39"/>
    </row>
    <row r="93" spans="1:16" ht="30">
      <c r="A93" s="4" t="str">
        <f>"13.3"</f>
        <v>13.3</v>
      </c>
      <c r="B93" s="5"/>
      <c r="C93" s="5" t="s">
        <v>86</v>
      </c>
      <c r="D93" s="6">
        <v>0</v>
      </c>
      <c r="E93" s="6">
        <v>0</v>
      </c>
      <c r="F93" s="6">
        <v>0</v>
      </c>
      <c r="G93" s="6">
        <f t="shared" si="33"/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39"/>
    </row>
    <row r="94" spans="1:16" ht="30">
      <c r="A94" s="4" t="str">
        <f>"13.4"</f>
        <v>13.4</v>
      </c>
      <c r="B94" s="5"/>
      <c r="C94" s="5" t="s">
        <v>87</v>
      </c>
      <c r="D94" s="6">
        <v>0</v>
      </c>
      <c r="E94" s="6">
        <v>0</v>
      </c>
      <c r="F94" s="6">
        <v>0</v>
      </c>
      <c r="G94" s="6">
        <f t="shared" si="33"/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39"/>
    </row>
    <row r="95" spans="1:16" ht="30">
      <c r="A95" s="4" t="str">
        <f>"13.5"</f>
        <v>13.5</v>
      </c>
      <c r="B95" s="5"/>
      <c r="C95" s="5" t="s">
        <v>88</v>
      </c>
      <c r="D95" s="6">
        <v>0</v>
      </c>
      <c r="E95" s="6">
        <v>0</v>
      </c>
      <c r="F95" s="6">
        <v>0</v>
      </c>
      <c r="G95" s="6">
        <f t="shared" si="33"/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39"/>
    </row>
    <row r="96" spans="1:16" ht="30">
      <c r="A96" s="4" t="str">
        <f>"13.6"</f>
        <v>13.6</v>
      </c>
      <c r="B96" s="5"/>
      <c r="C96" s="5" t="s">
        <v>89</v>
      </c>
      <c r="D96" s="6">
        <v>0</v>
      </c>
      <c r="E96" s="6">
        <v>0</v>
      </c>
      <c r="F96" s="6">
        <v>0</v>
      </c>
      <c r="G96" s="6">
        <f t="shared" si="33"/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39"/>
    </row>
    <row r="97" spans="1:16" ht="30">
      <c r="A97" s="4" t="str">
        <f>"13.7"</f>
        <v>13.7</v>
      </c>
      <c r="B97" s="5"/>
      <c r="C97" s="5" t="s">
        <v>90</v>
      </c>
      <c r="D97" s="6">
        <v>0</v>
      </c>
      <c r="E97" s="6">
        <v>0</v>
      </c>
      <c r="F97" s="6">
        <v>0</v>
      </c>
      <c r="G97" s="6">
        <f t="shared" si="33"/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39"/>
    </row>
    <row r="98" spans="1:16">
      <c r="A98" s="4">
        <v>14</v>
      </c>
      <c r="B98" s="5"/>
      <c r="C98" s="5" t="s">
        <v>91</v>
      </c>
      <c r="D98" s="6"/>
      <c r="E98" s="6"/>
      <c r="F98" s="6"/>
      <c r="G98" s="6">
        <f t="shared" si="33"/>
        <v>0</v>
      </c>
      <c r="H98" s="15"/>
      <c r="I98" s="15"/>
      <c r="J98" s="15"/>
      <c r="K98" s="15"/>
      <c r="L98" s="15"/>
      <c r="M98" s="15"/>
      <c r="N98" s="15"/>
      <c r="O98" s="15"/>
      <c r="P98" s="39"/>
    </row>
    <row r="99" spans="1:16" ht="30">
      <c r="A99" s="4" t="str">
        <f>"14.1"</f>
        <v>14.1</v>
      </c>
      <c r="B99" s="5"/>
      <c r="C99" s="5" t="s">
        <v>92</v>
      </c>
      <c r="D99" s="6">
        <v>0</v>
      </c>
      <c r="E99" s="6">
        <v>0</v>
      </c>
      <c r="F99" s="6">
        <f>F37</f>
        <v>2277770</v>
      </c>
      <c r="G99" s="6">
        <f t="shared" si="33"/>
        <v>2277770</v>
      </c>
      <c r="H99" s="15">
        <f>H37</f>
        <v>1500000</v>
      </c>
      <c r="I99" s="18">
        <v>1500000</v>
      </c>
      <c r="J99" s="18">
        <f>J37</f>
        <v>1500000</v>
      </c>
      <c r="K99" s="18">
        <v>1800000</v>
      </c>
      <c r="L99" s="18">
        <f>L37</f>
        <v>1800000</v>
      </c>
      <c r="M99" s="18">
        <v>1470000</v>
      </c>
      <c r="N99" s="18">
        <v>2000000</v>
      </c>
      <c r="O99" s="18">
        <v>1875000</v>
      </c>
      <c r="P99" s="39">
        <v>0</v>
      </c>
    </row>
    <row r="100" spans="1:16">
      <c r="A100" s="4" t="str">
        <f>"14.2"</f>
        <v>14.2</v>
      </c>
      <c r="B100" s="5"/>
      <c r="C100" s="5" t="s">
        <v>93</v>
      </c>
      <c r="D100" s="6">
        <v>0</v>
      </c>
      <c r="E100" s="6">
        <v>0</v>
      </c>
      <c r="F100" s="6"/>
      <c r="G100" s="6">
        <f t="shared" si="33"/>
        <v>0</v>
      </c>
      <c r="H100" s="15"/>
      <c r="I100" s="15"/>
      <c r="J100" s="15"/>
      <c r="K100" s="15"/>
      <c r="L100" s="15"/>
      <c r="M100" s="15"/>
      <c r="N100" s="15"/>
      <c r="O100" s="15"/>
      <c r="P100" s="39"/>
    </row>
    <row r="101" spans="1:16">
      <c r="A101" s="4" t="str">
        <f>"14.3"</f>
        <v>14.3</v>
      </c>
      <c r="B101" s="5"/>
      <c r="C101" s="5" t="s">
        <v>94</v>
      </c>
      <c r="D101" s="6">
        <v>0</v>
      </c>
      <c r="E101" s="6">
        <v>0</v>
      </c>
      <c r="F101" s="6">
        <v>0</v>
      </c>
      <c r="G101" s="6">
        <f t="shared" si="33"/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39"/>
    </row>
    <row r="102" spans="1:16">
      <c r="A102" s="4" t="str">
        <f>"14.3.1"</f>
        <v>14.3.1</v>
      </c>
      <c r="B102" s="5"/>
      <c r="C102" s="5" t="s">
        <v>95</v>
      </c>
      <c r="D102" s="6">
        <v>0</v>
      </c>
      <c r="E102" s="6">
        <v>0</v>
      </c>
      <c r="F102" s="6">
        <v>0</v>
      </c>
      <c r="G102" s="6">
        <f t="shared" si="33"/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39"/>
    </row>
    <row r="103" spans="1:16">
      <c r="A103" s="4" t="str">
        <f>"14.3.2"</f>
        <v>14.3.2</v>
      </c>
      <c r="B103" s="5"/>
      <c r="C103" s="5" t="s">
        <v>96</v>
      </c>
      <c r="D103" s="6">
        <v>0</v>
      </c>
      <c r="E103" s="6">
        <v>0</v>
      </c>
      <c r="F103" s="6">
        <v>0</v>
      </c>
      <c r="G103" s="6">
        <f t="shared" si="33"/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39"/>
    </row>
    <row r="104" spans="1:16">
      <c r="A104" s="4" t="str">
        <f>"14.3.3"</f>
        <v>14.3.3</v>
      </c>
      <c r="B104" s="5"/>
      <c r="C104" s="5" t="s">
        <v>97</v>
      </c>
      <c r="D104" s="6">
        <v>0</v>
      </c>
      <c r="E104" s="6">
        <v>0</v>
      </c>
      <c r="F104" s="6">
        <v>0</v>
      </c>
      <c r="G104" s="6">
        <f t="shared" si="33"/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39"/>
    </row>
    <row r="105" spans="1:16" ht="30">
      <c r="A105" s="4" t="str">
        <f>"14.4"</f>
        <v>14.4</v>
      </c>
      <c r="B105" s="5"/>
      <c r="C105" s="5" t="s">
        <v>98</v>
      </c>
      <c r="D105" s="6">
        <v>0</v>
      </c>
      <c r="E105" s="6">
        <v>0</v>
      </c>
      <c r="F105" s="6">
        <v>0</v>
      </c>
      <c r="G105" s="6">
        <f t="shared" si="33"/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39"/>
    </row>
    <row r="106" spans="1:16">
      <c r="A106" s="4">
        <v>15</v>
      </c>
      <c r="B106" s="5"/>
      <c r="C106" s="5" t="s">
        <v>154</v>
      </c>
      <c r="D106" s="6">
        <v>0</v>
      </c>
      <c r="E106" s="6">
        <v>0</v>
      </c>
      <c r="F106" s="6">
        <v>0</v>
      </c>
      <c r="G106" s="6">
        <f t="shared" si="33"/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39"/>
    </row>
    <row r="107" spans="1:16">
      <c r="A107" s="4" t="s">
        <v>151</v>
      </c>
      <c r="B107" s="5"/>
      <c r="C107" s="5" t="s">
        <v>155</v>
      </c>
      <c r="D107" s="6">
        <v>0</v>
      </c>
      <c r="E107" s="6">
        <v>0</v>
      </c>
      <c r="F107" s="6">
        <v>0</v>
      </c>
      <c r="G107" s="6">
        <f t="shared" si="33"/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39"/>
    </row>
    <row r="108" spans="1:16">
      <c r="A108" s="4" t="s">
        <v>152</v>
      </c>
      <c r="B108" s="5"/>
      <c r="C108" s="5" t="s">
        <v>156</v>
      </c>
      <c r="D108" s="6">
        <v>0</v>
      </c>
      <c r="E108" s="6">
        <v>0</v>
      </c>
      <c r="F108" s="6">
        <v>0</v>
      </c>
      <c r="G108" s="6">
        <f t="shared" si="33"/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39"/>
    </row>
    <row r="109" spans="1:16" ht="30">
      <c r="A109" s="4" t="s">
        <v>153</v>
      </c>
      <c r="B109" s="5"/>
      <c r="C109" s="5" t="s">
        <v>157</v>
      </c>
      <c r="D109" s="6">
        <v>0</v>
      </c>
      <c r="E109" s="6">
        <v>0</v>
      </c>
      <c r="F109" s="6">
        <v>0</v>
      </c>
      <c r="G109" s="6">
        <f t="shared" si="33"/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39"/>
    </row>
    <row r="112" spans="1:16" ht="30">
      <c r="A112" s="3" t="s">
        <v>99</v>
      </c>
      <c r="B112" s="25" t="s">
        <v>101</v>
      </c>
      <c r="C112" s="26" t="s">
        <v>100</v>
      </c>
      <c r="D112" s="27">
        <f>(D6-D17+D14)/D5</f>
        <v>9.5159819031530493E-2</v>
      </c>
      <c r="E112" s="27">
        <f>(E6-E17+E14)/E5</f>
        <v>0.10504169287693303</v>
      </c>
      <c r="F112" s="27">
        <f t="shared" ref="F112:O112" si="34">(F6-F17+F14)/F5</f>
        <v>2.0676030514203778E-2</v>
      </c>
      <c r="G112" s="27">
        <f t="shared" si="34"/>
        <v>6.4584891713903303E-2</v>
      </c>
      <c r="H112" s="28">
        <f t="shared" si="34"/>
        <v>2.362716244850251E-2</v>
      </c>
      <c r="I112" s="27">
        <f t="shared" si="34"/>
        <v>3.9576406417414521E-2</v>
      </c>
      <c r="J112" s="27">
        <f t="shared" si="34"/>
        <v>5.9992709063384983E-2</v>
      </c>
      <c r="K112" s="27">
        <f t="shared" si="34"/>
        <v>7.6322941686269657E-2</v>
      </c>
      <c r="L112" s="27">
        <f t="shared" si="34"/>
        <v>9.1301474785918171E-2</v>
      </c>
      <c r="M112" s="27">
        <f t="shared" si="34"/>
        <v>0.1045118583868011</v>
      </c>
      <c r="N112" s="27">
        <f t="shared" si="34"/>
        <v>0.1129853371783496</v>
      </c>
      <c r="O112" s="27">
        <f t="shared" si="34"/>
        <v>0.12072632993014508</v>
      </c>
      <c r="P112" s="42"/>
    </row>
    <row r="113" spans="2:16">
      <c r="B113" s="26"/>
      <c r="C113" s="26"/>
      <c r="D113" s="26"/>
      <c r="E113" s="26"/>
      <c r="F113" s="26"/>
      <c r="G113" s="26"/>
      <c r="H113" s="29"/>
      <c r="I113" s="26"/>
      <c r="J113" s="26"/>
      <c r="K113" s="26"/>
      <c r="L113" s="26"/>
      <c r="M113" s="26"/>
      <c r="N113" s="26"/>
      <c r="O113" s="26"/>
      <c r="P113" s="42"/>
    </row>
  </sheetData>
  <mergeCells count="3">
    <mergeCell ref="A1:D1"/>
    <mergeCell ref="A3:D3"/>
    <mergeCell ref="A2:F2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Footer>&amp;C&amp;P&amp;RStrona &amp;P z &amp;N</oddFooter>
  </headerFooter>
  <rowBreaks count="2" manualBreakCount="2">
    <brk id="47" max="15" man="1"/>
    <brk id="81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wpf plik</vt:lpstr>
      <vt:lpstr>'wpf plik'!Obszar_wydruku</vt:lpstr>
      <vt:lpstr>'wpf plik'!Tytuły_wydruku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Starostwo</cp:lastModifiedBy>
  <cp:lastPrinted>2014-08-18T09:55:17Z</cp:lastPrinted>
  <dcterms:created xsi:type="dcterms:W3CDTF">2013-03-20T07:21:26Z</dcterms:created>
  <dcterms:modified xsi:type="dcterms:W3CDTF">2014-08-18T09:55:59Z</dcterms:modified>
</cp:coreProperties>
</file>