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480" windowWidth="10920" windowHeight="6540" activeTab="1"/>
  </bookViews>
  <sheets>
    <sheet name="Zestawienie mienia komunalnego" sheetId="1" r:id="rId1"/>
    <sheet name="środki trwale" sheetId="2" r:id="rId2"/>
  </sheets>
  <definedNames/>
  <calcPr fullCalcOnLoad="1"/>
</workbook>
</file>

<file path=xl/sharedStrings.xml><?xml version="1.0" encoding="utf-8"?>
<sst xmlns="http://schemas.openxmlformats.org/spreadsheetml/2006/main" count="318" uniqueCount="202">
  <si>
    <t>Wyszczególnienie</t>
  </si>
  <si>
    <t>I</t>
  </si>
  <si>
    <t>Grupa 0 grunty</t>
  </si>
  <si>
    <t>Grupa 1 budynki</t>
  </si>
  <si>
    <t>II</t>
  </si>
  <si>
    <t>Zespół Szkół Średnich w Chełmży</t>
  </si>
  <si>
    <t>Grupa 2 obiekty</t>
  </si>
  <si>
    <t>Grupa 4 urz. komputer.</t>
  </si>
  <si>
    <t>Grupa 5 urządz. specj.</t>
  </si>
  <si>
    <t>Grupa 6 urządz. tech.</t>
  </si>
  <si>
    <t>Grupa 7 śr. transportu</t>
  </si>
  <si>
    <t xml:space="preserve">Grupa 8 pozostałe 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</si>
  <si>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</si>
  <si>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</si>
  <si>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</si>
  <si>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</si>
  <si>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</si>
  <si>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</si>
  <si>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</si>
  <si>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</si>
  <si>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</si>
  <si>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</si>
  <si>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Zespół Szkół Specjalnych w Chełmży</t>
  </si>
  <si>
    <t>Zespół Szkół - Rol. CKU w Gronowie</t>
  </si>
  <si>
    <t>XIII</t>
  </si>
  <si>
    <t>Powiatowe Centrum Pomocy Rodzinie</t>
  </si>
  <si>
    <t>Grupa 3 maszyny</t>
  </si>
  <si>
    <t xml:space="preserve"> </t>
  </si>
  <si>
    <t>Szkoła muzyczna I stopnia w Chełmży</t>
  </si>
  <si>
    <t>Powiatowy Zarząd Dróg</t>
  </si>
  <si>
    <t>Grupa 5 urz. specjalne</t>
  </si>
  <si>
    <t>Powiatowy Urząd Pracy dla Powiatu Toruńskiego w Toruniu</t>
  </si>
  <si>
    <t>Wartości niemat. I praw.</t>
  </si>
  <si>
    <t>XIV</t>
  </si>
  <si>
    <t>XV</t>
  </si>
  <si>
    <t>DPS                                                               w Dobrzejewicach</t>
  </si>
  <si>
    <t>Placówka Opiekuńczo Wychowawcza   w Głuchowie</t>
  </si>
  <si>
    <t>Wartość wg stanu na dzień 31.12.2002 brutto</t>
  </si>
  <si>
    <t>Wartość wg stanu na dzień 31.12.2002  netto</t>
  </si>
  <si>
    <t>Dochody z mienia powiatu</t>
  </si>
  <si>
    <t>Razem</t>
  </si>
  <si>
    <t>OGÓŁEM</t>
  </si>
  <si>
    <t>Starostwo Powiatowe w Toruniu</t>
  </si>
  <si>
    <t>wartość udziałów w Spółdzielni Grup Produc. - TOROL</t>
  </si>
  <si>
    <t>Szpital Powiatowy Sp. z o.o.</t>
  </si>
  <si>
    <t xml:space="preserve"> - udział rzeczowy</t>
  </si>
  <si>
    <t xml:space="preserve"> - udział finansowy</t>
  </si>
  <si>
    <t>Grupa 0 grunty - Zelgno</t>
  </si>
  <si>
    <t>Grupa 0 grunty - Chełmża ZOZ</t>
  </si>
  <si>
    <t>RAZEM SZKOŁY</t>
  </si>
  <si>
    <t>RAZEM DPS</t>
  </si>
  <si>
    <t>Poradnia Psychologiczno-Pedagogiczna w Chełmży</t>
  </si>
  <si>
    <t>DPS w Browinie</t>
  </si>
  <si>
    <t>DPS w  Wielkiej Nieszawce</t>
  </si>
  <si>
    <t>DPS  w  Pigży</t>
  </si>
  <si>
    <t>Wykonanie prac termomodernizacyjnych ze środków PFOŚ</t>
  </si>
  <si>
    <t xml:space="preserve">Wykonanie prac termomodernizacyjnych oraz wymiana kotłowni na ekologiczną ze środków PFOŚ, </t>
  </si>
  <si>
    <t xml:space="preserve">ZESTAWIENIE  MIENIA KOMUNALNEGO  POWIATU  TORUŃSKIEGO </t>
  </si>
  <si>
    <t>Nazwa jednostki organizacyjnej</t>
  </si>
  <si>
    <t>Lokalizacja-miejscowość, ulica</t>
  </si>
  <si>
    <t>Data i nr decyzji komunaliz.</t>
  </si>
  <si>
    <t>Działka</t>
  </si>
  <si>
    <t>Budynki</t>
  </si>
  <si>
    <t>Mienie ruchome wartość netto w zł.</t>
  </si>
  <si>
    <t xml:space="preserve">Pow.          w ha </t>
  </si>
  <si>
    <t>Wartość</t>
  </si>
  <si>
    <r>
      <t xml:space="preserve"> Pow.  użytk.            w m</t>
    </r>
    <r>
      <rPr>
        <b/>
        <vertAlign val="superscript"/>
        <sz val="10"/>
        <rFont val="Arial"/>
        <family val="2"/>
      </rPr>
      <t>2</t>
    </r>
  </si>
  <si>
    <t>Wartość początkowa majątku</t>
  </si>
  <si>
    <t>Wartość bilansowa (netto )</t>
  </si>
  <si>
    <t>Szpital Powiatowy w Chełmży spółka z o.o</t>
  </si>
  <si>
    <t>ul. Szewska 23</t>
  </si>
  <si>
    <t>GKN-III-7243-4/1/10/99</t>
  </si>
  <si>
    <t>Hallera 7</t>
  </si>
  <si>
    <t>9.11.1999</t>
  </si>
  <si>
    <t>Zelgno</t>
  </si>
  <si>
    <t xml:space="preserve">Razem </t>
  </si>
  <si>
    <t>DOM POMOCY</t>
  </si>
  <si>
    <t xml:space="preserve">Wielka </t>
  </si>
  <si>
    <t>GKN.III.T-7723-1-4-</t>
  </si>
  <si>
    <t>SPOŁECZNEJ</t>
  </si>
  <si>
    <t>Nieszawka</t>
  </si>
  <si>
    <t>1/4/2000 z dnia</t>
  </si>
  <si>
    <t>28.09.2000r</t>
  </si>
  <si>
    <t>DOM</t>
  </si>
  <si>
    <t>Pigża</t>
  </si>
  <si>
    <t>GKN.I1LT.7723</t>
  </si>
  <si>
    <t>0,4100</t>
  </si>
  <si>
    <t>POMOCY</t>
  </si>
  <si>
    <t>-1-4-1/2/2000</t>
  </si>
  <si>
    <t>z dnia 13.04.2000 r.</t>
  </si>
  <si>
    <t>Dobrzejewice</t>
  </si>
  <si>
    <t>GKN.HI.OT.77</t>
  </si>
  <si>
    <t>23-1-4-1/1/01 z</t>
  </si>
  <si>
    <t>Akt not. Rep. Nr</t>
  </si>
  <si>
    <t>2986/00</t>
  </si>
  <si>
    <t>Darowizna od Gminy</t>
  </si>
  <si>
    <t>Obrowo</t>
  </si>
  <si>
    <t>GKN.1II.OT.77</t>
  </si>
  <si>
    <t>Osiek</t>
  </si>
  <si>
    <t>dnja 23.04.2000</t>
  </si>
  <si>
    <t>Browina</t>
  </si>
  <si>
    <t>GKN.III.OT.77</t>
  </si>
  <si>
    <t>23-1-4-1/5/00 z</t>
  </si>
  <si>
    <t>dnia</t>
  </si>
  <si>
    <t>19.12.2000r.</t>
  </si>
  <si>
    <t>Rep. A Nr</t>
  </si>
  <si>
    <t>1909/00</t>
  </si>
  <si>
    <t>Darowizna od AWR SP</t>
  </si>
  <si>
    <t>skorygowane</t>
  </si>
  <si>
    <t>949/2002</t>
  </si>
  <si>
    <t>Rep. A Nr 1994/2003, 2341/2003, 2417/2003</t>
  </si>
  <si>
    <t>Razem DPS</t>
  </si>
  <si>
    <t>ZESPÓŁ SZKÓŁ ROLNICZYCH</t>
  </si>
  <si>
    <t>Gronowo</t>
  </si>
  <si>
    <t>GKN.III.OT.77          23-1-4-1/3/00 z</t>
  </si>
  <si>
    <r>
      <t>W m-cu grudniu planowane jest przekazanie w drodze darowizny na rzecz Ochotniczej Straży Pożarnej w Gronowie nieruchomości gruntowej o powierzchni 851m</t>
    </r>
    <r>
      <rPr>
        <vertAlign val="superscript"/>
        <sz val="10"/>
        <rFont val="Arial"/>
        <family val="2"/>
      </rPr>
      <t>2</t>
    </r>
  </si>
  <si>
    <t>dnia 28.09.2000</t>
  </si>
  <si>
    <t>ZESPÓŁ</t>
  </si>
  <si>
    <t>Chełmża</t>
  </si>
  <si>
    <t>GKN.III-7723-</t>
  </si>
  <si>
    <t>SZKÓŁ</t>
  </si>
  <si>
    <t>1-4-1/3/00 z</t>
  </si>
  <si>
    <t>ŚREDNICH</t>
  </si>
  <si>
    <t>dnia 17.04.2000</t>
  </si>
  <si>
    <t>ZESPÓŁ SZKÓŁ SPECJALNYCH</t>
  </si>
  <si>
    <t xml:space="preserve">Chełmża ul. Kard. Wyszyńskiego </t>
  </si>
  <si>
    <t>GKN-HI-7723-1-4-1/4/00 z dnia 11 03.2000 r.</t>
  </si>
  <si>
    <t xml:space="preserve">Razem placówki  oświatowe  </t>
  </si>
  <si>
    <t>PLACÓWKA OPIEKUŃCZO</t>
  </si>
  <si>
    <t>Głuchowo</t>
  </si>
  <si>
    <t>Akt not. Rep. 1254/2001</t>
  </si>
  <si>
    <t>14,7900</t>
  </si>
  <si>
    <t>Wartość gruntu po urealnieniu 165.000 zł</t>
  </si>
  <si>
    <t>WYCHOWAWCZA</t>
  </si>
  <si>
    <t>STAROSTWO POWIATOWE</t>
  </si>
  <si>
    <t>Ul. Szosa Chełmińska</t>
  </si>
  <si>
    <t>GKN. III.7243-4/1/6/00 z dnia</t>
  </si>
  <si>
    <t>1021/2558</t>
  </si>
  <si>
    <t>Udział w 1021/2558</t>
  </si>
  <si>
    <t>W</t>
  </si>
  <si>
    <t>30/32</t>
  </si>
  <si>
    <t>5.06.2000 r.</t>
  </si>
  <si>
    <t>TORUNIU</t>
  </si>
  <si>
    <t>GKN. III.7243-4/1/7/00 z dnia 5.06.2000 r.</t>
  </si>
  <si>
    <t>183/2558</t>
  </si>
  <si>
    <t>Udział w 183/2558</t>
  </si>
  <si>
    <t>GKN. III.7243-4/1/8/00 z dnia</t>
  </si>
  <si>
    <t>214/2558</t>
  </si>
  <si>
    <t>Udział w 214/2558</t>
  </si>
  <si>
    <t>Akt. Not. rep 2906/2001</t>
  </si>
  <si>
    <t>58/2558</t>
  </si>
  <si>
    <t>Nabycie udział w 58/2558 na VII piętrze</t>
  </si>
  <si>
    <t>49/2558</t>
  </si>
  <si>
    <t xml:space="preserve">Nabycie udział w 49/2558 </t>
  </si>
  <si>
    <t>Ul. Nad strugą 2</t>
  </si>
  <si>
    <t>-II-</t>
  </si>
  <si>
    <t>2 lokale mieszkalne w zamian za udział w ul. Mazowieckiej 49a</t>
  </si>
  <si>
    <t>Razem Star.Pow.</t>
  </si>
  <si>
    <t>PORADNIA PSYCHOLOGICZNO  -PEDAGOGICZNA</t>
  </si>
  <si>
    <t>Chełmża, ul. Ś w. Jana 18</t>
  </si>
  <si>
    <t>Akt not     Rep. 1800/2000</t>
  </si>
  <si>
    <t>0,3010</t>
  </si>
  <si>
    <t>POWIATOWY OŚRODEK DOKUMENTACJI GEODEZYJNEJ I KARTOGRAFICZNEJ</t>
  </si>
  <si>
    <t>Toruń, Pl. Teatralny 2</t>
  </si>
  <si>
    <t>Protokół zdawczo-odbiorczy z dnia 11.01.1999 r.</t>
  </si>
  <si>
    <t>Użytkowanie w 177,5/7049</t>
  </si>
  <si>
    <t>POWIATOWY ZARZĄD DRÓG</t>
  </si>
  <si>
    <t>Protokół zdawczo-odbiorczy       z dnia 4.01.1999 r</t>
  </si>
  <si>
    <t>Bez wyceny</t>
  </si>
  <si>
    <t>Porozumienie z Zarządem Dróg Wojewo z 28.03.2000 r .</t>
  </si>
  <si>
    <t>Wartość inwestycji  drogowych od 1.01.1999</t>
  </si>
  <si>
    <t>Toruń, ul. Polna 113</t>
  </si>
  <si>
    <t>Udział 20,24% wspólnie z Zarządem Dróg Wojew. i Zarządem Dróg Krajowych</t>
  </si>
  <si>
    <t>RAZEM  PZD</t>
  </si>
  <si>
    <t xml:space="preserve">RAZEM  POWIAT </t>
  </si>
  <si>
    <t xml:space="preserve">Dokonano sprzedaży lokali mieszkalnych na rzecz dotychczasowych najemców. </t>
  </si>
  <si>
    <t>Wyszczególnione mienie stanowi własność Powiatu Toruńskiego  za wyjątkiem poz. XV w.1    kwota 643,80 zł prawo wieczystego gruntu</t>
  </si>
  <si>
    <t>Wartość wg stanu na dzień 31.12.2003 brutto</t>
  </si>
  <si>
    <t>Wartość wg stanu na dzień 31.12.2003  netto</t>
  </si>
  <si>
    <t>1.Wykonanie prac termomodernizacyjnych ze środków PFOŚ,  ujawnienie wartości majątku   (garaże, ogrodzenie)</t>
  </si>
  <si>
    <t>Wykonanie modernizacji dachu ze środkow inwestycyjnych (budżet)</t>
  </si>
  <si>
    <t>Aktualizacja wyceny budynków, sprzedaż na rzecz dotychczasowych najemców lokali mieszkalnych o wartości 61100 zł, oddanie gruntu pod budynkami w wieczyste użytkowanie, zwiększenie wartości majątku  w wyniku zakończenia prac termomodernizacyjnych ze środków PFOŚ , zakup komputerów ze środków inwestycyjnych.</t>
  </si>
  <si>
    <t xml:space="preserve">Wykonanie prac termomodernizacyjnych ze środków PFOŚ budynków przy ul. Polnej i w Malej Grzywnie, budowa i modernizacja dróg ze środków własnych, dofinansowania z Gminy Łysomice i Gminy Łubianka oraz ze  środków SAPARD, zakup monitora i wyposażenia z bieżących wydatków budżetu . </t>
  </si>
  <si>
    <t>zakup komperów ze środków PFRON, zakup oprogramowania FK z wydatków bieżąych, przekazanie bezużytecznego sprzętu do Stowarzyszenia "Podaj Rękę" dla potrzeb osób niepełnosprawnych,</t>
  </si>
  <si>
    <t xml:space="preserve">Wykonanie prac termomodernizacyjnych ze środków PFOŚ, remont i modernizacja oczyszczalni ścieków ze środków PFOŚ, zwiększenie wartości budynku stacji diagnostycznej ze środków inwestycyjnych, remont i zakup komputerów ze środków specjalnych, otrzymanie komputerów z Agencji Restrukturyzacji Rolnictwa, zakup mebli, książek do biblioteki oraz mebli i pozostałego wyposażenia do gabinetów szkolnych ze środków budżetu, likwidacja ujęcia wody. </t>
  </si>
  <si>
    <t xml:space="preserve">Wykonanie  prac  termoizolacyjnych  w budynkach  Powiatu  wykorzystywanych  na  potrzeby  służby  zdrowia , prac  termoizolacyjnych  w budynku ul.Szosa Chełmińska - budynek B oraz ul. Dekerta , wymiana okien ze środków PFOŚ,  zakup komputerów i oprogramowania w ramach wydatków inwestycyjnych, dofinansowania ze środków PHERE, bieżących wydatków budżetowych, zakup sprzętu multimedialnego z PFOŚ, zakup kserokopiarki z FOGR, przekazanie samochodu Komendzie Policji, zakupy z wydatków bieżących budżetu telefonów komórkowych, mebli i pozostałych urządzeń biurowych.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</si>
  <si>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Kościuszki</t>
  </si>
  <si>
    <t>x</t>
  </si>
  <si>
    <t>z wyceny</t>
  </si>
  <si>
    <t>Użytkowanie wieczyste -643,8 zł</t>
  </si>
  <si>
    <t>Środki na dosprzętowienie Systemu informatycznego otrzymano z MPiPS.  Jednostka posiada prawo do użytkowania wieczystego gruntu.</t>
  </si>
  <si>
    <t>Wymiana pieca co na ekologiczny ze środków PFOŚ.</t>
  </si>
  <si>
    <t>Wykonanie prac termomodernizacyjnych ze środków PFOŚ, remont i modernizacja oczyszczalni ścieków ze środków PFOŚ, zwiększenie wartości budynku stacji diagnostycznej ze środków inwestycyjnych, remont i zakup komputerów ze środków specjalnych, otrzymanie ko</t>
  </si>
  <si>
    <t>dnia 23.04.2000 r.</t>
  </si>
  <si>
    <t>Uwagi</t>
  </si>
  <si>
    <t>Ilość</t>
  </si>
  <si>
    <t>Lp.</t>
  </si>
  <si>
    <t xml:space="preserve">Zmiana wartości brutto w roku 2003  </t>
  </si>
  <si>
    <t xml:space="preserve">Realizacja inwestycji  i  zakupów  inwestycyjnych wpływających  na  zmianę  wartości  majątku  w 2003 r.                            </t>
  </si>
  <si>
    <t>Zakup wyposażenia i oprogramowania z bieżących wydatków budżetu</t>
  </si>
  <si>
    <t>WARTOŚĆ  MAJĄTKU  POWIATU  W  UKŁADZIE  PORÓWNAWCZYM, PLANOWANE  DOCHODY  Z  MIENIA  POWIATU.</t>
  </si>
  <si>
    <t>Załącznik nr 10 do Uchwały nr  69/04 Zarządu Powiatu Toruńskiego z dnia 27.02.2004 r. w sprawie przyjęcia sprawozdania z wykonania budżetu za 2003 rok.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</si>
</sst>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"/>
    <numFmt numFmtId="165" formatCode="0.0"/>
    <numFmt numFmtId="166" formatCode="0.000"/>
  </numFmts>
  <fonts count="21">
    <font>
      <sz val="10"/>
      <name val="Arial CE"/>
      <family val="0"/>
    </font>
    <font>
      <b/>
      <sz val="10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sz val="12"/>
      <name val="Arial CE"/>
      <family val="2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u val="single"/>
      <sz val="11"/>
      <name val="Arial"/>
      <family val="2"/>
    </font>
    <font>
      <u val="single"/>
      <sz val="11"/>
      <name val="Arial"/>
      <family val="2"/>
    </font>
    <font>
      <sz val="9"/>
      <name val="Arial CE"/>
      <family val="2"/>
    </font>
    <font>
      <b/>
      <u val="single"/>
      <sz val="12"/>
      <name val="Arial CE"/>
      <family val="2"/>
    </font>
    <font>
      <u val="single"/>
      <sz val="12"/>
      <name val="Arial CE"/>
      <family val="2"/>
    </font>
    <font>
      <sz val="12"/>
      <name val="Arial CE"/>
      <family val="2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3">
    <xf numFmtId="0" fontId="0" fillId="0" borderId="0" xfId="0" applyAlignment="1">
      <alignment/>
    </xf>
    <xf numFmtId="0" fontId="0" fillId="0" borderId="0" xfId="0" applyAlignment="1">
      <alignment wrapText="1"/>
    </xf>
    <xf numFmtId="4" fontId="2" fillId="0" borderId="1" xfId="0" applyNumberFormat="1" applyFont="1" applyBorder="1" applyAlignment="1">
      <alignment/>
    </xf>
    <xf numFmtId="0" fontId="0" fillId="0" borderId="0" xfId="0" applyFont="1" applyAlignment="1">
      <alignment/>
    </xf>
    <xf numFmtId="0" fontId="2" fillId="0" borderId="2" xfId="0" applyFont="1" applyBorder="1" applyAlignment="1">
      <alignment/>
    </xf>
    <xf numFmtId="4" fontId="2" fillId="0" borderId="3" xfId="0" applyNumberFormat="1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 wrapText="1"/>
    </xf>
    <xf numFmtId="4" fontId="2" fillId="0" borderId="5" xfId="0" applyNumberFormat="1" applyFont="1" applyBorder="1" applyAlignment="1">
      <alignment/>
    </xf>
    <xf numFmtId="0" fontId="2" fillId="0" borderId="6" xfId="0" applyFont="1" applyBorder="1" applyAlignment="1">
      <alignment wrapText="1"/>
    </xf>
    <xf numFmtId="0" fontId="2" fillId="0" borderId="0" xfId="0" applyFont="1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3" fillId="0" borderId="7" xfId="0" applyFont="1" applyBorder="1" applyAlignment="1">
      <alignment wrapText="1"/>
    </xf>
    <xf numFmtId="4" fontId="2" fillId="0" borderId="6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4" fontId="2" fillId="0" borderId="7" xfId="0" applyNumberFormat="1" applyFont="1" applyBorder="1" applyAlignment="1">
      <alignment/>
    </xf>
    <xf numFmtId="4" fontId="2" fillId="0" borderId="8" xfId="0" applyNumberFormat="1" applyFont="1" applyBorder="1" applyAlignment="1">
      <alignment/>
    </xf>
    <xf numFmtId="4" fontId="2" fillId="0" borderId="6" xfId="0" applyNumberFormat="1" applyFont="1" applyBorder="1" applyAlignment="1">
      <alignment wrapText="1"/>
    </xf>
    <xf numFmtId="4" fontId="3" fillId="0" borderId="3" xfId="0" applyNumberFormat="1" applyFont="1" applyBorder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4" fontId="3" fillId="0" borderId="1" xfId="0" applyNumberFormat="1" applyFont="1" applyBorder="1" applyAlignment="1">
      <alignment/>
    </xf>
    <xf numFmtId="4" fontId="3" fillId="0" borderId="9" xfId="0" applyNumberFormat="1" applyFont="1" applyBorder="1" applyAlignment="1">
      <alignment/>
    </xf>
    <xf numFmtId="4" fontId="3" fillId="0" borderId="6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9" xfId="0" applyFont="1" applyBorder="1" applyAlignment="1">
      <alignment wrapText="1"/>
    </xf>
    <xf numFmtId="0" fontId="4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5" fillId="0" borderId="14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49" fontId="5" fillId="0" borderId="3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1" fontId="4" fillId="0" borderId="13" xfId="0" applyNumberFormat="1" applyFont="1" applyFill="1" applyBorder="1" applyAlignment="1" applyProtection="1">
      <alignment horizontal="center" vertical="center"/>
      <protection/>
    </xf>
    <xf numFmtId="4" fontId="4" fillId="0" borderId="16" xfId="0" applyNumberFormat="1" applyFont="1" applyFill="1" applyBorder="1" applyAlignment="1" applyProtection="1">
      <alignment horizontal="center" vertical="center"/>
      <protection/>
    </xf>
    <xf numFmtId="4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17" xfId="0" applyNumberFormat="1" applyFont="1" applyFill="1" applyBorder="1" applyAlignment="1" applyProtection="1">
      <alignment horizontal="center" vertical="center" wrapText="1"/>
      <protection/>
    </xf>
    <xf numFmtId="4" fontId="4" fillId="0" borderId="6" xfId="0" applyNumberFormat="1" applyFont="1" applyFill="1" applyBorder="1" applyAlignment="1" applyProtection="1">
      <alignment horizontal="center" vertical="center"/>
      <protection/>
    </xf>
    <xf numFmtId="0" fontId="4" fillId="0" borderId="6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/>
      <protection/>
    </xf>
    <xf numFmtId="0" fontId="5" fillId="0" borderId="3" xfId="0" applyNumberFormat="1" applyFont="1" applyFill="1" applyBorder="1" applyAlignment="1" applyProtection="1">
      <alignment horizontal="center" vertical="center" wrapText="1"/>
      <protection/>
    </xf>
    <xf numFmtId="1" fontId="4" fillId="0" borderId="15" xfId="0" applyNumberFormat="1" applyFont="1" applyFill="1" applyBorder="1" applyAlignment="1" applyProtection="1">
      <alignment horizontal="center" vertical="center"/>
      <protection/>
    </xf>
    <xf numFmtId="4" fontId="4" fillId="0" borderId="18" xfId="0" applyNumberFormat="1" applyFont="1" applyFill="1" applyBorder="1" applyAlignment="1" applyProtection="1">
      <alignment horizontal="center" vertical="center"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NumberFormat="1" applyFont="1" applyFill="1" applyBorder="1" applyAlignment="1" applyProtection="1">
      <alignment horizontal="center" vertical="center"/>
      <protection/>
    </xf>
    <xf numFmtId="1" fontId="5" fillId="0" borderId="15" xfId="0" applyNumberFormat="1" applyFont="1" applyFill="1" applyBorder="1" applyAlignment="1" applyProtection="1">
      <alignment horizontal="center" vertical="center"/>
      <protection/>
    </xf>
    <xf numFmtId="4" fontId="5" fillId="0" borderId="3" xfId="0" applyNumberFormat="1" applyFont="1" applyFill="1" applyBorder="1" applyAlignment="1" applyProtection="1">
      <alignment horizontal="center" vertical="center"/>
      <protection/>
    </xf>
    <xf numFmtId="0" fontId="4" fillId="0" borderId="16" xfId="0" applyNumberFormat="1" applyFont="1" applyFill="1" applyBorder="1" applyAlignment="1" applyProtection="1">
      <alignment vertical="top"/>
      <protection/>
    </xf>
    <xf numFmtId="0" fontId="4" fillId="0" borderId="16" xfId="0" applyNumberFormat="1" applyFont="1" applyFill="1" applyBorder="1" applyAlignment="1" applyProtection="1">
      <alignment vertical="top" wrapText="1"/>
      <protection/>
    </xf>
    <xf numFmtId="164" fontId="4" fillId="0" borderId="16" xfId="0" applyNumberFormat="1" applyFont="1" applyFill="1" applyBorder="1" applyAlignment="1" applyProtection="1">
      <alignment horizontal="right" vertical="top"/>
      <protection/>
    </xf>
    <xf numFmtId="4" fontId="4" fillId="0" borderId="16" xfId="0" applyNumberFormat="1" applyFont="1" applyFill="1" applyBorder="1" applyAlignment="1" applyProtection="1">
      <alignment horizontal="right" vertical="top"/>
      <protection/>
    </xf>
    <xf numFmtId="1" fontId="4" fillId="0" borderId="16" xfId="0" applyNumberFormat="1" applyFont="1" applyFill="1" applyBorder="1" applyAlignment="1" applyProtection="1">
      <alignment horizontal="center" vertical="top"/>
      <protection/>
    </xf>
    <xf numFmtId="4" fontId="4" fillId="0" borderId="16" xfId="0" applyNumberFormat="1" applyFont="1" applyFill="1" applyBorder="1" applyAlignment="1" applyProtection="1">
      <alignment vertical="top"/>
      <protection/>
    </xf>
    <xf numFmtId="4" fontId="4" fillId="0" borderId="15" xfId="0" applyNumberFormat="1" applyFont="1" applyFill="1" applyBorder="1" applyAlignment="1" applyProtection="1">
      <alignment vertical="top"/>
      <protection/>
    </xf>
    <xf numFmtId="0" fontId="4" fillId="0" borderId="3" xfId="0" applyNumberFormat="1" applyFont="1" applyFill="1" applyBorder="1" applyAlignment="1" applyProtection="1">
      <alignment vertical="top"/>
      <protection/>
    </xf>
    <xf numFmtId="164" fontId="4" fillId="0" borderId="6" xfId="0" applyNumberFormat="1" applyFont="1" applyFill="1" applyBorder="1" applyAlignment="1" applyProtection="1">
      <alignment horizontal="right" vertical="top"/>
      <protection/>
    </xf>
    <xf numFmtId="4" fontId="4" fillId="0" borderId="3" xfId="0" applyNumberFormat="1" applyFont="1" applyFill="1" applyBorder="1" applyAlignment="1" applyProtection="1">
      <alignment horizontal="right" vertical="top"/>
      <protection/>
    </xf>
    <xf numFmtId="1" fontId="4" fillId="0" borderId="3" xfId="0" applyNumberFormat="1" applyFont="1" applyFill="1" applyBorder="1" applyAlignment="1" applyProtection="1">
      <alignment horizontal="center" vertical="top"/>
      <protection/>
    </xf>
    <xf numFmtId="4" fontId="4" fillId="0" borderId="3" xfId="0" applyNumberFormat="1" applyFont="1" applyFill="1" applyBorder="1" applyAlignment="1" applyProtection="1">
      <alignment vertical="top"/>
      <protection/>
    </xf>
    <xf numFmtId="0" fontId="4" fillId="0" borderId="17" xfId="0" applyNumberFormat="1" applyFont="1" applyFill="1" applyBorder="1" applyAlignment="1" applyProtection="1">
      <alignment vertical="top"/>
      <protection/>
    </xf>
    <xf numFmtId="164" fontId="4" fillId="0" borderId="17" xfId="0" applyNumberFormat="1" applyFont="1" applyFill="1" applyBorder="1" applyAlignment="1" applyProtection="1">
      <alignment horizontal="right" vertical="top"/>
      <protection/>
    </xf>
    <xf numFmtId="4" fontId="4" fillId="0" borderId="17" xfId="0" applyNumberFormat="1" applyFont="1" applyFill="1" applyBorder="1" applyAlignment="1" applyProtection="1">
      <alignment horizontal="right" vertical="top"/>
      <protection/>
    </xf>
    <xf numFmtId="1" fontId="4" fillId="0" borderId="17" xfId="0" applyNumberFormat="1" applyFont="1" applyFill="1" applyBorder="1" applyAlignment="1" applyProtection="1">
      <alignment horizontal="center" vertical="top"/>
      <protection/>
    </xf>
    <xf numFmtId="4" fontId="4" fillId="0" borderId="17" xfId="0" applyNumberFormat="1" applyFont="1" applyFill="1" applyBorder="1" applyAlignment="1" applyProtection="1">
      <alignment vertical="top"/>
      <protection/>
    </xf>
    <xf numFmtId="0" fontId="4" fillId="0" borderId="15" xfId="0" applyNumberFormat="1" applyFont="1" applyFill="1" applyBorder="1" applyAlignment="1" applyProtection="1">
      <alignment vertical="top"/>
      <protection/>
    </xf>
    <xf numFmtId="164" fontId="4" fillId="0" borderId="15" xfId="0" applyNumberFormat="1" applyFont="1" applyFill="1" applyBorder="1" applyAlignment="1" applyProtection="1">
      <alignment horizontal="right" vertical="top"/>
      <protection/>
    </xf>
    <xf numFmtId="4" fontId="4" fillId="0" borderId="15" xfId="0" applyNumberFormat="1" applyFont="1" applyFill="1" applyBorder="1" applyAlignment="1" applyProtection="1">
      <alignment horizontal="right" vertical="top"/>
      <protection/>
    </xf>
    <xf numFmtId="1" fontId="4" fillId="0" borderId="15" xfId="0" applyNumberFormat="1" applyFont="1" applyFill="1" applyBorder="1" applyAlignment="1" applyProtection="1">
      <alignment horizontal="center" vertical="top"/>
      <protection/>
    </xf>
    <xf numFmtId="164" fontId="4" fillId="0" borderId="3" xfId="0" applyNumberFormat="1" applyFont="1" applyFill="1" applyBorder="1" applyAlignment="1" applyProtection="1">
      <alignment horizontal="right" vertical="top"/>
      <protection/>
    </xf>
    <xf numFmtId="0" fontId="4" fillId="0" borderId="17" xfId="0" applyNumberFormat="1" applyFont="1" applyFill="1" applyBorder="1" applyAlignment="1" applyProtection="1">
      <alignment vertical="top" wrapText="1"/>
      <protection/>
    </xf>
    <xf numFmtId="164" fontId="4" fillId="0" borderId="15" xfId="0" applyNumberFormat="1" applyFont="1" applyFill="1" applyBorder="1" applyAlignment="1" applyProtection="1">
      <alignment vertical="top"/>
      <protection/>
    </xf>
    <xf numFmtId="164" fontId="4" fillId="0" borderId="3" xfId="0" applyNumberFormat="1" applyFont="1" applyFill="1" applyBorder="1" applyAlignment="1" applyProtection="1">
      <alignment vertical="top"/>
      <protection/>
    </xf>
    <xf numFmtId="0" fontId="4" fillId="0" borderId="15" xfId="0" applyNumberFormat="1" applyFont="1" applyFill="1" applyBorder="1" applyAlignment="1" applyProtection="1">
      <alignment horizontal="center" vertical="top"/>
      <protection/>
    </xf>
    <xf numFmtId="0" fontId="4" fillId="0" borderId="3" xfId="0" applyNumberFormat="1" applyFont="1" applyFill="1" applyBorder="1" applyAlignment="1" applyProtection="1">
      <alignment horizontal="center" vertical="top"/>
      <protection/>
    </xf>
    <xf numFmtId="0" fontId="4" fillId="0" borderId="3" xfId="0" applyNumberFormat="1" applyFont="1" applyFill="1" applyBorder="1" applyAlignment="1" applyProtection="1">
      <alignment vertical="top" wrapText="1"/>
      <protection/>
    </xf>
    <xf numFmtId="0" fontId="4" fillId="0" borderId="13" xfId="0" applyNumberFormat="1" applyFont="1" applyFill="1" applyBorder="1" applyAlignment="1" applyProtection="1">
      <alignment vertical="top"/>
      <protection/>
    </xf>
    <xf numFmtId="0" fontId="5" fillId="0" borderId="13" xfId="0" applyNumberFormat="1" applyFont="1" applyFill="1" applyBorder="1" applyAlignment="1" applyProtection="1">
      <alignment vertical="top"/>
      <protection/>
    </xf>
    <xf numFmtId="4" fontId="4" fillId="0" borderId="3" xfId="0" applyNumberFormat="1" applyFont="1" applyFill="1" applyBorder="1" applyAlignment="1" applyProtection="1">
      <alignment horizontal="left" vertical="top" wrapText="1"/>
      <protection/>
    </xf>
    <xf numFmtId="0" fontId="4" fillId="0" borderId="19" xfId="0" applyNumberFormat="1" applyFont="1" applyFill="1" applyBorder="1" applyAlignment="1" applyProtection="1">
      <alignment horizontal="center" vertical="top"/>
      <protection/>
    </xf>
    <xf numFmtId="0" fontId="4" fillId="0" borderId="20" xfId="0" applyNumberFormat="1" applyFont="1" applyFill="1" applyBorder="1" applyAlignment="1" applyProtection="1">
      <alignment horizontal="center" vertical="top"/>
      <protection/>
    </xf>
    <xf numFmtId="0" fontId="4" fillId="0" borderId="6" xfId="0" applyNumberFormat="1" applyFont="1" applyFill="1" applyBorder="1" applyAlignment="1" applyProtection="1">
      <alignment vertical="top"/>
      <protection/>
    </xf>
    <xf numFmtId="1" fontId="4" fillId="0" borderId="21" xfId="0" applyNumberFormat="1" applyFont="1" applyFill="1" applyBorder="1" applyAlignment="1" applyProtection="1">
      <alignment horizontal="center" vertical="top"/>
      <protection/>
    </xf>
    <xf numFmtId="4" fontId="4" fillId="0" borderId="17" xfId="0" applyNumberFormat="1" applyFont="1" applyFill="1" applyBorder="1" applyAlignment="1" applyProtection="1">
      <alignment vertical="top" wrapText="1"/>
      <protection/>
    </xf>
    <xf numFmtId="0" fontId="4" fillId="0" borderId="13" xfId="0" applyNumberFormat="1" applyFont="1" applyFill="1" applyBorder="1" applyAlignment="1" applyProtection="1">
      <alignment vertical="top" wrapText="1"/>
      <protection/>
    </xf>
    <xf numFmtId="0" fontId="5" fillId="0" borderId="13" xfId="0" applyNumberFormat="1" applyFont="1" applyFill="1" applyBorder="1" applyAlignment="1" applyProtection="1">
      <alignment vertical="top" wrapText="1"/>
      <protection/>
    </xf>
    <xf numFmtId="164" fontId="5" fillId="0" borderId="13" xfId="0" applyNumberFormat="1" applyFont="1" applyFill="1" applyBorder="1" applyAlignment="1" applyProtection="1">
      <alignment horizontal="right" vertical="top"/>
      <protection/>
    </xf>
    <xf numFmtId="4" fontId="5" fillId="0" borderId="13" xfId="0" applyNumberFormat="1" applyFont="1" applyFill="1" applyBorder="1" applyAlignment="1" applyProtection="1">
      <alignment horizontal="right" vertical="top"/>
      <protection/>
    </xf>
    <xf numFmtId="1" fontId="5" fillId="0" borderId="13" xfId="0" applyNumberFormat="1" applyFont="1" applyFill="1" applyBorder="1" applyAlignment="1" applyProtection="1">
      <alignment horizontal="center" vertical="top"/>
      <protection/>
    </xf>
    <xf numFmtId="4" fontId="5" fillId="0" borderId="13" xfId="0" applyNumberFormat="1" applyFont="1" applyFill="1" applyBorder="1" applyAlignment="1" applyProtection="1">
      <alignment vertical="top"/>
      <protection/>
    </xf>
    <xf numFmtId="4" fontId="5" fillId="0" borderId="13" xfId="0" applyNumberFormat="1" applyFont="1" applyFill="1" applyBorder="1" applyAlignment="1" applyProtection="1">
      <alignment vertical="top" wrapText="1"/>
      <protection/>
    </xf>
    <xf numFmtId="0" fontId="5" fillId="0" borderId="13" xfId="0" applyNumberFormat="1" applyFont="1" applyFill="1" applyBorder="1" applyAlignment="1" applyProtection="1">
      <alignment horizontal="center" vertical="top"/>
      <protection/>
    </xf>
    <xf numFmtId="0" fontId="9" fillId="0" borderId="15" xfId="0" applyNumberFormat="1" applyFont="1" applyFill="1" applyBorder="1" applyAlignment="1" applyProtection="1">
      <alignment vertical="top" wrapText="1"/>
      <protection/>
    </xf>
    <xf numFmtId="0" fontId="4" fillId="0" borderId="15" xfId="0" applyNumberFormat="1" applyFont="1" applyFill="1" applyBorder="1" applyAlignment="1" applyProtection="1">
      <alignment vertical="top" wrapText="1"/>
      <protection/>
    </xf>
    <xf numFmtId="0" fontId="5" fillId="0" borderId="15" xfId="0" applyNumberFormat="1" applyFont="1" applyFill="1" applyBorder="1" applyAlignment="1" applyProtection="1">
      <alignment horizontal="center" vertical="top"/>
      <protection/>
    </xf>
    <xf numFmtId="4" fontId="5" fillId="0" borderId="15" xfId="0" applyNumberFormat="1" applyFont="1" applyFill="1" applyBorder="1" applyAlignment="1" applyProtection="1">
      <alignment vertical="top"/>
      <protection/>
    </xf>
    <xf numFmtId="0" fontId="9" fillId="0" borderId="3" xfId="0" applyNumberFormat="1" applyFont="1" applyFill="1" applyBorder="1" applyAlignment="1" applyProtection="1">
      <alignment vertical="top"/>
      <protection/>
    </xf>
    <xf numFmtId="0" fontId="5" fillId="0" borderId="3" xfId="0" applyNumberFormat="1" applyFont="1" applyFill="1" applyBorder="1" applyAlignment="1" applyProtection="1">
      <alignment vertical="top"/>
      <protection/>
    </xf>
    <xf numFmtId="164" fontId="5" fillId="0" borderId="3" xfId="0" applyNumberFormat="1" applyFont="1" applyFill="1" applyBorder="1" applyAlignment="1" applyProtection="1">
      <alignment horizontal="right" vertical="top"/>
      <protection/>
    </xf>
    <xf numFmtId="4" fontId="5" fillId="0" borderId="3" xfId="0" applyNumberFormat="1" applyFont="1" applyFill="1" applyBorder="1" applyAlignment="1" applyProtection="1">
      <alignment horizontal="right" vertical="top"/>
      <protection/>
    </xf>
    <xf numFmtId="0" fontId="5" fillId="0" borderId="3" xfId="0" applyNumberFormat="1" applyFont="1" applyFill="1" applyBorder="1" applyAlignment="1" applyProtection="1">
      <alignment horizontal="center" vertical="top"/>
      <protection/>
    </xf>
    <xf numFmtId="4" fontId="5" fillId="0" borderId="3" xfId="0" applyNumberFormat="1" applyFont="1" applyFill="1" applyBorder="1" applyAlignment="1" applyProtection="1">
      <alignment vertical="top"/>
      <protection/>
    </xf>
    <xf numFmtId="0" fontId="9" fillId="0" borderId="17" xfId="0" applyNumberFormat="1" applyFont="1" applyFill="1" applyBorder="1" applyAlignment="1" applyProtection="1">
      <alignment vertical="top"/>
      <protection/>
    </xf>
    <xf numFmtId="0" fontId="5" fillId="0" borderId="17" xfId="0" applyNumberFormat="1" applyFont="1" applyFill="1" applyBorder="1" applyAlignment="1" applyProtection="1">
      <alignment vertical="top"/>
      <protection/>
    </xf>
    <xf numFmtId="164" fontId="5" fillId="0" borderId="17" xfId="0" applyNumberFormat="1" applyFont="1" applyFill="1" applyBorder="1" applyAlignment="1" applyProtection="1">
      <alignment horizontal="right" vertical="top"/>
      <protection/>
    </xf>
    <xf numFmtId="4" fontId="5" fillId="0" borderId="17" xfId="0" applyNumberFormat="1" applyFont="1" applyFill="1" applyBorder="1" applyAlignment="1" applyProtection="1">
      <alignment horizontal="right" vertical="top"/>
      <protection/>
    </xf>
    <xf numFmtId="0" fontId="5" fillId="0" borderId="17" xfId="0" applyNumberFormat="1" applyFont="1" applyFill="1" applyBorder="1" applyAlignment="1" applyProtection="1">
      <alignment horizontal="center" vertical="top"/>
      <protection/>
    </xf>
    <xf numFmtId="4" fontId="5" fillId="0" borderId="17" xfId="0" applyNumberFormat="1" applyFont="1" applyFill="1" applyBorder="1" applyAlignment="1" applyProtection="1">
      <alignment vertical="top"/>
      <protection/>
    </xf>
    <xf numFmtId="49" fontId="4" fillId="0" borderId="3" xfId="0" applyNumberFormat="1" applyFont="1" applyFill="1" applyBorder="1" applyAlignment="1" applyProtection="1">
      <alignment vertical="top"/>
      <protection/>
    </xf>
    <xf numFmtId="0" fontId="4" fillId="0" borderId="17" xfId="0" applyNumberFormat="1" applyFont="1" applyFill="1" applyBorder="1" applyAlignment="1" applyProtection="1">
      <alignment horizontal="center" vertical="top"/>
      <protection/>
    </xf>
    <xf numFmtId="0" fontId="9" fillId="0" borderId="13" xfId="0" applyNumberFormat="1" applyFont="1" applyFill="1" applyBorder="1" applyAlignment="1" applyProtection="1">
      <alignment vertical="top" wrapText="1"/>
      <protection/>
    </xf>
    <xf numFmtId="4" fontId="4" fillId="0" borderId="13" xfId="0" applyNumberFormat="1" applyFont="1" applyFill="1" applyBorder="1" applyAlignment="1" applyProtection="1">
      <alignment vertical="top" wrapText="1"/>
      <protection/>
    </xf>
    <xf numFmtId="164" fontId="5" fillId="0" borderId="13" xfId="0" applyNumberFormat="1" applyFont="1" applyFill="1" applyBorder="1" applyAlignment="1" applyProtection="1">
      <alignment vertical="top"/>
      <protection/>
    </xf>
    <xf numFmtId="4" fontId="4" fillId="0" borderId="15" xfId="0" applyNumberFormat="1" applyFont="1" applyFill="1" applyBorder="1" applyAlignment="1" applyProtection="1">
      <alignment vertical="top" wrapText="1"/>
      <protection/>
    </xf>
    <xf numFmtId="4" fontId="4" fillId="0" borderId="3" xfId="0" applyNumberFormat="1" applyFont="1" applyFill="1" applyBorder="1" applyAlignment="1" applyProtection="1">
      <alignment horizontal="right" vertical="top" wrapText="1"/>
      <protection/>
    </xf>
    <xf numFmtId="0" fontId="10" fillId="0" borderId="17" xfId="0" applyNumberFormat="1" applyFont="1" applyFill="1" applyBorder="1" applyAlignment="1" applyProtection="1">
      <alignment vertical="top" wrapText="1"/>
      <protection/>
    </xf>
    <xf numFmtId="164" fontId="4" fillId="0" borderId="17" xfId="0" applyNumberFormat="1" applyFont="1" applyFill="1" applyBorder="1" applyAlignment="1" applyProtection="1">
      <alignment vertical="top"/>
      <protection/>
    </xf>
    <xf numFmtId="0" fontId="5" fillId="0" borderId="17" xfId="0" applyNumberFormat="1" applyFont="1" applyFill="1" applyBorder="1" applyAlignment="1" applyProtection="1">
      <alignment vertical="top" wrapText="1"/>
      <protection/>
    </xf>
    <xf numFmtId="164" fontId="5" fillId="0" borderId="17" xfId="0" applyNumberFormat="1" applyFont="1" applyFill="1" applyBorder="1" applyAlignment="1" applyProtection="1">
      <alignment vertical="top"/>
      <protection/>
    </xf>
    <xf numFmtId="4" fontId="5" fillId="0" borderId="17" xfId="0" applyNumberFormat="1" applyFont="1" applyFill="1" applyBorder="1" applyAlignment="1" applyProtection="1">
      <alignment vertical="top" wrapText="1"/>
      <protection/>
    </xf>
    <xf numFmtId="0" fontId="5" fillId="0" borderId="17" xfId="0" applyNumberFormat="1" applyFont="1" applyFill="1" applyBorder="1" applyAlignment="1" applyProtection="1">
      <alignment horizontal="right" vertical="top"/>
      <protection/>
    </xf>
    <xf numFmtId="4" fontId="5" fillId="0" borderId="17" xfId="0" applyNumberFormat="1" applyFont="1" applyFill="1" applyBorder="1" applyAlignment="1" applyProtection="1">
      <alignment horizontal="center" vertical="top"/>
      <protection/>
    </xf>
    <xf numFmtId="3" fontId="5" fillId="0" borderId="13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3" fillId="0" borderId="2" xfId="0" applyFont="1" applyBorder="1" applyAlignment="1">
      <alignment/>
    </xf>
    <xf numFmtId="4" fontId="3" fillId="0" borderId="22" xfId="0" applyNumberFormat="1" applyFont="1" applyBorder="1" applyAlignment="1">
      <alignment/>
    </xf>
    <xf numFmtId="0" fontId="3" fillId="0" borderId="23" xfId="0" applyFont="1" applyBorder="1" applyAlignment="1">
      <alignment horizontal="left" vertical="center" wrapText="1"/>
    </xf>
    <xf numFmtId="4" fontId="3" fillId="0" borderId="7" xfId="0" applyNumberFormat="1" applyFont="1" applyBorder="1" applyAlignment="1">
      <alignment/>
    </xf>
    <xf numFmtId="0" fontId="3" fillId="0" borderId="4" xfId="0" applyFont="1" applyBorder="1" applyAlignment="1">
      <alignment/>
    </xf>
    <xf numFmtId="4" fontId="2" fillId="0" borderId="24" xfId="0" applyNumberFormat="1" applyFont="1" applyBorder="1" applyAlignment="1">
      <alignment/>
    </xf>
    <xf numFmtId="164" fontId="4" fillId="0" borderId="13" xfId="0" applyNumberFormat="1" applyFont="1" applyFill="1" applyBorder="1" applyAlignment="1" applyProtection="1">
      <alignment horizontal="right" vertical="top"/>
      <protection/>
    </xf>
    <xf numFmtId="0" fontId="4" fillId="0" borderId="6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0" fontId="16" fillId="0" borderId="0" xfId="0" applyNumberFormat="1" applyFont="1" applyFill="1" applyBorder="1" applyAlignment="1" applyProtection="1">
      <alignment vertical="top"/>
      <protection/>
    </xf>
    <xf numFmtId="0" fontId="0" fillId="0" borderId="0" xfId="0" applyAlignment="1">
      <alignment horizontal="left" wrapText="1"/>
    </xf>
    <xf numFmtId="0" fontId="0" fillId="0" borderId="25" xfId="0" applyBorder="1" applyAlignment="1">
      <alignment horizontal="left" wrapText="1"/>
    </xf>
    <xf numFmtId="0" fontId="0" fillId="0" borderId="0" xfId="0" applyAlignment="1">
      <alignment vertical="center" wrapText="1"/>
    </xf>
    <xf numFmtId="4" fontId="4" fillId="0" borderId="13" xfId="0" applyNumberFormat="1" applyFont="1" applyFill="1" applyBorder="1" applyAlignment="1" applyProtection="1">
      <alignment horizontal="right" vertical="center" wrapText="1"/>
      <protection/>
    </xf>
    <xf numFmtId="4" fontId="4" fillId="0" borderId="26" xfId="0" applyNumberFormat="1" applyFont="1" applyFill="1" applyBorder="1" applyAlignment="1" applyProtection="1">
      <alignment horizontal="right" vertical="center"/>
      <protection/>
    </xf>
    <xf numFmtId="4" fontId="4" fillId="0" borderId="15" xfId="0" applyNumberFormat="1" applyFont="1" applyFill="1" applyBorder="1" applyAlignment="1" applyProtection="1">
      <alignment horizontal="right" vertical="center" wrapText="1"/>
      <protection/>
    </xf>
    <xf numFmtId="4" fontId="4" fillId="0" borderId="16" xfId="0" applyNumberFormat="1" applyFont="1" applyFill="1" applyBorder="1" applyAlignment="1" applyProtection="1">
      <alignment horizontal="right" vertical="center"/>
      <protection/>
    </xf>
    <xf numFmtId="0" fontId="4" fillId="0" borderId="13" xfId="0" applyNumberFormat="1" applyFont="1" applyFill="1" applyBorder="1" applyAlignment="1" applyProtection="1">
      <alignment horizontal="right" vertical="center" wrapText="1"/>
      <protection/>
    </xf>
    <xf numFmtId="4" fontId="4" fillId="0" borderId="13" xfId="0" applyNumberFormat="1" applyFont="1" applyFill="1" applyBorder="1" applyAlignment="1" applyProtection="1">
      <alignment horizontal="right" vertical="center"/>
      <protection/>
    </xf>
    <xf numFmtId="0" fontId="4" fillId="0" borderId="15" xfId="0" applyNumberFormat="1" applyFont="1" applyFill="1" applyBorder="1" applyAlignment="1" applyProtection="1">
      <alignment horizontal="right" vertical="center" wrapText="1"/>
      <protection/>
    </xf>
    <xf numFmtId="4" fontId="4" fillId="0" borderId="15" xfId="0" applyNumberFormat="1" applyFont="1" applyFill="1" applyBorder="1" applyAlignment="1" applyProtection="1">
      <alignment horizontal="right" vertical="center"/>
      <protection/>
    </xf>
    <xf numFmtId="0" fontId="5" fillId="0" borderId="15" xfId="0" applyNumberFormat="1" applyFont="1" applyFill="1" applyBorder="1" applyAlignment="1" applyProtection="1">
      <alignment horizontal="right" vertical="center" wrapText="1"/>
      <protection/>
    </xf>
    <xf numFmtId="4" fontId="5" fillId="0" borderId="15" xfId="0" applyNumberFormat="1" applyFont="1" applyFill="1" applyBorder="1" applyAlignment="1" applyProtection="1">
      <alignment horizontal="right" vertical="center"/>
      <protection/>
    </xf>
    <xf numFmtId="4" fontId="5" fillId="0" borderId="15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/>
    </xf>
    <xf numFmtId="0" fontId="2" fillId="0" borderId="27" xfId="0" applyFont="1" applyBorder="1" applyAlignment="1">
      <alignment/>
    </xf>
    <xf numFmtId="0" fontId="3" fillId="0" borderId="28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3" fillId="0" borderId="30" xfId="0" applyFont="1" applyBorder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11" xfId="0" applyFont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4" fillId="0" borderId="25" xfId="0" applyNumberFormat="1" applyFont="1" applyFill="1" applyBorder="1" applyAlignment="1" applyProtection="1">
      <alignment vertical="center" wrapText="1"/>
      <protection/>
    </xf>
    <xf numFmtId="4" fontId="4" fillId="0" borderId="0" xfId="0" applyNumberFormat="1" applyFont="1" applyFill="1" applyBorder="1" applyAlignment="1" applyProtection="1">
      <alignment horizontal="right" vertical="top"/>
      <protection/>
    </xf>
    <xf numFmtId="4" fontId="4" fillId="0" borderId="0" xfId="0" applyNumberFormat="1" applyFont="1" applyFill="1" applyBorder="1" applyAlignment="1" applyProtection="1">
      <alignment vertical="top"/>
      <protection/>
    </xf>
    <xf numFmtId="4" fontId="5" fillId="0" borderId="17" xfId="0" applyNumberFormat="1" applyFont="1" applyFill="1" applyBorder="1" applyAlignment="1" applyProtection="1">
      <alignment vertical="top" shrinkToFit="1"/>
      <protection/>
    </xf>
    <xf numFmtId="4" fontId="5" fillId="0" borderId="17" xfId="0" applyNumberFormat="1" applyFont="1" applyFill="1" applyBorder="1" applyAlignment="1" applyProtection="1">
      <alignment horizontal="center" vertical="top" shrinkToFit="1"/>
      <protection/>
    </xf>
    <xf numFmtId="0" fontId="4" fillId="0" borderId="31" xfId="0" applyNumberFormat="1" applyFont="1" applyFill="1" applyBorder="1" applyAlignment="1" applyProtection="1">
      <alignment vertical="top"/>
      <protection/>
    </xf>
    <xf numFmtId="4" fontId="4" fillId="0" borderId="31" xfId="0" applyNumberFormat="1" applyFont="1" applyFill="1" applyBorder="1" applyAlignment="1" applyProtection="1">
      <alignment horizontal="right" vertical="top"/>
      <protection/>
    </xf>
    <xf numFmtId="0" fontId="4" fillId="0" borderId="19" xfId="0" applyNumberFormat="1" applyFont="1" applyFill="1" applyBorder="1" applyAlignment="1" applyProtection="1">
      <alignment vertical="top"/>
      <protection/>
    </xf>
    <xf numFmtId="0" fontId="4" fillId="0" borderId="20" xfId="0" applyNumberFormat="1" applyFont="1" applyFill="1" applyBorder="1" applyAlignment="1" applyProtection="1">
      <alignment vertical="top"/>
      <protection/>
    </xf>
    <xf numFmtId="0" fontId="4" fillId="0" borderId="18" xfId="0" applyNumberFormat="1" applyFont="1" applyFill="1" applyBorder="1" applyAlignment="1" applyProtection="1">
      <alignment vertical="top"/>
      <protection/>
    </xf>
    <xf numFmtId="4" fontId="4" fillId="0" borderId="25" xfId="0" applyNumberFormat="1" applyFont="1" applyFill="1" applyBorder="1" applyAlignment="1" applyProtection="1">
      <alignment horizontal="right" vertical="top"/>
      <protection/>
    </xf>
    <xf numFmtId="4" fontId="4" fillId="0" borderId="25" xfId="0" applyNumberFormat="1" applyFont="1" applyFill="1" applyBorder="1" applyAlignment="1" applyProtection="1">
      <alignment vertical="top"/>
      <protection/>
    </xf>
    <xf numFmtId="0" fontId="4" fillId="0" borderId="21" xfId="0" applyNumberFormat="1" applyFont="1" applyFill="1" applyBorder="1" applyAlignment="1" applyProtection="1">
      <alignment vertical="top" wrapText="1"/>
      <protection/>
    </xf>
    <xf numFmtId="0" fontId="3" fillId="0" borderId="12" xfId="0" applyFont="1" applyBorder="1" applyAlignment="1">
      <alignment/>
    </xf>
    <xf numFmtId="0" fontId="3" fillId="0" borderId="9" xfId="0" applyFont="1" applyBorder="1" applyAlignment="1">
      <alignment wrapText="1"/>
    </xf>
    <xf numFmtId="4" fontId="3" fillId="0" borderId="9" xfId="0" applyNumberFormat="1" applyFont="1" applyBorder="1" applyAlignment="1">
      <alignment/>
    </xf>
    <xf numFmtId="4" fontId="3" fillId="0" borderId="22" xfId="0" applyNumberFormat="1" applyFont="1" applyBorder="1" applyAlignment="1">
      <alignment/>
    </xf>
    <xf numFmtId="4" fontId="2" fillId="0" borderId="27" xfId="0" applyNumberFormat="1" applyFont="1" applyBorder="1" applyAlignment="1">
      <alignment/>
    </xf>
    <xf numFmtId="4" fontId="2" fillId="0" borderId="32" xfId="0" applyNumberFormat="1" applyFont="1" applyBorder="1" applyAlignment="1">
      <alignment/>
    </xf>
    <xf numFmtId="4" fontId="3" fillId="0" borderId="27" xfId="0" applyNumberFormat="1" applyFont="1" applyBorder="1" applyAlignment="1">
      <alignment/>
    </xf>
    <xf numFmtId="4" fontId="3" fillId="0" borderId="32" xfId="0" applyNumberFormat="1" applyFont="1" applyBorder="1" applyAlignment="1">
      <alignment/>
    </xf>
    <xf numFmtId="4" fontId="3" fillId="0" borderId="24" xfId="0" applyNumberFormat="1" applyFont="1" applyBorder="1" applyAlignment="1">
      <alignment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5" fillId="0" borderId="26" xfId="0" applyNumberFormat="1" applyFont="1" applyFill="1" applyBorder="1" applyAlignment="1" applyProtection="1">
      <alignment horizontal="center" vertical="center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 vertical="center" wrapText="1"/>
    </xf>
    <xf numFmtId="0" fontId="20" fillId="0" borderId="0" xfId="0" applyFont="1" applyAlignment="1">
      <alignment vertical="center" wrapText="1"/>
    </xf>
    <xf numFmtId="0" fontId="11" fillId="0" borderId="0" xfId="0" applyFont="1" applyAlignment="1">
      <alignment wrapText="1"/>
    </xf>
    <xf numFmtId="0" fontId="20" fillId="0" borderId="0" xfId="0" applyFont="1" applyAlignment="1">
      <alignment wrapText="1"/>
    </xf>
    <xf numFmtId="0" fontId="2" fillId="0" borderId="33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  <xf numFmtId="4" fontId="2" fillId="0" borderId="33" xfId="0" applyNumberFormat="1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4" fontId="2" fillId="0" borderId="33" xfId="0" applyNumberFormat="1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4" fontId="2" fillId="0" borderId="28" xfId="0" applyNumberFormat="1" applyFont="1" applyBorder="1" applyAlignment="1">
      <alignment horizontal="left" vertical="center" wrapText="1"/>
    </xf>
    <xf numFmtId="0" fontId="3" fillId="0" borderId="33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4" fontId="3" fillId="0" borderId="33" xfId="0" applyNumberFormat="1" applyFont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4" fontId="3" fillId="0" borderId="33" xfId="0" applyNumberFormat="1" applyFont="1" applyBorder="1" applyAlignment="1">
      <alignment horizontal="left"/>
    </xf>
    <xf numFmtId="0" fontId="3" fillId="0" borderId="28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01"/>
  <sheetViews>
    <sheetView workbookViewId="0" topLeftCell="A1">
      <selection activeCell="A1" sqref="A1:K72"/>
    </sheetView>
  </sheetViews>
  <sheetFormatPr defaultColWidth="9.00390625" defaultRowHeight="12.75"/>
  <cols>
    <col min="1" max="1" width="17.25390625" style="31" customWidth="1"/>
    <col min="2" max="2" width="13.25390625" style="31" customWidth="1"/>
    <col min="3" max="3" width="20.375" style="31" customWidth="1"/>
    <col min="4" max="7" width="11.75390625" style="31" customWidth="1"/>
    <col min="8" max="8" width="12.75390625" style="31" bestFit="1" customWidth="1"/>
    <col min="9" max="9" width="13.25390625" style="31" hidden="1" customWidth="1"/>
    <col min="10" max="10" width="14.75390625" style="31" hidden="1" customWidth="1"/>
    <col min="11" max="11" width="37.875" style="31" customWidth="1"/>
    <col min="12" max="16384" width="9.125" style="31" customWidth="1"/>
  </cols>
  <sheetData>
    <row r="1" spans="9:11" ht="15.75" customHeight="1">
      <c r="I1" s="171"/>
      <c r="J1" s="171"/>
      <c r="K1" s="199" t="s">
        <v>201</v>
      </c>
    </row>
    <row r="2" spans="7:11" ht="15.75" customHeight="1">
      <c r="G2" s="170"/>
      <c r="H2" s="171"/>
      <c r="I2" s="171"/>
      <c r="J2" s="171"/>
      <c r="K2" s="200"/>
    </row>
    <row r="3" spans="7:11" ht="15" customHeight="1">
      <c r="G3" s="170"/>
      <c r="H3" s="171"/>
      <c r="I3" s="171"/>
      <c r="J3" s="171"/>
      <c r="K3" s="200"/>
    </row>
    <row r="4" spans="7:11" ht="15" customHeight="1">
      <c r="G4" s="1"/>
      <c r="H4" s="1"/>
      <c r="I4" s="143"/>
      <c r="J4" s="143"/>
      <c r="K4" s="143"/>
    </row>
    <row r="5" spans="8:11" ht="17.25" customHeight="1">
      <c r="H5" s="1"/>
      <c r="I5" s="1"/>
      <c r="J5" s="1"/>
      <c r="K5" s="141"/>
    </row>
    <row r="6" spans="2:11" ht="16.5" customHeight="1">
      <c r="B6" s="139" t="s">
        <v>57</v>
      </c>
      <c r="C6" s="140"/>
      <c r="D6" s="140"/>
      <c r="E6" s="140"/>
      <c r="F6" s="140"/>
      <c r="H6" s="141"/>
      <c r="I6" s="141"/>
      <c r="J6" s="141"/>
      <c r="K6" s="141"/>
    </row>
    <row r="7" spans="2:11" ht="13.5" customHeight="1">
      <c r="B7" s="139"/>
      <c r="C7" s="140"/>
      <c r="D7" s="140"/>
      <c r="E7" s="140"/>
      <c r="F7" s="140"/>
      <c r="H7" s="141"/>
      <c r="I7" s="141"/>
      <c r="J7" s="141"/>
      <c r="K7" s="141"/>
    </row>
    <row r="8" spans="2:11" ht="14.25" customHeight="1">
      <c r="B8" s="139"/>
      <c r="C8" s="140"/>
      <c r="D8" s="140"/>
      <c r="E8" s="140"/>
      <c r="F8" s="140"/>
      <c r="H8" s="141"/>
      <c r="I8" s="141"/>
      <c r="J8" s="141"/>
      <c r="K8" s="141"/>
    </row>
    <row r="9" spans="1:11" ht="15.75" customHeight="1">
      <c r="A9" s="32"/>
      <c r="H9" s="142"/>
      <c r="I9" s="142"/>
      <c r="J9" s="142"/>
      <c r="K9" s="142"/>
    </row>
    <row r="10" spans="1:30" ht="20.25" customHeight="1">
      <c r="A10" s="201" t="s">
        <v>58</v>
      </c>
      <c r="B10" s="201" t="s">
        <v>59</v>
      </c>
      <c r="C10" s="201" t="s">
        <v>60</v>
      </c>
      <c r="D10" s="196" t="s">
        <v>61</v>
      </c>
      <c r="E10" s="196"/>
      <c r="F10" s="196" t="s">
        <v>62</v>
      </c>
      <c r="G10" s="196"/>
      <c r="H10" s="197"/>
      <c r="I10" s="35"/>
      <c r="J10" s="198" t="s">
        <v>63</v>
      </c>
      <c r="K10" s="196" t="s">
        <v>194</v>
      </c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</row>
    <row r="11" spans="1:30" ht="39.75">
      <c r="A11" s="201"/>
      <c r="B11" s="201"/>
      <c r="C11" s="201"/>
      <c r="D11" s="33" t="s">
        <v>64</v>
      </c>
      <c r="E11" s="34" t="s">
        <v>65</v>
      </c>
      <c r="F11" s="34" t="s">
        <v>195</v>
      </c>
      <c r="G11" s="33" t="s">
        <v>66</v>
      </c>
      <c r="H11" s="33" t="s">
        <v>67</v>
      </c>
      <c r="I11" s="37" t="s">
        <v>68</v>
      </c>
      <c r="J11" s="194"/>
      <c r="K11" s="195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</row>
    <row r="12" spans="1:11" ht="38.25">
      <c r="A12" s="39" t="s">
        <v>69</v>
      </c>
      <c r="B12" s="40" t="s">
        <v>70</v>
      </c>
      <c r="C12" s="40" t="s">
        <v>71</v>
      </c>
      <c r="D12" s="148">
        <v>0.3806</v>
      </c>
      <c r="E12" s="149">
        <v>45672</v>
      </c>
      <c r="F12" s="41">
        <v>5</v>
      </c>
      <c r="G12" s="144">
        <v>2692</v>
      </c>
      <c r="H12" s="145">
        <v>751665</v>
      </c>
      <c r="I12" s="42">
        <v>1590438.4</v>
      </c>
      <c r="J12" s="43"/>
      <c r="K12" s="39"/>
    </row>
    <row r="13" spans="1:11" ht="18" customHeight="1">
      <c r="A13" s="44"/>
      <c r="B13" s="40" t="s">
        <v>72</v>
      </c>
      <c r="C13" s="40" t="s">
        <v>73</v>
      </c>
      <c r="D13" s="148">
        <v>0.0914</v>
      </c>
      <c r="E13" s="149">
        <v>10968</v>
      </c>
      <c r="F13" s="41">
        <v>1</v>
      </c>
      <c r="G13" s="144">
        <v>598</v>
      </c>
      <c r="H13" s="145">
        <v>150869</v>
      </c>
      <c r="I13" s="45"/>
      <c r="J13" s="46"/>
      <c r="K13" s="47"/>
    </row>
    <row r="14" spans="1:11" ht="18" customHeight="1">
      <c r="A14" s="48"/>
      <c r="B14" s="39" t="s">
        <v>186</v>
      </c>
      <c r="C14" s="39" t="s">
        <v>188</v>
      </c>
      <c r="D14" s="150">
        <v>0.2789</v>
      </c>
      <c r="E14" s="151">
        <v>18250</v>
      </c>
      <c r="F14" s="49">
        <v>1</v>
      </c>
      <c r="G14" s="146">
        <v>1825</v>
      </c>
      <c r="H14" s="147" t="s">
        <v>187</v>
      </c>
      <c r="I14" s="45"/>
      <c r="J14" s="46"/>
      <c r="K14" s="47"/>
    </row>
    <row r="15" spans="1:11" ht="18" customHeight="1">
      <c r="A15" s="48"/>
      <c r="B15" s="39" t="s">
        <v>74</v>
      </c>
      <c r="C15" s="39"/>
      <c r="D15" s="150">
        <v>0.23</v>
      </c>
      <c r="E15" s="151">
        <v>13800</v>
      </c>
      <c r="F15" s="49"/>
      <c r="G15" s="146"/>
      <c r="H15" s="147"/>
      <c r="I15" s="50"/>
      <c r="J15" s="51"/>
      <c r="K15" s="52"/>
    </row>
    <row r="16" spans="1:11" ht="18" customHeight="1">
      <c r="A16" s="38"/>
      <c r="B16" s="39"/>
      <c r="C16" s="38" t="s">
        <v>75</v>
      </c>
      <c r="D16" s="152">
        <f aca="true" t="shared" si="0" ref="D16:J16">D12+D13</f>
        <v>0.472</v>
      </c>
      <c r="E16" s="153">
        <f>E12+E13+E15+E14</f>
        <v>88690</v>
      </c>
      <c r="F16" s="53">
        <f t="shared" si="0"/>
        <v>6</v>
      </c>
      <c r="G16" s="154">
        <f t="shared" si="0"/>
        <v>3290</v>
      </c>
      <c r="H16" s="153">
        <f t="shared" si="0"/>
        <v>902534</v>
      </c>
      <c r="I16" s="54">
        <f t="shared" si="0"/>
        <v>1590438.4</v>
      </c>
      <c r="J16" s="54">
        <f t="shared" si="0"/>
        <v>0</v>
      </c>
      <c r="K16" s="47"/>
    </row>
    <row r="17" spans="1:11" ht="15" customHeight="1">
      <c r="A17" s="55" t="s">
        <v>76</v>
      </c>
      <c r="B17" s="56" t="s">
        <v>77</v>
      </c>
      <c r="C17" s="55" t="s">
        <v>78</v>
      </c>
      <c r="D17" s="57">
        <v>2.5292</v>
      </c>
      <c r="E17" s="58">
        <v>247936</v>
      </c>
      <c r="F17" s="59">
        <v>1</v>
      </c>
      <c r="G17" s="60">
        <v>4009</v>
      </c>
      <c r="H17" s="60">
        <v>970348</v>
      </c>
      <c r="I17" s="60">
        <v>895706.22</v>
      </c>
      <c r="J17" s="61">
        <v>549799</v>
      </c>
      <c r="K17" s="72"/>
    </row>
    <row r="18" spans="1:11" ht="12.75">
      <c r="A18" s="62" t="s">
        <v>79</v>
      </c>
      <c r="B18" s="62" t="s">
        <v>80</v>
      </c>
      <c r="C18" s="62" t="s">
        <v>81</v>
      </c>
      <c r="D18" s="63"/>
      <c r="E18" s="64"/>
      <c r="F18" s="65"/>
      <c r="G18" s="66"/>
      <c r="H18" s="66"/>
      <c r="I18" s="66"/>
      <c r="J18" s="66"/>
      <c r="K18" s="62"/>
    </row>
    <row r="19" spans="1:11" ht="16.5" customHeight="1">
      <c r="A19" s="67"/>
      <c r="B19" s="67"/>
      <c r="C19" s="67" t="s">
        <v>82</v>
      </c>
      <c r="D19" s="68"/>
      <c r="E19" s="69"/>
      <c r="F19" s="70"/>
      <c r="G19" s="71"/>
      <c r="H19" s="71"/>
      <c r="I19" s="71"/>
      <c r="J19" s="71"/>
      <c r="K19" s="67"/>
    </row>
    <row r="20" spans="1:11" ht="12.75">
      <c r="A20" s="72" t="s">
        <v>83</v>
      </c>
      <c r="B20" s="72" t="s">
        <v>84</v>
      </c>
      <c r="C20" s="72" t="s">
        <v>85</v>
      </c>
      <c r="D20" s="73" t="s">
        <v>86</v>
      </c>
      <c r="E20" s="74">
        <v>27716</v>
      </c>
      <c r="F20" s="75">
        <v>1</v>
      </c>
      <c r="G20" s="61">
        <v>1659.87</v>
      </c>
      <c r="H20" s="61">
        <v>591401.31</v>
      </c>
      <c r="I20" s="61">
        <v>703503.14</v>
      </c>
      <c r="J20" s="61">
        <v>84049.18</v>
      </c>
      <c r="K20" s="72"/>
    </row>
    <row r="21" spans="1:11" ht="15.75" customHeight="1">
      <c r="A21" s="62" t="s">
        <v>87</v>
      </c>
      <c r="B21" s="62"/>
      <c r="C21" s="62" t="s">
        <v>88</v>
      </c>
      <c r="D21" s="76"/>
      <c r="E21" s="64"/>
      <c r="F21" s="65"/>
      <c r="G21" s="66"/>
      <c r="H21" s="66"/>
      <c r="I21" s="66"/>
      <c r="J21" s="66"/>
      <c r="K21" s="62"/>
    </row>
    <row r="22" spans="1:11" ht="16.5" customHeight="1">
      <c r="A22" s="67" t="s">
        <v>79</v>
      </c>
      <c r="B22" s="67"/>
      <c r="C22" s="77" t="s">
        <v>89</v>
      </c>
      <c r="D22" s="68"/>
      <c r="E22" s="69"/>
      <c r="F22" s="70"/>
      <c r="G22" s="71"/>
      <c r="H22" s="71"/>
      <c r="I22" s="71"/>
      <c r="J22" s="71"/>
      <c r="K22" s="67"/>
    </row>
    <row r="23" spans="1:11" ht="12.75">
      <c r="A23" s="72" t="s">
        <v>83</v>
      </c>
      <c r="B23" s="72" t="s">
        <v>90</v>
      </c>
      <c r="C23" s="72" t="s">
        <v>91</v>
      </c>
      <c r="D23" s="78">
        <v>0.5109</v>
      </c>
      <c r="E23" s="74">
        <v>71526</v>
      </c>
      <c r="F23" s="75">
        <v>1</v>
      </c>
      <c r="G23" s="61">
        <v>2450.74</v>
      </c>
      <c r="H23" s="61">
        <v>4850168.93</v>
      </c>
      <c r="I23" s="61">
        <v>5117387.05</v>
      </c>
      <c r="J23" s="74">
        <v>358587.24</v>
      </c>
      <c r="K23" s="72"/>
    </row>
    <row r="24" spans="1:11" ht="12.75">
      <c r="A24" s="62" t="s">
        <v>87</v>
      </c>
      <c r="B24" s="62"/>
      <c r="C24" s="62" t="s">
        <v>92</v>
      </c>
      <c r="D24" s="79"/>
      <c r="E24" s="64"/>
      <c r="F24" s="65"/>
      <c r="G24" s="66"/>
      <c r="H24" s="66"/>
      <c r="I24" s="66"/>
      <c r="J24" s="64"/>
      <c r="K24" s="62"/>
    </row>
    <row r="25" spans="1:11" ht="12.75">
      <c r="A25" s="62" t="s">
        <v>79</v>
      </c>
      <c r="B25" s="62"/>
      <c r="C25" s="62" t="s">
        <v>193</v>
      </c>
      <c r="D25" s="79"/>
      <c r="E25" s="64"/>
      <c r="F25" s="65"/>
      <c r="G25" s="64"/>
      <c r="H25" s="66"/>
      <c r="I25" s="66"/>
      <c r="J25" s="64"/>
      <c r="K25" s="62"/>
    </row>
    <row r="26" spans="1:11" ht="12.75">
      <c r="A26" s="62"/>
      <c r="B26" s="62"/>
      <c r="C26" s="62"/>
      <c r="D26" s="79"/>
      <c r="E26" s="64"/>
      <c r="F26" s="65"/>
      <c r="G26" s="64"/>
      <c r="H26" s="66"/>
      <c r="I26" s="66"/>
      <c r="J26" s="64"/>
      <c r="K26" s="62"/>
    </row>
    <row r="27" spans="1:11" ht="12.75">
      <c r="A27" s="62"/>
      <c r="B27" s="62"/>
      <c r="C27" s="62" t="s">
        <v>93</v>
      </c>
      <c r="D27" s="79"/>
      <c r="E27" s="64"/>
      <c r="F27" s="65"/>
      <c r="G27" s="64"/>
      <c r="H27" s="66"/>
      <c r="I27" s="66"/>
      <c r="J27" s="64"/>
      <c r="K27" s="62"/>
    </row>
    <row r="28" spans="1:11" ht="12.75">
      <c r="A28" s="62"/>
      <c r="B28" s="62"/>
      <c r="C28" s="62" t="s">
        <v>94</v>
      </c>
      <c r="D28" s="79">
        <v>0.2023</v>
      </c>
      <c r="E28" s="64">
        <v>20230</v>
      </c>
      <c r="F28" s="65">
        <v>1</v>
      </c>
      <c r="G28" s="64">
        <v>452.3</v>
      </c>
      <c r="H28" s="66">
        <v>312326</v>
      </c>
      <c r="I28" s="66"/>
      <c r="J28" s="64"/>
      <c r="K28" s="62" t="s">
        <v>95</v>
      </c>
    </row>
    <row r="29" spans="1:11" ht="12.75">
      <c r="A29" s="62"/>
      <c r="B29" s="62"/>
      <c r="C29" s="62"/>
      <c r="D29" s="79"/>
      <c r="E29" s="64"/>
      <c r="F29" s="65"/>
      <c r="G29" s="64"/>
      <c r="H29" s="64"/>
      <c r="I29" s="64"/>
      <c r="J29" s="64"/>
      <c r="K29" s="62" t="s">
        <v>96</v>
      </c>
    </row>
    <row r="30" spans="1:11" ht="12.75">
      <c r="A30" s="62"/>
      <c r="B30" s="62"/>
      <c r="C30" s="62" t="s">
        <v>97</v>
      </c>
      <c r="D30" s="79"/>
      <c r="E30" s="64"/>
      <c r="F30" s="65"/>
      <c r="G30" s="64"/>
      <c r="H30" s="64"/>
      <c r="I30" s="64"/>
      <c r="J30" s="64"/>
      <c r="K30" s="62"/>
    </row>
    <row r="31" spans="1:11" ht="12.75">
      <c r="A31" s="62"/>
      <c r="B31" s="62" t="s">
        <v>98</v>
      </c>
      <c r="C31" s="62" t="s">
        <v>92</v>
      </c>
      <c r="D31" s="79">
        <v>1.458</v>
      </c>
      <c r="E31" s="64">
        <v>204120</v>
      </c>
      <c r="F31" s="65">
        <v>1</v>
      </c>
      <c r="G31" s="64">
        <v>700.6</v>
      </c>
      <c r="H31" s="64">
        <v>250899</v>
      </c>
      <c r="I31" s="64"/>
      <c r="J31" s="64"/>
      <c r="K31" s="62"/>
    </row>
    <row r="32" spans="1:11" ht="12.75">
      <c r="A32" s="62"/>
      <c r="B32" s="62"/>
      <c r="C32" s="62" t="s">
        <v>99</v>
      </c>
      <c r="D32" s="79"/>
      <c r="E32" s="64"/>
      <c r="F32" s="65"/>
      <c r="G32" s="64"/>
      <c r="H32" s="64"/>
      <c r="I32" s="64"/>
      <c r="J32" s="64"/>
      <c r="K32" s="62"/>
    </row>
    <row r="33" spans="1:11" ht="13.5" customHeight="1">
      <c r="A33" s="67"/>
      <c r="B33" s="67"/>
      <c r="C33" s="67"/>
      <c r="D33" s="123"/>
      <c r="E33" s="69"/>
      <c r="F33" s="70"/>
      <c r="G33" s="69"/>
      <c r="H33" s="69"/>
      <c r="I33" s="69"/>
      <c r="J33" s="69"/>
      <c r="K33" s="67"/>
    </row>
    <row r="34" spans="1:11" ht="13.5" customHeight="1">
      <c r="A34" s="55" t="s">
        <v>83</v>
      </c>
      <c r="B34" s="72" t="s">
        <v>100</v>
      </c>
      <c r="C34" s="177" t="s">
        <v>101</v>
      </c>
      <c r="D34" s="73">
        <v>7.4658</v>
      </c>
      <c r="E34" s="178">
        <v>37142</v>
      </c>
      <c r="F34" s="80">
        <v>19</v>
      </c>
      <c r="G34" s="178">
        <v>8521</v>
      </c>
      <c r="H34" s="74">
        <v>74381.32</v>
      </c>
      <c r="I34" s="178">
        <v>2517802.41</v>
      </c>
      <c r="J34" s="178">
        <v>450187.88</v>
      </c>
      <c r="K34" s="179"/>
    </row>
    <row r="35" spans="1:11" ht="12.75">
      <c r="A35" s="88" t="s">
        <v>87</v>
      </c>
      <c r="B35" s="62"/>
      <c r="C35" s="36" t="s">
        <v>102</v>
      </c>
      <c r="D35" s="76"/>
      <c r="E35" s="173"/>
      <c r="F35" s="81"/>
      <c r="G35" s="173"/>
      <c r="H35" s="64"/>
      <c r="I35" s="173"/>
      <c r="J35" s="174"/>
      <c r="K35" s="180"/>
    </row>
    <row r="36" spans="1:11" ht="12.75">
      <c r="A36" s="88" t="s">
        <v>79</v>
      </c>
      <c r="B36" s="62"/>
      <c r="C36" s="36" t="s">
        <v>103</v>
      </c>
      <c r="D36" s="76"/>
      <c r="E36" s="173"/>
      <c r="F36" s="81"/>
      <c r="G36" s="173"/>
      <c r="H36" s="64"/>
      <c r="I36" s="173"/>
      <c r="J36" s="174"/>
      <c r="K36" s="180"/>
    </row>
    <row r="37" spans="1:11" ht="12.75">
      <c r="A37" s="88"/>
      <c r="B37" s="62"/>
      <c r="C37" s="36" t="s">
        <v>104</v>
      </c>
      <c r="D37" s="76"/>
      <c r="E37" s="173"/>
      <c r="F37" s="81"/>
      <c r="G37" s="173"/>
      <c r="H37" s="64"/>
      <c r="I37" s="173"/>
      <c r="J37" s="174"/>
      <c r="K37" s="180"/>
    </row>
    <row r="38" spans="1:11" ht="12.75">
      <c r="A38" s="88"/>
      <c r="B38" s="62"/>
      <c r="C38" s="36" t="s">
        <v>105</v>
      </c>
      <c r="D38" s="76"/>
      <c r="E38" s="173"/>
      <c r="F38" s="81"/>
      <c r="G38" s="173"/>
      <c r="H38" s="64"/>
      <c r="I38" s="173"/>
      <c r="J38" s="174"/>
      <c r="K38" s="180"/>
    </row>
    <row r="39" spans="1:11" ht="12.75">
      <c r="A39" s="88"/>
      <c r="B39" s="62"/>
      <c r="C39" s="36" t="s">
        <v>106</v>
      </c>
      <c r="D39" s="76">
        <v>0.7566</v>
      </c>
      <c r="E39" s="173">
        <v>6000</v>
      </c>
      <c r="F39" s="81">
        <v>4</v>
      </c>
      <c r="G39" s="173">
        <v>1051</v>
      </c>
      <c r="H39" s="64">
        <v>7847.22</v>
      </c>
      <c r="I39" s="173"/>
      <c r="J39" s="174"/>
      <c r="K39" s="180" t="s">
        <v>107</v>
      </c>
    </row>
    <row r="40" spans="1:11" ht="12.75">
      <c r="A40" s="88"/>
      <c r="B40" s="62"/>
      <c r="C40" s="36" t="s">
        <v>108</v>
      </c>
      <c r="D40" s="76"/>
      <c r="E40" s="173"/>
      <c r="F40" s="81"/>
      <c r="G40" s="173"/>
      <c r="H40" s="64"/>
      <c r="I40" s="173"/>
      <c r="J40" s="174"/>
      <c r="K40" s="180"/>
    </row>
    <row r="41" spans="1:11" ht="12.75">
      <c r="A41" s="88"/>
      <c r="B41" s="62"/>
      <c r="C41" s="36" t="s">
        <v>105</v>
      </c>
      <c r="D41" s="76"/>
      <c r="E41" s="173"/>
      <c r="F41" s="81"/>
      <c r="G41" s="173"/>
      <c r="H41" s="64"/>
      <c r="I41" s="173"/>
      <c r="J41" s="174"/>
      <c r="K41" s="180"/>
    </row>
    <row r="42" spans="1:11" ht="12.75">
      <c r="A42" s="88"/>
      <c r="B42" s="62"/>
      <c r="C42" s="36" t="s">
        <v>109</v>
      </c>
      <c r="D42" s="76"/>
      <c r="E42" s="173"/>
      <c r="F42" s="81"/>
      <c r="G42" s="173"/>
      <c r="H42" s="64"/>
      <c r="I42" s="173"/>
      <c r="J42" s="174"/>
      <c r="K42" s="180"/>
    </row>
    <row r="43" spans="1:11" ht="33.75" customHeight="1">
      <c r="A43" s="181"/>
      <c r="B43" s="67"/>
      <c r="C43" s="172" t="s">
        <v>110</v>
      </c>
      <c r="D43" s="68"/>
      <c r="E43" s="182"/>
      <c r="F43" s="116"/>
      <c r="G43" s="182">
        <v>-558.74</v>
      </c>
      <c r="H43" s="69">
        <v>-7248.73</v>
      </c>
      <c r="I43" s="182"/>
      <c r="J43" s="183"/>
      <c r="K43" s="184" t="s">
        <v>175</v>
      </c>
    </row>
    <row r="44" spans="1:11" ht="16.5" customHeight="1">
      <c r="A44" s="67"/>
      <c r="B44" s="67"/>
      <c r="C44" s="110" t="s">
        <v>111</v>
      </c>
      <c r="D44" s="175">
        <f aca="true" t="shared" si="1" ref="D44:J44">SUM(D17:D43)</f>
        <v>12.9228</v>
      </c>
      <c r="E44" s="175">
        <f t="shared" si="1"/>
        <v>614670</v>
      </c>
      <c r="F44" s="176">
        <f t="shared" si="1"/>
        <v>28</v>
      </c>
      <c r="G44" s="175">
        <f t="shared" si="1"/>
        <v>18285.77</v>
      </c>
      <c r="H44" s="175">
        <f t="shared" si="1"/>
        <v>7050123.05</v>
      </c>
      <c r="I44" s="175">
        <f t="shared" si="1"/>
        <v>9234398.82</v>
      </c>
      <c r="J44" s="175">
        <f t="shared" si="1"/>
        <v>1442623.2999999998</v>
      </c>
      <c r="K44" s="175"/>
    </row>
    <row r="45" spans="1:12" ht="57.75" customHeight="1">
      <c r="A45" s="82" t="s">
        <v>112</v>
      </c>
      <c r="B45" s="62" t="s">
        <v>113</v>
      </c>
      <c r="C45" s="82" t="s">
        <v>114</v>
      </c>
      <c r="D45" s="76">
        <v>68.9771</v>
      </c>
      <c r="E45" s="64">
        <v>2069313</v>
      </c>
      <c r="F45" s="65">
        <v>25</v>
      </c>
      <c r="G45" s="64">
        <v>13645.7</v>
      </c>
      <c r="H45" s="64">
        <v>2819311.1</v>
      </c>
      <c r="I45" s="64">
        <v>3433514.47</v>
      </c>
      <c r="J45" s="64">
        <v>12365.07</v>
      </c>
      <c r="K45" s="85" t="s">
        <v>115</v>
      </c>
      <c r="L45" s="138"/>
    </row>
    <row r="46" spans="1:11" ht="12.75">
      <c r="A46" s="62"/>
      <c r="B46" s="62"/>
      <c r="C46" s="62" t="s">
        <v>116</v>
      </c>
      <c r="D46" s="76"/>
      <c r="E46" s="64"/>
      <c r="F46" s="81"/>
      <c r="G46" s="64"/>
      <c r="H46" s="64"/>
      <c r="I46" s="64"/>
      <c r="J46" s="64"/>
      <c r="K46" s="62"/>
    </row>
    <row r="47" spans="1:11" ht="12.75">
      <c r="A47" s="72" t="s">
        <v>117</v>
      </c>
      <c r="B47" s="72" t="s">
        <v>118</v>
      </c>
      <c r="C47" s="72" t="s">
        <v>119</v>
      </c>
      <c r="D47" s="73">
        <v>0.7139</v>
      </c>
      <c r="E47" s="74">
        <v>57936</v>
      </c>
      <c r="F47" s="86">
        <v>3</v>
      </c>
      <c r="G47" s="74">
        <v>3144.64</v>
      </c>
      <c r="H47" s="74">
        <v>528592.04</v>
      </c>
      <c r="I47" s="74">
        <v>1849158.4</v>
      </c>
      <c r="J47" s="74">
        <v>104313.53</v>
      </c>
      <c r="K47" s="72"/>
    </row>
    <row r="48" spans="1:11" ht="12.75">
      <c r="A48" s="62" t="s">
        <v>120</v>
      </c>
      <c r="B48" s="62"/>
      <c r="C48" s="62" t="s">
        <v>121</v>
      </c>
      <c r="D48" s="76"/>
      <c r="E48" s="64"/>
      <c r="F48" s="87"/>
      <c r="G48" s="64"/>
      <c r="H48" s="64"/>
      <c r="I48" s="64"/>
      <c r="J48" s="64"/>
      <c r="K48" s="62"/>
    </row>
    <row r="49" spans="1:11" ht="12.75">
      <c r="A49" s="88" t="s">
        <v>122</v>
      </c>
      <c r="B49" s="62"/>
      <c r="C49" s="62" t="s">
        <v>123</v>
      </c>
      <c r="D49" s="76"/>
      <c r="E49" s="64"/>
      <c r="F49" s="87"/>
      <c r="G49" s="64"/>
      <c r="H49" s="64"/>
      <c r="I49" s="64"/>
      <c r="J49" s="64"/>
      <c r="K49" s="62"/>
    </row>
    <row r="50" spans="1:11" ht="48.75" customHeight="1">
      <c r="A50" s="77" t="s">
        <v>124</v>
      </c>
      <c r="B50" s="77" t="s">
        <v>125</v>
      </c>
      <c r="C50" s="77" t="s">
        <v>126</v>
      </c>
      <c r="D50" s="68">
        <v>0.2546</v>
      </c>
      <c r="E50" s="69">
        <v>5092</v>
      </c>
      <c r="F50" s="89">
        <v>1</v>
      </c>
      <c r="G50" s="71">
        <v>1469.2</v>
      </c>
      <c r="H50" s="90">
        <v>1579085.6</v>
      </c>
      <c r="I50" s="90"/>
      <c r="J50" s="71"/>
      <c r="K50" s="67"/>
    </row>
    <row r="51" spans="1:11" ht="27" customHeight="1">
      <c r="A51" s="91"/>
      <c r="B51" s="91"/>
      <c r="C51" s="92" t="s">
        <v>127</v>
      </c>
      <c r="D51" s="93">
        <f aca="true" t="shared" si="2" ref="D51:J51">SUM(D45:D50)</f>
        <v>69.94559999999998</v>
      </c>
      <c r="E51" s="94">
        <f t="shared" si="2"/>
        <v>2132341</v>
      </c>
      <c r="F51" s="95">
        <f t="shared" si="2"/>
        <v>29</v>
      </c>
      <c r="G51" s="96">
        <f t="shared" si="2"/>
        <v>18259.54</v>
      </c>
      <c r="H51" s="97">
        <f t="shared" si="2"/>
        <v>4926988.74</v>
      </c>
      <c r="I51" s="97">
        <f t="shared" si="2"/>
        <v>5282672.87</v>
      </c>
      <c r="J51" s="96">
        <f t="shared" si="2"/>
        <v>116678.6</v>
      </c>
      <c r="K51" s="83"/>
    </row>
    <row r="52" spans="1:11" ht="18" customHeight="1">
      <c r="A52" s="91"/>
      <c r="B52" s="91"/>
      <c r="C52" s="92"/>
      <c r="D52" s="93"/>
      <c r="E52" s="94"/>
      <c r="F52" s="98"/>
      <c r="G52" s="96"/>
      <c r="H52" s="96"/>
      <c r="I52" s="96"/>
      <c r="J52" s="96">
        <v>130988.38</v>
      </c>
      <c r="K52" s="91"/>
    </row>
    <row r="53" spans="1:11" ht="33" customHeight="1">
      <c r="A53" s="99" t="s">
        <v>128</v>
      </c>
      <c r="B53" s="72" t="s">
        <v>129</v>
      </c>
      <c r="C53" s="100" t="s">
        <v>130</v>
      </c>
      <c r="D53" s="73" t="s">
        <v>131</v>
      </c>
      <c r="E53" s="74">
        <v>165000</v>
      </c>
      <c r="F53" s="101">
        <v>6</v>
      </c>
      <c r="G53" s="102">
        <v>1927</v>
      </c>
      <c r="H53" s="102">
        <v>672002</v>
      </c>
      <c r="I53" s="102">
        <v>637665.74</v>
      </c>
      <c r="J53" s="102">
        <v>88915.95</v>
      </c>
      <c r="K53" s="100" t="s">
        <v>132</v>
      </c>
    </row>
    <row r="54" spans="1:11" ht="12.75">
      <c r="A54" s="103" t="s">
        <v>133</v>
      </c>
      <c r="B54" s="62"/>
      <c r="C54" s="104"/>
      <c r="D54" s="105"/>
      <c r="E54" s="106"/>
      <c r="F54" s="107"/>
      <c r="G54" s="108"/>
      <c r="H54" s="108"/>
      <c r="I54" s="108"/>
      <c r="J54" s="108"/>
      <c r="K54" s="62"/>
    </row>
    <row r="55" spans="1:11" ht="12.75">
      <c r="A55" s="109"/>
      <c r="B55" s="67"/>
      <c r="C55" s="110"/>
      <c r="D55" s="111"/>
      <c r="E55" s="112"/>
      <c r="F55" s="113"/>
      <c r="G55" s="114"/>
      <c r="H55" s="114"/>
      <c r="I55" s="114"/>
      <c r="J55" s="114"/>
      <c r="K55" s="67"/>
    </row>
    <row r="56" spans="1:11" ht="32.25" customHeight="1">
      <c r="A56" s="100" t="s">
        <v>134</v>
      </c>
      <c r="B56" s="100" t="s">
        <v>135</v>
      </c>
      <c r="C56" s="100" t="s">
        <v>136</v>
      </c>
      <c r="D56" s="73">
        <v>0.1237</v>
      </c>
      <c r="E56" s="74">
        <v>213531.51</v>
      </c>
      <c r="F56" s="80">
        <v>2</v>
      </c>
      <c r="G56" s="61" t="s">
        <v>137</v>
      </c>
      <c r="H56" s="61">
        <v>57681</v>
      </c>
      <c r="I56" s="61">
        <v>621965.54</v>
      </c>
      <c r="J56" s="61">
        <v>177507.82</v>
      </c>
      <c r="K56" s="72" t="s">
        <v>138</v>
      </c>
    </row>
    <row r="57" spans="1:11" ht="12.75">
      <c r="A57" s="62" t="s">
        <v>139</v>
      </c>
      <c r="B57" s="62" t="s">
        <v>140</v>
      </c>
      <c r="C57" s="62" t="s">
        <v>141</v>
      </c>
      <c r="D57" s="76"/>
      <c r="E57" s="64"/>
      <c r="F57" s="81"/>
      <c r="G57" s="66"/>
      <c r="H57" s="66"/>
      <c r="I57" s="66"/>
      <c r="J57" s="66"/>
      <c r="K57" s="62"/>
    </row>
    <row r="58" spans="1:11" ht="12.75">
      <c r="A58" s="62" t="s">
        <v>142</v>
      </c>
      <c r="B58" s="62"/>
      <c r="C58" s="62"/>
      <c r="D58" s="76"/>
      <c r="E58" s="64"/>
      <c r="F58" s="81"/>
      <c r="G58" s="66"/>
      <c r="H58" s="66"/>
      <c r="I58" s="66"/>
      <c r="J58" s="66"/>
      <c r="K58" s="62"/>
    </row>
    <row r="59" spans="1:11" ht="25.5">
      <c r="A59" s="62"/>
      <c r="B59" s="62"/>
      <c r="C59" s="82" t="s">
        <v>143</v>
      </c>
      <c r="D59" s="76">
        <v>0.023</v>
      </c>
      <c r="E59" s="64"/>
      <c r="F59" s="81">
        <v>2</v>
      </c>
      <c r="G59" s="66" t="s">
        <v>144</v>
      </c>
      <c r="H59" s="66">
        <v>10310</v>
      </c>
      <c r="I59" s="66"/>
      <c r="J59" s="66"/>
      <c r="K59" s="62" t="s">
        <v>145</v>
      </c>
    </row>
    <row r="60" spans="1:11" ht="25.5">
      <c r="A60" s="62"/>
      <c r="B60" s="62"/>
      <c r="C60" s="82" t="s">
        <v>146</v>
      </c>
      <c r="D60" s="76">
        <v>0.0268</v>
      </c>
      <c r="E60" s="64"/>
      <c r="F60" s="81">
        <v>2</v>
      </c>
      <c r="G60" s="66" t="s">
        <v>147</v>
      </c>
      <c r="H60" s="66">
        <v>12090</v>
      </c>
      <c r="I60" s="66"/>
      <c r="J60" s="66"/>
      <c r="K60" s="62" t="s">
        <v>148</v>
      </c>
    </row>
    <row r="61" spans="1:11" ht="12.75">
      <c r="A61" s="67"/>
      <c r="B61" s="67"/>
      <c r="C61" s="67" t="s">
        <v>141</v>
      </c>
      <c r="D61" s="68"/>
      <c r="E61" s="69"/>
      <c r="F61" s="116"/>
      <c r="G61" s="71"/>
      <c r="H61" s="71"/>
      <c r="I61" s="71"/>
      <c r="J61" s="71"/>
      <c r="K61" s="67"/>
    </row>
    <row r="62" spans="1:11" ht="25.5">
      <c r="A62" s="72"/>
      <c r="B62" s="72"/>
      <c r="C62" s="100" t="s">
        <v>149</v>
      </c>
      <c r="D62" s="73">
        <v>0.0073</v>
      </c>
      <c r="E62" s="74"/>
      <c r="F62" s="80">
        <v>2</v>
      </c>
      <c r="G62" s="61" t="s">
        <v>150</v>
      </c>
      <c r="H62" s="61">
        <v>3277</v>
      </c>
      <c r="I62" s="61"/>
      <c r="J62" s="61"/>
      <c r="K62" s="100" t="s">
        <v>151</v>
      </c>
    </row>
    <row r="63" spans="1:11" ht="15" customHeight="1">
      <c r="A63" s="62"/>
      <c r="B63" s="62"/>
      <c r="C63" s="82"/>
      <c r="D63" s="76">
        <v>0.0077</v>
      </c>
      <c r="E63" s="64">
        <v>9225</v>
      </c>
      <c r="F63" s="81"/>
      <c r="G63" s="115" t="s">
        <v>152</v>
      </c>
      <c r="H63" s="66">
        <v>81568.65</v>
      </c>
      <c r="I63" s="66"/>
      <c r="J63" s="66"/>
      <c r="K63" s="82" t="s">
        <v>153</v>
      </c>
    </row>
    <row r="64" spans="1:11" ht="34.5" customHeight="1">
      <c r="A64" s="67"/>
      <c r="B64" s="77" t="s">
        <v>154</v>
      </c>
      <c r="C64" s="116" t="s">
        <v>155</v>
      </c>
      <c r="D64" s="68"/>
      <c r="E64" s="69">
        <v>5824.86</v>
      </c>
      <c r="F64" s="116">
        <v>2</v>
      </c>
      <c r="G64" s="71">
        <v>105.7</v>
      </c>
      <c r="H64" s="71">
        <v>178560</v>
      </c>
      <c r="I64" s="71"/>
      <c r="J64" s="71"/>
      <c r="K64" s="77" t="s">
        <v>156</v>
      </c>
    </row>
    <row r="65" spans="1:11" ht="15.75" customHeight="1">
      <c r="A65" s="67"/>
      <c r="B65" s="77"/>
      <c r="C65" s="113" t="s">
        <v>157</v>
      </c>
      <c r="D65" s="111">
        <f>SUM(D56:D64)</f>
        <v>0.1885</v>
      </c>
      <c r="E65" s="112">
        <f>SUM(E56:E64)</f>
        <v>228581.37</v>
      </c>
      <c r="F65" s="113">
        <f>F56+F59+F60+F62+F64</f>
        <v>10</v>
      </c>
      <c r="G65" s="114"/>
      <c r="H65" s="112">
        <f>SUM(H56:H64)</f>
        <v>343486.65</v>
      </c>
      <c r="I65" s="112">
        <f>SUM(I56:I64)</f>
        <v>621965.54</v>
      </c>
      <c r="J65" s="112">
        <f>SUM(J56:J64)</f>
        <v>177507.82</v>
      </c>
      <c r="K65" s="77"/>
    </row>
    <row r="66" spans="1:11" ht="38.25">
      <c r="A66" s="117" t="s">
        <v>158</v>
      </c>
      <c r="B66" s="91" t="s">
        <v>159</v>
      </c>
      <c r="C66" s="91" t="s">
        <v>160</v>
      </c>
      <c r="D66" s="137" t="s">
        <v>161</v>
      </c>
      <c r="E66" s="118" t="s">
        <v>189</v>
      </c>
      <c r="F66" s="98">
        <v>1</v>
      </c>
      <c r="G66" s="96">
        <v>890</v>
      </c>
      <c r="H66" s="96">
        <f>1026923.64</f>
        <v>1026923.64</v>
      </c>
      <c r="I66" s="96"/>
      <c r="J66" s="96">
        <v>1400.25</v>
      </c>
      <c r="K66" s="91"/>
    </row>
    <row r="67" spans="1:11" ht="72">
      <c r="A67" s="117" t="s">
        <v>162</v>
      </c>
      <c r="B67" s="91" t="s">
        <v>163</v>
      </c>
      <c r="C67" s="91" t="s">
        <v>164</v>
      </c>
      <c r="D67" s="119"/>
      <c r="E67" s="96"/>
      <c r="F67" s="98"/>
      <c r="G67" s="96">
        <v>177.5</v>
      </c>
      <c r="H67" s="96"/>
      <c r="I67" s="96"/>
      <c r="J67" s="96"/>
      <c r="K67" s="83" t="s">
        <v>165</v>
      </c>
    </row>
    <row r="68" spans="1:11" ht="38.25">
      <c r="A68" s="100" t="s">
        <v>166</v>
      </c>
      <c r="B68" s="100"/>
      <c r="C68" s="100" t="s">
        <v>167</v>
      </c>
      <c r="D68" s="78">
        <v>0.3568</v>
      </c>
      <c r="E68" s="120" t="s">
        <v>168</v>
      </c>
      <c r="F68" s="80">
        <v>2</v>
      </c>
      <c r="G68" s="61">
        <v>205.17</v>
      </c>
      <c r="H68" s="61">
        <v>46205.7</v>
      </c>
      <c r="I68" s="61">
        <v>85424.1</v>
      </c>
      <c r="J68" s="61">
        <v>142994.73</v>
      </c>
      <c r="K68" s="72"/>
    </row>
    <row r="69" spans="1:11" ht="51">
      <c r="A69" s="62"/>
      <c r="B69" s="62"/>
      <c r="C69" s="82" t="s">
        <v>169</v>
      </c>
      <c r="D69" s="79"/>
      <c r="E69" s="66"/>
      <c r="F69" s="81"/>
      <c r="G69" s="66"/>
      <c r="H69" s="66"/>
      <c r="I69" s="66"/>
      <c r="J69" s="121">
        <v>2628206.08</v>
      </c>
      <c r="K69" s="82" t="s">
        <v>170</v>
      </c>
    </row>
    <row r="70" spans="1:11" ht="48.75" customHeight="1">
      <c r="A70" s="67"/>
      <c r="B70" s="77" t="s">
        <v>171</v>
      </c>
      <c r="C70" s="122"/>
      <c r="D70" s="123">
        <v>0.0619</v>
      </c>
      <c r="E70" s="90" t="s">
        <v>168</v>
      </c>
      <c r="F70" s="116">
        <v>1</v>
      </c>
      <c r="G70" s="71">
        <v>77.31</v>
      </c>
      <c r="H70" s="71"/>
      <c r="I70" s="71"/>
      <c r="J70" s="71"/>
      <c r="K70" s="77" t="s">
        <v>172</v>
      </c>
    </row>
    <row r="71" spans="1:11" ht="18.75" customHeight="1">
      <c r="A71" s="67"/>
      <c r="B71" s="77"/>
      <c r="C71" s="124" t="s">
        <v>173</v>
      </c>
      <c r="D71" s="125">
        <f>SUM(D68:D70)</f>
        <v>0.4187</v>
      </c>
      <c r="E71" s="126"/>
      <c r="F71" s="127">
        <f>SUM(F68:F70)</f>
        <v>3</v>
      </c>
      <c r="G71" s="128">
        <f>SUM(G68:G70)</f>
        <v>282.48</v>
      </c>
      <c r="H71" s="128">
        <f>SUM(H68:H70)</f>
        <v>46205.7</v>
      </c>
      <c r="I71" s="128">
        <f>SUM(I68:I70)</f>
        <v>85424.1</v>
      </c>
      <c r="J71" s="128">
        <f>SUM(J68:J70)</f>
        <v>2771200.81</v>
      </c>
      <c r="K71" s="77"/>
    </row>
    <row r="72" spans="1:11" ht="16.5" customHeight="1">
      <c r="A72" s="84"/>
      <c r="B72" s="92"/>
      <c r="C72" s="92" t="s">
        <v>174</v>
      </c>
      <c r="D72" s="119">
        <f>SUM(D12:D70)-D65-D51-D44-D16</f>
        <v>84.45649999999999</v>
      </c>
      <c r="E72" s="96">
        <f>SUM(E12:E70)-E65-E51-E44-E16</f>
        <v>3229282.37</v>
      </c>
      <c r="F72" s="129">
        <f>SUM(F12:F70)-F65-F51-F44-F16</f>
        <v>84</v>
      </c>
      <c r="G72" s="96"/>
      <c r="H72" s="96">
        <f>SUM(H12:H70)-H65-H51-H44-H16</f>
        <v>14968263.780000005</v>
      </c>
      <c r="I72" s="96">
        <f>SUM(I12:I70)-I65-I51-I44-I16</f>
        <v>17452565.469999995</v>
      </c>
      <c r="J72" s="96">
        <f>SUM(J12:J70)-J65-J51-J44-J16</f>
        <v>4729315.109999999</v>
      </c>
      <c r="K72" s="92"/>
    </row>
    <row r="73" ht="12.75">
      <c r="F73" s="130"/>
    </row>
    <row r="74" ht="12.75">
      <c r="F74" s="130"/>
    </row>
    <row r="75" ht="12.75">
      <c r="F75" s="130"/>
    </row>
    <row r="76" ht="12.75">
      <c r="F76" s="130"/>
    </row>
    <row r="77" ht="12.75">
      <c r="F77" s="130"/>
    </row>
    <row r="78" ht="12.75">
      <c r="F78" s="130"/>
    </row>
    <row r="79" ht="12.75">
      <c r="F79" s="130"/>
    </row>
    <row r="80" ht="12.75">
      <c r="F80" s="130"/>
    </row>
    <row r="81" ht="12.75">
      <c r="F81" s="130"/>
    </row>
    <row r="82" ht="12.75">
      <c r="F82" s="130"/>
    </row>
    <row r="83" ht="12.75">
      <c r="F83" s="130"/>
    </row>
    <row r="84" ht="12.75">
      <c r="F84" s="130"/>
    </row>
    <row r="85" ht="12.75">
      <c r="F85" s="130"/>
    </row>
    <row r="86" ht="12.75">
      <c r="F86" s="130"/>
    </row>
    <row r="87" ht="12.75">
      <c r="F87" s="130"/>
    </row>
    <row r="88" ht="12.75">
      <c r="F88" s="130"/>
    </row>
    <row r="89" ht="12.75">
      <c r="F89" s="130"/>
    </row>
    <row r="90" ht="12.75">
      <c r="F90" s="130"/>
    </row>
    <row r="91" ht="12.75">
      <c r="F91" s="130"/>
    </row>
    <row r="92" ht="12.75">
      <c r="F92" s="130"/>
    </row>
    <row r="93" ht="12.75">
      <c r="F93" s="130"/>
    </row>
    <row r="94" ht="12.75">
      <c r="F94" s="130"/>
    </row>
    <row r="95" ht="12.75">
      <c r="F95" s="130"/>
    </row>
    <row r="96" ht="12.75">
      <c r="F96" s="130"/>
    </row>
    <row r="97" ht="12.75">
      <c r="F97" s="130"/>
    </row>
    <row r="98" ht="12.75">
      <c r="F98" s="130"/>
    </row>
    <row r="99" ht="12.75">
      <c r="F99" s="130"/>
    </row>
    <row r="100" ht="12.75">
      <c r="F100" s="130"/>
    </row>
    <row r="101" ht="12.75">
      <c r="F101" s="130"/>
    </row>
  </sheetData>
  <mergeCells count="8">
    <mergeCell ref="A10:A11"/>
    <mergeCell ref="B10:B11"/>
    <mergeCell ref="C10:C11"/>
    <mergeCell ref="D10:E10"/>
    <mergeCell ref="F10:H10"/>
    <mergeCell ref="J10:J11"/>
    <mergeCell ref="K10:K11"/>
    <mergeCell ref="K1:K3"/>
  </mergeCells>
  <printOptions/>
  <pageMargins left="0.7874015748031497" right="0.3937007874015748" top="0.984251968503937" bottom="0.5905511811023623" header="0" footer="0.5118110236220472"/>
  <pageSetup firstPageNumber="110" useFirstPageNumber="1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151"/>
  <sheetViews>
    <sheetView tabSelected="1" zoomScale="75" zoomScaleNormal="75" workbookViewId="0" topLeftCell="A1">
      <selection activeCell="B150" sqref="A1:I150"/>
    </sheetView>
  </sheetViews>
  <sheetFormatPr defaultColWidth="9.00390625" defaultRowHeight="12.75"/>
  <cols>
    <col min="1" max="1" width="5.375" style="0" customWidth="1"/>
    <col min="2" max="2" width="30.625" style="1" customWidth="1"/>
    <col min="3" max="4" width="15.25390625" style="0" customWidth="1"/>
    <col min="5" max="5" width="15.25390625" style="22" customWidth="1"/>
    <col min="6" max="8" width="15.25390625" style="0" customWidth="1"/>
    <col min="9" max="9" width="45.125" style="160" customWidth="1"/>
  </cols>
  <sheetData>
    <row r="1" ht="22.5" customHeight="1"/>
    <row r="2" spans="2:9" ht="15.75" customHeight="1">
      <c r="B2" s="202" t="s">
        <v>200</v>
      </c>
      <c r="C2" s="203"/>
      <c r="D2" s="203"/>
      <c r="E2" s="203"/>
      <c r="F2" s="204"/>
      <c r="G2" s="205"/>
      <c r="H2" s="205"/>
      <c r="I2" s="205"/>
    </row>
    <row r="3" spans="2:9" ht="14.25" customHeight="1">
      <c r="B3" s="203"/>
      <c r="C3" s="203"/>
      <c r="D3" s="203"/>
      <c r="E3" s="203"/>
      <c r="F3" s="204"/>
      <c r="G3" s="205"/>
      <c r="H3" s="205"/>
      <c r="I3" s="205"/>
    </row>
    <row r="4" spans="2:5" ht="17.25" customHeight="1">
      <c r="B4" s="155"/>
      <c r="C4" s="143"/>
      <c r="D4" s="143"/>
      <c r="E4" s="143"/>
    </row>
    <row r="5" spans="1:9" ht="15.75" thickBot="1">
      <c r="A5" s="10"/>
      <c r="B5" s="12"/>
      <c r="C5" s="10"/>
      <c r="D5" s="10"/>
      <c r="E5" s="23"/>
      <c r="F5" s="10"/>
      <c r="G5" s="10"/>
      <c r="H5" s="10"/>
      <c r="I5" s="161"/>
    </row>
    <row r="6" spans="1:9" s="156" customFormat="1" ht="29.25" customHeight="1">
      <c r="A6" s="231" t="s">
        <v>196</v>
      </c>
      <c r="B6" s="226" t="s">
        <v>0</v>
      </c>
      <c r="C6" s="226" t="s">
        <v>37</v>
      </c>
      <c r="D6" s="226" t="s">
        <v>38</v>
      </c>
      <c r="E6" s="226" t="s">
        <v>197</v>
      </c>
      <c r="F6" s="226" t="s">
        <v>177</v>
      </c>
      <c r="G6" s="226" t="s">
        <v>178</v>
      </c>
      <c r="H6" s="229" t="s">
        <v>39</v>
      </c>
      <c r="I6" s="218" t="s">
        <v>198</v>
      </c>
    </row>
    <row r="7" spans="1:9" s="156" customFormat="1" ht="46.5" customHeight="1" thickBot="1">
      <c r="A7" s="232"/>
      <c r="B7" s="227"/>
      <c r="C7" s="228"/>
      <c r="D7" s="228"/>
      <c r="E7" s="227"/>
      <c r="F7" s="227"/>
      <c r="G7" s="228"/>
      <c r="H7" s="230"/>
      <c r="I7" s="219"/>
    </row>
    <row r="8" spans="1:9" s="168" customFormat="1" ht="18" customHeight="1" thickBot="1">
      <c r="A8" s="163">
        <v>1</v>
      </c>
      <c r="B8" s="164">
        <v>2</v>
      </c>
      <c r="C8" s="165">
        <v>3</v>
      </c>
      <c r="D8" s="165">
        <v>4</v>
      </c>
      <c r="E8" s="164">
        <v>5</v>
      </c>
      <c r="F8" s="165">
        <v>6</v>
      </c>
      <c r="G8" s="165">
        <v>7</v>
      </c>
      <c r="H8" s="166">
        <v>8</v>
      </c>
      <c r="I8" s="167">
        <v>9</v>
      </c>
    </row>
    <row r="9" spans="1:9" s="3" customFormat="1" ht="34.5" customHeight="1">
      <c r="A9" s="169" t="s">
        <v>1</v>
      </c>
      <c r="B9" s="13" t="s">
        <v>42</v>
      </c>
      <c r="C9" s="2"/>
      <c r="D9" s="2"/>
      <c r="E9" s="24"/>
      <c r="F9" s="2"/>
      <c r="G9" s="2"/>
      <c r="H9" s="18"/>
      <c r="I9" s="220"/>
    </row>
    <row r="10" spans="1:9" s="3" customFormat="1" ht="39" customHeight="1">
      <c r="A10" s="4"/>
      <c r="B10" s="14" t="s">
        <v>43</v>
      </c>
      <c r="C10" s="5"/>
      <c r="D10" s="5"/>
      <c r="E10" s="21"/>
      <c r="F10" s="5"/>
      <c r="G10" s="5"/>
      <c r="H10" s="16"/>
      <c r="I10" s="221"/>
    </row>
    <row r="11" spans="1:9" s="3" customFormat="1" ht="21.75" customHeight="1">
      <c r="A11" s="4"/>
      <c r="B11" s="10" t="s">
        <v>45</v>
      </c>
      <c r="C11" s="5">
        <v>13494.9</v>
      </c>
      <c r="D11" s="5">
        <f>C11</f>
        <v>13494.9</v>
      </c>
      <c r="E11" s="5">
        <f>F11-C11</f>
        <v>0</v>
      </c>
      <c r="F11" s="5">
        <v>13494.9</v>
      </c>
      <c r="G11" s="5">
        <f>F11</f>
        <v>13494.9</v>
      </c>
      <c r="H11" s="16"/>
      <c r="I11" s="221"/>
    </row>
    <row r="12" spans="1:9" s="3" customFormat="1" ht="21.75" customHeight="1">
      <c r="A12" s="4"/>
      <c r="B12" s="14" t="s">
        <v>46</v>
      </c>
      <c r="C12" s="5">
        <v>1000</v>
      </c>
      <c r="D12" s="5">
        <f>C12</f>
        <v>1000</v>
      </c>
      <c r="E12" s="5">
        <f>F12-C12</f>
        <v>0</v>
      </c>
      <c r="F12" s="5">
        <v>1000</v>
      </c>
      <c r="G12" s="5">
        <f>F12</f>
        <v>1000</v>
      </c>
      <c r="H12" s="16"/>
      <c r="I12" s="221"/>
    </row>
    <row r="13" spans="1:9" s="3" customFormat="1" ht="21.75" customHeight="1" thickBot="1">
      <c r="A13" s="4"/>
      <c r="B13" s="14" t="s">
        <v>44</v>
      </c>
      <c r="C13" s="5">
        <v>1008000</v>
      </c>
      <c r="D13" s="5">
        <f>C13</f>
        <v>1008000</v>
      </c>
      <c r="E13" s="5">
        <f>F13-C13</f>
        <v>0</v>
      </c>
      <c r="F13" s="5">
        <v>1008000</v>
      </c>
      <c r="G13" s="5">
        <f>F13</f>
        <v>1008000</v>
      </c>
      <c r="H13" s="16"/>
      <c r="I13" s="221"/>
    </row>
    <row r="14" spans="1:9" s="22" customFormat="1" ht="33.75" customHeight="1" thickBot="1">
      <c r="A14" s="29"/>
      <c r="B14" s="30" t="s">
        <v>40</v>
      </c>
      <c r="C14" s="25">
        <f>SUM(C9:C13)</f>
        <v>1022494.9</v>
      </c>
      <c r="D14" s="25">
        <f>SUM(D9:D13)</f>
        <v>1022494.9</v>
      </c>
      <c r="E14" s="25">
        <f>F14-C14</f>
        <v>0</v>
      </c>
      <c r="F14" s="25">
        <f>SUM(F9:F13)</f>
        <v>1022494.9</v>
      </c>
      <c r="G14" s="25">
        <f>SUM(G9:G13)</f>
        <v>1022494.9</v>
      </c>
      <c r="H14" s="132">
        <f>SUM(H9:H13)</f>
        <v>0</v>
      </c>
      <c r="I14" s="222"/>
    </row>
    <row r="15" spans="1:9" s="22" customFormat="1" ht="31.5" customHeight="1">
      <c r="A15" s="28" t="s">
        <v>4</v>
      </c>
      <c r="B15" s="13" t="s">
        <v>42</v>
      </c>
      <c r="C15" s="2"/>
      <c r="D15" s="2"/>
      <c r="E15" s="2"/>
      <c r="F15" s="2"/>
      <c r="G15" s="2"/>
      <c r="H15" s="136">
        <v>319553</v>
      </c>
      <c r="I15" s="208" t="s">
        <v>185</v>
      </c>
    </row>
    <row r="16" spans="1:9" s="22" customFormat="1" ht="21" customHeight="1">
      <c r="A16" s="131"/>
      <c r="B16" s="14" t="s">
        <v>2</v>
      </c>
      <c r="C16" s="5">
        <f>45672+10968+228581.37+18250-56640-18250</f>
        <v>228581.37</v>
      </c>
      <c r="D16" s="5">
        <f>C16</f>
        <v>228581.37</v>
      </c>
      <c r="E16" s="5">
        <f aca="true" t="shared" si="0" ref="E16:E26">F16-C16</f>
        <v>0</v>
      </c>
      <c r="F16" s="5">
        <f>45672+10968+228581.37+18250-56640-18250</f>
        <v>228581.37</v>
      </c>
      <c r="G16" s="5">
        <f>F16</f>
        <v>228581.37</v>
      </c>
      <c r="H16" s="157"/>
      <c r="I16" s="209"/>
    </row>
    <row r="17" spans="1:9" s="22" customFormat="1" ht="21" customHeight="1">
      <c r="A17" s="131"/>
      <c r="B17" s="14" t="s">
        <v>47</v>
      </c>
      <c r="C17" s="5">
        <v>13800</v>
      </c>
      <c r="D17" s="5">
        <v>13800</v>
      </c>
      <c r="E17" s="5">
        <f t="shared" si="0"/>
        <v>0</v>
      </c>
      <c r="F17" s="5">
        <v>13800</v>
      </c>
      <c r="G17" s="5">
        <v>13800</v>
      </c>
      <c r="H17" s="157"/>
      <c r="I17" s="209"/>
    </row>
    <row r="18" spans="1:9" s="22" customFormat="1" ht="21" customHeight="1">
      <c r="A18" s="131"/>
      <c r="B18" s="14" t="s">
        <v>48</v>
      </c>
      <c r="C18" s="5">
        <f>56640+18250</f>
        <v>74890</v>
      </c>
      <c r="D18" s="16">
        <f>C18</f>
        <v>74890</v>
      </c>
      <c r="E18" s="16">
        <f t="shared" si="0"/>
        <v>0</v>
      </c>
      <c r="F18" s="5">
        <f>56640+18250</f>
        <v>74890</v>
      </c>
      <c r="G18" s="16">
        <f>F18</f>
        <v>74890</v>
      </c>
      <c r="H18" s="157"/>
      <c r="I18" s="209"/>
    </row>
    <row r="19" spans="1:9" s="22" customFormat="1" ht="21" customHeight="1">
      <c r="A19" s="131"/>
      <c r="B19" s="14" t="s">
        <v>3</v>
      </c>
      <c r="C19" s="5">
        <f>1845974.8</f>
        <v>1845974.8</v>
      </c>
      <c r="D19" s="5">
        <f>976390.34</f>
        <v>976390.34</v>
      </c>
      <c r="E19" s="5">
        <f t="shared" si="0"/>
        <v>765956.9999999998</v>
      </c>
      <c r="F19" s="5">
        <f>2611931.8</f>
        <v>2611931.8</v>
      </c>
      <c r="G19" s="5">
        <f>F19-936631.66</f>
        <v>1675300.1399999997</v>
      </c>
      <c r="H19" s="157"/>
      <c r="I19" s="209"/>
    </row>
    <row r="20" spans="1:9" s="22" customFormat="1" ht="21" customHeight="1">
      <c r="A20" s="131"/>
      <c r="B20" s="14" t="s">
        <v>26</v>
      </c>
      <c r="C20" s="5">
        <v>1264487.99</v>
      </c>
      <c r="D20" s="5">
        <v>1013698.09</v>
      </c>
      <c r="E20" s="5">
        <f t="shared" si="0"/>
        <v>0</v>
      </c>
      <c r="F20" s="5">
        <v>1264487.99</v>
      </c>
      <c r="G20" s="5">
        <f>F20-339304.06</f>
        <v>925183.9299999999</v>
      </c>
      <c r="H20" s="157"/>
      <c r="I20" s="209"/>
    </row>
    <row r="21" spans="1:9" s="22" customFormat="1" ht="21" customHeight="1">
      <c r="A21" s="131"/>
      <c r="B21" s="14" t="s">
        <v>7</v>
      </c>
      <c r="C21" s="5">
        <f>483218.44+28961.18-9544.93+9544.93</f>
        <v>512179.62</v>
      </c>
      <c r="D21" s="5">
        <f>119531.27-1912.36+1912.36</f>
        <v>119531.27</v>
      </c>
      <c r="E21" s="5">
        <f t="shared" si="0"/>
        <v>48448.17000000004</v>
      </c>
      <c r="F21" s="5">
        <f>529343.3+31284.49</f>
        <v>560627.79</v>
      </c>
      <c r="G21" s="5">
        <f>F21-420566.45-31284.49</f>
        <v>108776.85000000002</v>
      </c>
      <c r="H21" s="157"/>
      <c r="I21" s="209"/>
    </row>
    <row r="22" spans="1:9" s="22" customFormat="1" ht="21" customHeight="1">
      <c r="A22" s="131"/>
      <c r="B22" s="14" t="s">
        <v>8</v>
      </c>
      <c r="C22" s="5">
        <f>39368.18</f>
        <v>39368.18</v>
      </c>
      <c r="D22" s="5">
        <f>3018.23</f>
        <v>3018.23</v>
      </c>
      <c r="E22" s="5">
        <f t="shared" si="0"/>
        <v>0</v>
      </c>
      <c r="F22" s="5">
        <f>39368.18</f>
        <v>39368.18</v>
      </c>
      <c r="G22" s="5">
        <v>0</v>
      </c>
      <c r="H22" s="157"/>
      <c r="I22" s="209"/>
    </row>
    <row r="23" spans="1:9" s="22" customFormat="1" ht="21" customHeight="1">
      <c r="A23" s="131"/>
      <c r="B23" s="14" t="s">
        <v>9</v>
      </c>
      <c r="C23" s="5">
        <f>156387.15+12955.4</f>
        <v>169342.55</v>
      </c>
      <c r="D23" s="5">
        <v>99251.58</v>
      </c>
      <c r="E23" s="5">
        <f t="shared" si="0"/>
        <v>-1874.4899999999907</v>
      </c>
      <c r="F23" s="5">
        <f>153172.26+14295.8</f>
        <v>167468.06</v>
      </c>
      <c r="G23" s="5">
        <f>F23-62241.47-14295.8</f>
        <v>90930.79</v>
      </c>
      <c r="H23" s="157"/>
      <c r="I23" s="209"/>
    </row>
    <row r="24" spans="1:9" s="22" customFormat="1" ht="21" customHeight="1">
      <c r="A24" s="131"/>
      <c r="B24" s="14" t="s">
        <v>10</v>
      </c>
      <c r="C24" s="5">
        <f>153023.43</f>
        <v>153023.43</v>
      </c>
      <c r="D24" s="5">
        <f>70671.86</f>
        <v>70671.86</v>
      </c>
      <c r="E24" s="5">
        <f t="shared" si="0"/>
        <v>-16606.639999999985</v>
      </c>
      <c r="F24" s="5">
        <v>136416.79</v>
      </c>
      <c r="G24" s="5">
        <f>F24-81369.72</f>
        <v>55047.07000000001</v>
      </c>
      <c r="H24" s="157"/>
      <c r="I24" s="209"/>
    </row>
    <row r="25" spans="1:9" s="22" customFormat="1" ht="21" customHeight="1">
      <c r="A25" s="131"/>
      <c r="B25" s="14" t="s">
        <v>11</v>
      </c>
      <c r="C25" s="5">
        <f>252472.56+370559.27</f>
        <v>623031.8300000001</v>
      </c>
      <c r="D25" s="5">
        <f>109638.9</f>
        <v>109638.9</v>
      </c>
      <c r="E25" s="5">
        <f t="shared" si="0"/>
        <v>-33303.66000000015</v>
      </c>
      <c r="F25" s="5">
        <f>202870.7+386857.47</f>
        <v>589728.1699999999</v>
      </c>
      <c r="G25" s="5">
        <f>F25-386857.47-140207.75</f>
        <v>62662.94999999995</v>
      </c>
      <c r="H25" s="157"/>
      <c r="I25" s="209"/>
    </row>
    <row r="26" spans="1:9" s="22" customFormat="1" ht="21" customHeight="1" thickBot="1">
      <c r="A26" s="131"/>
      <c r="B26" s="14" t="s">
        <v>32</v>
      </c>
      <c r="C26" s="5">
        <v>99729.93</v>
      </c>
      <c r="D26" s="5">
        <f>15044.65</f>
        <v>15044.65</v>
      </c>
      <c r="E26" s="5">
        <f t="shared" si="0"/>
        <v>19159.770000000004</v>
      </c>
      <c r="F26" s="5">
        <v>118889.7</v>
      </c>
      <c r="G26" s="5">
        <f>F26-53360.98-4543.27-31324.3</f>
        <v>29661.149999999998</v>
      </c>
      <c r="H26" s="157"/>
      <c r="I26" s="209"/>
    </row>
    <row r="27" spans="1:9" s="22" customFormat="1" ht="31.5" customHeight="1" thickBot="1">
      <c r="A27" s="29"/>
      <c r="B27" s="30" t="s">
        <v>40</v>
      </c>
      <c r="C27" s="25">
        <f>SUM(C16:C26)</f>
        <v>5024409.7</v>
      </c>
      <c r="D27" s="25">
        <f>SUM(D16:D26)</f>
        <v>2724516.2899999996</v>
      </c>
      <c r="E27" s="25">
        <f>F27-C27</f>
        <v>781780.1499999994</v>
      </c>
      <c r="F27" s="25">
        <f>SUM(F16:F26)</f>
        <v>5806189.85</v>
      </c>
      <c r="G27" s="25">
        <f>SUM(G16:G26)</f>
        <v>3264834.2499999995</v>
      </c>
      <c r="H27" s="132">
        <f>H15</f>
        <v>319553</v>
      </c>
      <c r="I27" s="133"/>
    </row>
    <row r="28" spans="1:9" s="3" customFormat="1" ht="37.5" customHeight="1">
      <c r="A28" s="28" t="s">
        <v>12</v>
      </c>
      <c r="B28" s="13" t="s">
        <v>5</v>
      </c>
      <c r="C28" s="2"/>
      <c r="D28" s="2"/>
      <c r="E28" s="2"/>
      <c r="F28" s="2"/>
      <c r="G28" s="2"/>
      <c r="H28" s="18">
        <v>47843.09</v>
      </c>
      <c r="I28" s="210" t="s">
        <v>179</v>
      </c>
    </row>
    <row r="29" spans="1:9" s="3" customFormat="1" ht="24.75" customHeight="1">
      <c r="A29" s="131"/>
      <c r="B29" s="14" t="s">
        <v>2</v>
      </c>
      <c r="C29" s="5">
        <f>57936</f>
        <v>57936</v>
      </c>
      <c r="D29" s="5">
        <f>C29</f>
        <v>57936</v>
      </c>
      <c r="E29" s="5">
        <f aca="true" t="shared" si="1" ref="E29:E34">F29-C29</f>
        <v>0</v>
      </c>
      <c r="F29" s="5">
        <v>57936</v>
      </c>
      <c r="G29" s="5">
        <f>F29</f>
        <v>57936</v>
      </c>
      <c r="H29" s="16"/>
      <c r="I29" s="209"/>
    </row>
    <row r="30" spans="1:9" s="3" customFormat="1" ht="24.75" customHeight="1">
      <c r="A30" s="131"/>
      <c r="B30" s="14" t="s">
        <v>3</v>
      </c>
      <c r="C30" s="5">
        <f>748751.48+273895.64</f>
        <v>1022647.12</v>
      </c>
      <c r="D30" s="5">
        <f>533485.41+273895.64</f>
        <v>807381.05</v>
      </c>
      <c r="E30" s="5">
        <f t="shared" si="1"/>
        <v>80586.7300000001</v>
      </c>
      <c r="F30" s="5">
        <f>1103233.85</f>
        <v>1103233.85</v>
      </c>
      <c r="G30" s="5">
        <v>820953.17</v>
      </c>
      <c r="H30" s="16"/>
      <c r="I30" s="209"/>
    </row>
    <row r="31" spans="1:9" s="3" customFormat="1" ht="24.75" customHeight="1">
      <c r="A31" s="131"/>
      <c r="B31" s="14" t="s">
        <v>6</v>
      </c>
      <c r="C31" s="5">
        <v>49668.81</v>
      </c>
      <c r="D31" s="5">
        <v>23304.96</v>
      </c>
      <c r="E31" s="5">
        <f t="shared" si="1"/>
        <v>0</v>
      </c>
      <c r="F31" s="5">
        <v>49668.81</v>
      </c>
      <c r="G31" s="5">
        <v>21069.86</v>
      </c>
      <c r="H31" s="16"/>
      <c r="I31" s="209"/>
    </row>
    <row r="32" spans="1:9" s="3" customFormat="1" ht="24.75" customHeight="1">
      <c r="A32" s="131"/>
      <c r="B32" s="14" t="s">
        <v>7</v>
      </c>
      <c r="C32" s="5">
        <v>11793.42</v>
      </c>
      <c r="D32" s="5">
        <v>6063.93</v>
      </c>
      <c r="E32" s="5">
        <f t="shared" si="1"/>
        <v>0</v>
      </c>
      <c r="F32" s="5">
        <v>11793.42</v>
      </c>
      <c r="G32" s="5">
        <v>4085.59</v>
      </c>
      <c r="H32" s="16"/>
      <c r="I32" s="209"/>
    </row>
    <row r="33" spans="1:9" s="3" customFormat="1" ht="24.75" customHeight="1">
      <c r="A33" s="131"/>
      <c r="B33" s="14" t="s">
        <v>11</v>
      </c>
      <c r="C33" s="5">
        <v>217131.41</v>
      </c>
      <c r="D33" s="5">
        <v>5101.76</v>
      </c>
      <c r="E33" s="5">
        <f t="shared" si="1"/>
        <v>960.4400000000023</v>
      </c>
      <c r="F33" s="5">
        <v>218091.85</v>
      </c>
      <c r="G33" s="5">
        <v>3696.1</v>
      </c>
      <c r="H33" s="16"/>
      <c r="I33" s="209"/>
    </row>
    <row r="34" spans="1:9" s="3" customFormat="1" ht="24.75" customHeight="1" thickBot="1">
      <c r="A34" s="135"/>
      <c r="B34" s="7" t="s">
        <v>32</v>
      </c>
      <c r="C34" s="8">
        <v>24945.6</v>
      </c>
      <c r="D34" s="8"/>
      <c r="E34" s="8">
        <f t="shared" si="1"/>
        <v>2209.91</v>
      </c>
      <c r="F34" s="8">
        <v>27155.51</v>
      </c>
      <c r="G34" s="8"/>
      <c r="H34" s="19"/>
      <c r="I34" s="209"/>
    </row>
    <row r="35" spans="1:9" s="3" customFormat="1" ht="36.75" customHeight="1" thickBot="1">
      <c r="A35" s="185"/>
      <c r="B35" s="186" t="s">
        <v>40</v>
      </c>
      <c r="C35" s="187">
        <f>SUM(C29:C34)</f>
        <v>1384122.36</v>
      </c>
      <c r="D35" s="187">
        <f>SUM(D29:D34)</f>
        <v>899787.7000000001</v>
      </c>
      <c r="E35" s="187">
        <f>F35-C35</f>
        <v>83757.08000000007</v>
      </c>
      <c r="F35" s="187">
        <f>SUM(F29:F34)</f>
        <v>1467879.4400000002</v>
      </c>
      <c r="G35" s="187">
        <f>SUM(G29:G34)</f>
        <v>907740.72</v>
      </c>
      <c r="H35" s="188">
        <f>H28</f>
        <v>47843.09</v>
      </c>
      <c r="I35" s="211"/>
    </row>
    <row r="36" spans="1:9" s="3" customFormat="1" ht="54" customHeight="1">
      <c r="A36" s="169" t="s">
        <v>13</v>
      </c>
      <c r="B36" s="15" t="s">
        <v>22</v>
      </c>
      <c r="C36" s="2"/>
      <c r="D36" s="2"/>
      <c r="E36" s="24"/>
      <c r="F36" s="2"/>
      <c r="G36" s="2"/>
      <c r="H36" s="18"/>
      <c r="I36" s="210" t="s">
        <v>199</v>
      </c>
    </row>
    <row r="37" spans="1:9" s="3" customFormat="1" ht="24" customHeight="1">
      <c r="A37" s="4"/>
      <c r="B37" s="9" t="s">
        <v>2</v>
      </c>
      <c r="C37" s="5">
        <v>5092</v>
      </c>
      <c r="D37" s="5">
        <v>5092</v>
      </c>
      <c r="E37" s="5">
        <f aca="true" t="shared" si="2" ref="E37:E43">F37-C37</f>
        <v>0</v>
      </c>
      <c r="F37" s="5">
        <v>5092</v>
      </c>
      <c r="G37" s="5">
        <v>5092</v>
      </c>
      <c r="H37" s="16"/>
      <c r="I37" s="209"/>
    </row>
    <row r="38" spans="1:9" s="3" customFormat="1" ht="24" customHeight="1">
      <c r="A38" s="4"/>
      <c r="B38" s="9" t="s">
        <v>3</v>
      </c>
      <c r="C38" s="5">
        <v>1711782.83</v>
      </c>
      <c r="D38" s="5">
        <v>1503337.2</v>
      </c>
      <c r="E38" s="5">
        <f t="shared" si="2"/>
        <v>0</v>
      </c>
      <c r="F38" s="5">
        <v>1711782.83</v>
      </c>
      <c r="G38" s="5">
        <v>1460542.64</v>
      </c>
      <c r="H38" s="16"/>
      <c r="I38" s="209"/>
    </row>
    <row r="39" spans="1:9" s="3" customFormat="1" ht="24" customHeight="1">
      <c r="A39" s="4"/>
      <c r="B39" s="9" t="s">
        <v>7</v>
      </c>
      <c r="C39" s="5">
        <v>13989</v>
      </c>
      <c r="D39" s="5">
        <v>3464.5</v>
      </c>
      <c r="E39" s="5">
        <f t="shared" si="2"/>
        <v>140</v>
      </c>
      <c r="F39" s="5">
        <v>14129</v>
      </c>
      <c r="G39" s="5">
        <v>507</v>
      </c>
      <c r="H39" s="16"/>
      <c r="I39" s="209"/>
    </row>
    <row r="40" spans="1:9" s="3" customFormat="1" ht="24" customHeight="1">
      <c r="A40" s="4"/>
      <c r="B40" s="9" t="s">
        <v>8</v>
      </c>
      <c r="C40" s="5">
        <v>5035.29</v>
      </c>
      <c r="D40" s="5">
        <v>1628.08</v>
      </c>
      <c r="E40" s="5">
        <f t="shared" si="2"/>
        <v>0</v>
      </c>
      <c r="F40" s="5">
        <v>5035.29</v>
      </c>
      <c r="G40" s="5">
        <v>923.14</v>
      </c>
      <c r="H40" s="16"/>
      <c r="I40" s="209"/>
    </row>
    <row r="41" spans="1:9" s="3" customFormat="1" ht="24" customHeight="1">
      <c r="A41" s="4"/>
      <c r="B41" s="9" t="s">
        <v>10</v>
      </c>
      <c r="C41" s="5">
        <v>79549</v>
      </c>
      <c r="D41" s="5">
        <v>63578.7</v>
      </c>
      <c r="E41" s="5">
        <f t="shared" si="2"/>
        <v>0</v>
      </c>
      <c r="F41" s="5">
        <v>79549</v>
      </c>
      <c r="G41" s="5">
        <v>47668.9</v>
      </c>
      <c r="H41" s="16"/>
      <c r="I41" s="209"/>
    </row>
    <row r="42" spans="1:9" s="3" customFormat="1" ht="24" customHeight="1">
      <c r="A42" s="4"/>
      <c r="B42" s="9" t="s">
        <v>11</v>
      </c>
      <c r="C42" s="5">
        <v>215352.85</v>
      </c>
      <c r="D42" s="5">
        <v>4622.38</v>
      </c>
      <c r="E42" s="5">
        <f t="shared" si="2"/>
        <v>3199.8099999999977</v>
      </c>
      <c r="F42" s="5">
        <v>218552.66</v>
      </c>
      <c r="G42" s="5">
        <v>3564.44</v>
      </c>
      <c r="H42" s="16"/>
      <c r="I42" s="209"/>
    </row>
    <row r="43" spans="1:9" s="3" customFormat="1" ht="24" customHeight="1" thickBot="1">
      <c r="A43" s="6"/>
      <c r="B43" s="7" t="s">
        <v>32</v>
      </c>
      <c r="C43" s="8">
        <v>3399.12</v>
      </c>
      <c r="D43" s="8"/>
      <c r="E43" s="8">
        <f t="shared" si="2"/>
        <v>112.24000000000024</v>
      </c>
      <c r="F43" s="8">
        <v>3511.36</v>
      </c>
      <c r="G43" s="8"/>
      <c r="H43" s="19"/>
      <c r="I43" s="209"/>
    </row>
    <row r="44" spans="1:9" s="22" customFormat="1" ht="33.75" customHeight="1" thickBot="1">
      <c r="A44" s="29"/>
      <c r="B44" s="30" t="s">
        <v>40</v>
      </c>
      <c r="C44" s="25">
        <f>SUM(C37:C43)</f>
        <v>2034200.0900000003</v>
      </c>
      <c r="D44" s="25">
        <f>SUM(D37:D43)</f>
        <v>1581722.8599999999</v>
      </c>
      <c r="E44" s="25">
        <f>F44-C44</f>
        <v>3452.0499999998137</v>
      </c>
      <c r="F44" s="25">
        <f>SUM(F37:F43)</f>
        <v>2037652.1400000001</v>
      </c>
      <c r="G44" s="25">
        <f>SUM(G37:G43)</f>
        <v>1518298.1199999996</v>
      </c>
      <c r="H44" s="132"/>
      <c r="I44" s="211"/>
    </row>
    <row r="45" spans="1:9" s="22" customFormat="1" ht="52.5" customHeight="1">
      <c r="A45" s="28" t="s">
        <v>14</v>
      </c>
      <c r="B45" s="13" t="s">
        <v>28</v>
      </c>
      <c r="C45" s="24"/>
      <c r="D45" s="24"/>
      <c r="E45" s="24"/>
      <c r="F45" s="24"/>
      <c r="G45" s="24"/>
      <c r="H45" s="134"/>
      <c r="I45" s="223"/>
    </row>
    <row r="46" spans="1:9" s="22" customFormat="1" ht="30" customHeight="1">
      <c r="A46" s="131"/>
      <c r="B46" s="14" t="s">
        <v>7</v>
      </c>
      <c r="C46" s="5">
        <v>3780</v>
      </c>
      <c r="D46" s="5">
        <v>1858.2</v>
      </c>
      <c r="E46" s="5">
        <f>F46-C46</f>
        <v>0</v>
      </c>
      <c r="F46" s="5">
        <v>3780</v>
      </c>
      <c r="G46" s="5">
        <v>724.5</v>
      </c>
      <c r="H46" s="26"/>
      <c r="I46" s="224"/>
    </row>
    <row r="47" spans="1:9" s="22" customFormat="1" ht="30.75" customHeight="1" thickBot="1">
      <c r="A47" s="131"/>
      <c r="B47" s="14" t="s">
        <v>11</v>
      </c>
      <c r="C47" s="5">
        <v>44274.18</v>
      </c>
      <c r="D47" s="5"/>
      <c r="E47" s="5">
        <f>F47-C47</f>
        <v>0</v>
      </c>
      <c r="F47" s="5">
        <v>44274.18</v>
      </c>
      <c r="G47" s="5"/>
      <c r="H47" s="26"/>
      <c r="I47" s="224"/>
    </row>
    <row r="48" spans="1:9" s="22" customFormat="1" ht="33.75" customHeight="1" thickBot="1">
      <c r="A48" s="29"/>
      <c r="B48" s="30" t="s">
        <v>40</v>
      </c>
      <c r="C48" s="25">
        <f>SUM(C46:C47)</f>
        <v>48054.18</v>
      </c>
      <c r="D48" s="25">
        <f>SUM(D46:D47)</f>
        <v>1858.2</v>
      </c>
      <c r="E48" s="25">
        <f>F48-C48</f>
        <v>0</v>
      </c>
      <c r="F48" s="25">
        <f>SUM(F46:F47)</f>
        <v>48054.18</v>
      </c>
      <c r="G48" s="25">
        <f>SUM(G46:G47)</f>
        <v>724.5</v>
      </c>
      <c r="H48" s="132">
        <f>SUM(H46:H47)</f>
        <v>0</v>
      </c>
      <c r="I48" s="225"/>
    </row>
    <row r="49" spans="1:9" s="22" customFormat="1" ht="44.25" customHeight="1">
      <c r="A49" s="28" t="s">
        <v>15</v>
      </c>
      <c r="B49" s="13" t="s">
        <v>23</v>
      </c>
      <c r="C49" s="24"/>
      <c r="D49" s="24"/>
      <c r="E49" s="24"/>
      <c r="F49" s="24"/>
      <c r="G49" s="24"/>
      <c r="H49" s="134">
        <v>95003.56</v>
      </c>
      <c r="I49" s="210" t="s">
        <v>184</v>
      </c>
    </row>
    <row r="50" spans="1:9" s="22" customFormat="1" ht="24.75" customHeight="1">
      <c r="A50" s="131"/>
      <c r="B50" s="14" t="s">
        <v>2</v>
      </c>
      <c r="C50" s="5">
        <v>2069313</v>
      </c>
      <c r="D50" s="5">
        <v>2069313</v>
      </c>
      <c r="E50" s="5">
        <f aca="true" t="shared" si="3" ref="E50:E59">F50-C50</f>
        <v>0</v>
      </c>
      <c r="F50" s="5">
        <v>2069313</v>
      </c>
      <c r="G50" s="5">
        <v>2069313</v>
      </c>
      <c r="H50" s="16"/>
      <c r="I50" s="209"/>
    </row>
    <row r="51" spans="1:9" s="22" customFormat="1" ht="24.75" customHeight="1">
      <c r="A51" s="131"/>
      <c r="B51" s="14" t="s">
        <v>3</v>
      </c>
      <c r="C51" s="5">
        <v>7644391.73</v>
      </c>
      <c r="D51" s="5">
        <v>4141945.62</v>
      </c>
      <c r="E51" s="5">
        <f t="shared" si="3"/>
        <v>194918.21999999974</v>
      </c>
      <c r="F51" s="5">
        <v>7839309.95</v>
      </c>
      <c r="G51" s="5">
        <v>4203027.35</v>
      </c>
      <c r="H51" s="20"/>
      <c r="I51" s="209"/>
    </row>
    <row r="52" spans="1:9" s="22" customFormat="1" ht="24.75" customHeight="1">
      <c r="A52" s="131"/>
      <c r="B52" s="14" t="s">
        <v>6</v>
      </c>
      <c r="C52" s="5">
        <v>1048898.37</v>
      </c>
      <c r="D52" s="5">
        <v>322733.73</v>
      </c>
      <c r="E52" s="5">
        <f t="shared" si="3"/>
        <v>-9610.800000000163</v>
      </c>
      <c r="F52" s="5">
        <v>1039287.57</v>
      </c>
      <c r="G52" s="5">
        <v>313405.25</v>
      </c>
      <c r="H52" s="16"/>
      <c r="I52" s="209"/>
    </row>
    <row r="53" spans="1:9" s="22" customFormat="1" ht="24.75" customHeight="1">
      <c r="A53" s="131"/>
      <c r="B53" s="14" t="s">
        <v>26</v>
      </c>
      <c r="C53" s="5">
        <v>8715.68</v>
      </c>
      <c r="D53" s="5">
        <v>7088.75</v>
      </c>
      <c r="E53" s="5">
        <f t="shared" si="3"/>
        <v>0</v>
      </c>
      <c r="F53" s="5">
        <v>8715.68</v>
      </c>
      <c r="G53" s="5">
        <v>5868.55</v>
      </c>
      <c r="H53" s="16"/>
      <c r="I53" s="209"/>
    </row>
    <row r="54" spans="1:9" s="22" customFormat="1" ht="24.75" customHeight="1">
      <c r="A54" s="131"/>
      <c r="B54" s="14" t="s">
        <v>7</v>
      </c>
      <c r="C54" s="5">
        <v>275471.86</v>
      </c>
      <c r="D54" s="5">
        <v>84.94</v>
      </c>
      <c r="E54" s="5">
        <f t="shared" si="3"/>
        <v>52617.29999999999</v>
      </c>
      <c r="F54" s="5">
        <v>328089.16</v>
      </c>
      <c r="G54" s="5">
        <f>474.23-474.23</f>
        <v>0</v>
      </c>
      <c r="H54" s="16"/>
      <c r="I54" s="209"/>
    </row>
    <row r="55" spans="1:9" s="22" customFormat="1" ht="24.75" customHeight="1">
      <c r="A55" s="131"/>
      <c r="B55" s="14" t="s">
        <v>8</v>
      </c>
      <c r="C55" s="5">
        <v>48692.73</v>
      </c>
      <c r="D55" s="5">
        <v>0</v>
      </c>
      <c r="E55" s="5">
        <f t="shared" si="3"/>
        <v>-30.210000000006403</v>
      </c>
      <c r="F55" s="5">
        <v>48662.52</v>
      </c>
      <c r="G55" s="5">
        <v>0</v>
      </c>
      <c r="H55" s="16"/>
      <c r="I55" s="209"/>
    </row>
    <row r="56" spans="1:9" s="22" customFormat="1" ht="24.75" customHeight="1">
      <c r="A56" s="131"/>
      <c r="B56" s="14" t="s">
        <v>9</v>
      </c>
      <c r="C56" s="5">
        <v>26937.44</v>
      </c>
      <c r="D56" s="5">
        <v>1079.7</v>
      </c>
      <c r="E56" s="5">
        <f t="shared" si="3"/>
        <v>4924.710000000003</v>
      </c>
      <c r="F56" s="5">
        <v>31862.15</v>
      </c>
      <c r="G56" s="5">
        <f>1079.7-1079.7</f>
        <v>0</v>
      </c>
      <c r="H56" s="16"/>
      <c r="I56" s="209"/>
    </row>
    <row r="57" spans="1:9" s="22" customFormat="1" ht="24.75" customHeight="1">
      <c r="A57" s="131"/>
      <c r="B57" s="14" t="s">
        <v>10</v>
      </c>
      <c r="C57" s="5">
        <v>275952.59</v>
      </c>
      <c r="D57" s="5">
        <v>0</v>
      </c>
      <c r="E57" s="5">
        <f t="shared" si="3"/>
        <v>-234.90000000002328</v>
      </c>
      <c r="F57" s="5">
        <v>275717.69</v>
      </c>
      <c r="G57" s="5">
        <v>0</v>
      </c>
      <c r="H57" s="16"/>
      <c r="I57" s="209"/>
    </row>
    <row r="58" spans="1:9" s="22" customFormat="1" ht="24.75" customHeight="1">
      <c r="A58" s="131"/>
      <c r="B58" s="14" t="s">
        <v>11</v>
      </c>
      <c r="C58" s="5">
        <v>609259.18</v>
      </c>
      <c r="D58" s="5">
        <v>0</v>
      </c>
      <c r="E58" s="5">
        <f t="shared" si="3"/>
        <v>39672.939999999944</v>
      </c>
      <c r="F58" s="5">
        <v>648932.12</v>
      </c>
      <c r="G58" s="5">
        <v>0</v>
      </c>
      <c r="H58" s="16"/>
      <c r="I58" s="209"/>
    </row>
    <row r="59" spans="1:9" s="22" customFormat="1" ht="24.75" customHeight="1" thickBot="1">
      <c r="A59" s="135"/>
      <c r="B59" s="7" t="s">
        <v>32</v>
      </c>
      <c r="C59" s="8">
        <v>18232.3</v>
      </c>
      <c r="D59" s="8">
        <v>0</v>
      </c>
      <c r="E59" s="5">
        <f t="shared" si="3"/>
        <v>1656.869999999999</v>
      </c>
      <c r="F59" s="8">
        <v>19889.17</v>
      </c>
      <c r="G59" s="8">
        <v>0</v>
      </c>
      <c r="H59" s="19"/>
      <c r="I59" s="211"/>
    </row>
    <row r="60" spans="1:9" s="22" customFormat="1" ht="33.75" customHeight="1" thickBot="1">
      <c r="A60" s="29"/>
      <c r="B60" s="30" t="s">
        <v>40</v>
      </c>
      <c r="C60" s="25">
        <f>SUM(C50:C59)</f>
        <v>12025864.88</v>
      </c>
      <c r="D60" s="25">
        <f>SUM(D50:D59)</f>
        <v>6542245.74</v>
      </c>
      <c r="E60" s="25">
        <f>SUM(E50:E59)</f>
        <v>283914.1299999994</v>
      </c>
      <c r="F60" s="25">
        <f>SUM(F50:F59)</f>
        <v>12309779.009999998</v>
      </c>
      <c r="G60" s="25">
        <f>SUM(G50:G59)</f>
        <v>6591614.149999999</v>
      </c>
      <c r="H60" s="132">
        <f>H49</f>
        <v>95003.56</v>
      </c>
      <c r="I60" s="159"/>
    </row>
    <row r="61" spans="1:9" s="22" customFormat="1" ht="33.75" customHeight="1" thickBot="1">
      <c r="A61" s="28"/>
      <c r="B61" s="13" t="s">
        <v>49</v>
      </c>
      <c r="C61" s="24">
        <f aca="true" t="shared" si="4" ref="C61:H61">C35+C44+C48+C60</f>
        <v>15492241.510000002</v>
      </c>
      <c r="D61" s="24">
        <f t="shared" si="4"/>
        <v>9025614.5</v>
      </c>
      <c r="E61" s="24">
        <f t="shared" si="4"/>
        <v>371123.2599999993</v>
      </c>
      <c r="F61" s="24">
        <f t="shared" si="4"/>
        <v>15863364.769999998</v>
      </c>
      <c r="G61" s="24">
        <f t="shared" si="4"/>
        <v>9018377.489999998</v>
      </c>
      <c r="H61" s="24">
        <f t="shared" si="4"/>
        <v>142846.65</v>
      </c>
      <c r="I61" s="158"/>
    </row>
    <row r="62" spans="1:9" s="22" customFormat="1" ht="36.75" customHeight="1">
      <c r="A62" s="28" t="s">
        <v>16</v>
      </c>
      <c r="B62" s="13" t="s">
        <v>53</v>
      </c>
      <c r="C62" s="24"/>
      <c r="D62" s="24"/>
      <c r="E62" s="24"/>
      <c r="F62" s="24"/>
      <c r="G62" s="24"/>
      <c r="H62" s="134"/>
      <c r="I62" s="210" t="s">
        <v>180</v>
      </c>
    </row>
    <row r="63" spans="1:9" s="22" customFormat="1" ht="21.75" customHeight="1">
      <c r="A63" s="131"/>
      <c r="B63" s="14" t="s">
        <v>2</v>
      </c>
      <c r="C63" s="5">
        <v>247936</v>
      </c>
      <c r="D63" s="5">
        <v>247936</v>
      </c>
      <c r="E63" s="5">
        <f aca="true" t="shared" si="5" ref="E63:E69">F63-C63</f>
        <v>0</v>
      </c>
      <c r="F63" s="5">
        <v>247936</v>
      </c>
      <c r="G63" s="5">
        <v>247936</v>
      </c>
      <c r="H63" s="16">
        <v>14500.19</v>
      </c>
      <c r="I63" s="215"/>
    </row>
    <row r="64" spans="1:9" s="22" customFormat="1" ht="21.75" customHeight="1">
      <c r="A64" s="131"/>
      <c r="B64" s="14" t="s">
        <v>3</v>
      </c>
      <c r="C64" s="5">
        <v>995228.8</v>
      </c>
      <c r="D64" s="5">
        <v>870825.6</v>
      </c>
      <c r="E64" s="5">
        <f t="shared" si="5"/>
        <v>0</v>
      </c>
      <c r="F64" s="5">
        <v>995228.8</v>
      </c>
      <c r="G64" s="5">
        <v>845944.98</v>
      </c>
      <c r="H64" s="16"/>
      <c r="I64" s="215"/>
    </row>
    <row r="65" spans="1:9" s="22" customFormat="1" ht="21.75" customHeight="1">
      <c r="A65" s="131"/>
      <c r="B65" s="14" t="s">
        <v>26</v>
      </c>
      <c r="C65" s="5">
        <v>175536.62</v>
      </c>
      <c r="D65" s="5">
        <v>103566.62</v>
      </c>
      <c r="E65" s="5">
        <f t="shared" si="5"/>
        <v>0</v>
      </c>
      <c r="F65" s="5">
        <v>175536.62</v>
      </c>
      <c r="G65" s="5">
        <v>91279.06</v>
      </c>
      <c r="H65" s="189"/>
      <c r="I65" s="215"/>
    </row>
    <row r="66" spans="1:9" s="22" customFormat="1" ht="21.75" customHeight="1">
      <c r="A66" s="131"/>
      <c r="B66" s="14" t="s">
        <v>7</v>
      </c>
      <c r="C66" s="5">
        <v>76784.78</v>
      </c>
      <c r="D66" s="5">
        <v>25946.59</v>
      </c>
      <c r="E66" s="5">
        <f t="shared" si="5"/>
        <v>4412.220000000001</v>
      </c>
      <c r="F66" s="5">
        <v>81197</v>
      </c>
      <c r="G66" s="5">
        <v>22928.32</v>
      </c>
      <c r="H66" s="189"/>
      <c r="I66" s="215"/>
    </row>
    <row r="67" spans="1:9" s="22" customFormat="1" ht="21.75" customHeight="1">
      <c r="A67" s="131"/>
      <c r="B67" s="14" t="s">
        <v>8</v>
      </c>
      <c r="C67" s="5">
        <v>84986.36</v>
      </c>
      <c r="D67" s="5">
        <v>32294.82</v>
      </c>
      <c r="E67" s="5">
        <f t="shared" si="5"/>
        <v>0</v>
      </c>
      <c r="F67" s="5">
        <v>84986.36</v>
      </c>
      <c r="G67" s="5">
        <v>20432.72</v>
      </c>
      <c r="H67" s="189"/>
      <c r="I67" s="215"/>
    </row>
    <row r="68" spans="1:9" s="22" customFormat="1" ht="21.75" customHeight="1">
      <c r="A68" s="131"/>
      <c r="B68" s="14" t="s">
        <v>9</v>
      </c>
      <c r="C68" s="5">
        <v>506776</v>
      </c>
      <c r="D68" s="5">
        <v>253549.31</v>
      </c>
      <c r="E68" s="5">
        <f t="shared" si="5"/>
        <v>0</v>
      </c>
      <c r="F68" s="5">
        <v>506776</v>
      </c>
      <c r="G68" s="5">
        <v>204453.91</v>
      </c>
      <c r="H68" s="189"/>
      <c r="I68" s="215"/>
    </row>
    <row r="69" spans="1:9" s="22" customFormat="1" ht="21.75" customHeight="1">
      <c r="A69" s="131"/>
      <c r="B69" s="14" t="s">
        <v>10</v>
      </c>
      <c r="C69" s="5">
        <v>80595</v>
      </c>
      <c r="D69" s="5"/>
      <c r="E69" s="5">
        <f t="shared" si="5"/>
        <v>0</v>
      </c>
      <c r="F69" s="5">
        <v>80595</v>
      </c>
      <c r="G69" s="5"/>
      <c r="H69" s="189"/>
      <c r="I69" s="215"/>
    </row>
    <row r="70" spans="1:9" s="22" customFormat="1" ht="21.75" customHeight="1">
      <c r="A70" s="131"/>
      <c r="B70" s="14" t="s">
        <v>11</v>
      </c>
      <c r="C70" s="5">
        <v>770780.77</v>
      </c>
      <c r="D70" s="5">
        <v>14682.77</v>
      </c>
      <c r="E70" s="5">
        <f>F70-C70</f>
        <v>1007.390000000014</v>
      </c>
      <c r="F70" s="5">
        <v>771788.16</v>
      </c>
      <c r="G70" s="5">
        <v>2690.91</v>
      </c>
      <c r="H70" s="189"/>
      <c r="I70" s="215"/>
    </row>
    <row r="71" spans="1:9" s="22" customFormat="1" ht="21.75" customHeight="1" thickBot="1">
      <c r="A71" s="135"/>
      <c r="B71" s="7" t="s">
        <v>32</v>
      </c>
      <c r="C71" s="8">
        <v>5245</v>
      </c>
      <c r="D71" s="8"/>
      <c r="E71" s="8"/>
      <c r="F71" s="8">
        <v>5245.9</v>
      </c>
      <c r="G71" s="8"/>
      <c r="H71" s="190"/>
      <c r="I71" s="215"/>
    </row>
    <row r="72" spans="1:9" s="22" customFormat="1" ht="33.75" customHeight="1" thickBot="1">
      <c r="A72" s="29"/>
      <c r="B72" s="30" t="s">
        <v>40</v>
      </c>
      <c r="C72" s="25">
        <f>SUM(C63:C71)</f>
        <v>2943869.33</v>
      </c>
      <c r="D72" s="25">
        <f>SUM(D63:D71)</f>
        <v>1548801.7100000004</v>
      </c>
      <c r="E72" s="25">
        <f>F72-C72</f>
        <v>5420.510000000242</v>
      </c>
      <c r="F72" s="25">
        <f>SUM(F63:F71)</f>
        <v>2949289.8400000003</v>
      </c>
      <c r="G72" s="25">
        <f>SUM(G63:G71)</f>
        <v>1435665.9</v>
      </c>
      <c r="H72" s="132">
        <f>SUM(H63:H71)</f>
        <v>14500.19</v>
      </c>
      <c r="I72" s="216"/>
    </row>
    <row r="73" spans="1:9" s="22" customFormat="1" ht="43.5" customHeight="1">
      <c r="A73" s="28" t="s">
        <v>17</v>
      </c>
      <c r="B73" s="13" t="s">
        <v>54</v>
      </c>
      <c r="C73" s="24"/>
      <c r="D73" s="24"/>
      <c r="E73" s="24"/>
      <c r="F73" s="24"/>
      <c r="G73" s="24"/>
      <c r="H73" s="134"/>
      <c r="I73" s="210" t="s">
        <v>55</v>
      </c>
    </row>
    <row r="74" spans="1:9" s="22" customFormat="1" ht="25.5" customHeight="1">
      <c r="A74" s="131"/>
      <c r="B74" s="14" t="s">
        <v>2</v>
      </c>
      <c r="C74" s="5">
        <v>27716</v>
      </c>
      <c r="D74" s="5">
        <f>C74</f>
        <v>27716</v>
      </c>
      <c r="E74" s="5">
        <f aca="true" t="shared" si="6" ref="E74:E82">F74-C74</f>
        <v>0</v>
      </c>
      <c r="F74" s="5">
        <v>27716</v>
      </c>
      <c r="G74" s="5">
        <f>F74</f>
        <v>27716</v>
      </c>
      <c r="H74" s="16"/>
      <c r="I74" s="209"/>
    </row>
    <row r="75" spans="1:9" s="22" customFormat="1" ht="25.5" customHeight="1">
      <c r="A75" s="131"/>
      <c r="B75" s="14" t="s">
        <v>3</v>
      </c>
      <c r="C75" s="5">
        <v>653257.06</v>
      </c>
      <c r="D75" s="5">
        <v>563621.84</v>
      </c>
      <c r="E75" s="5">
        <f t="shared" si="6"/>
        <v>20670.22999999998</v>
      </c>
      <c r="F75" s="5">
        <v>673927.29</v>
      </c>
      <c r="G75" s="5">
        <v>574493.22</v>
      </c>
      <c r="H75" s="16"/>
      <c r="I75" s="209"/>
    </row>
    <row r="76" spans="1:9" s="22" customFormat="1" ht="25.5" customHeight="1">
      <c r="A76" s="131"/>
      <c r="B76" s="14" t="s">
        <v>6</v>
      </c>
      <c r="C76" s="5">
        <v>164370.87</v>
      </c>
      <c r="D76" s="5">
        <v>122685.75</v>
      </c>
      <c r="E76" s="5">
        <f t="shared" si="6"/>
        <v>0</v>
      </c>
      <c r="F76" s="5">
        <v>164370.87</v>
      </c>
      <c r="G76" s="5">
        <v>115289.05</v>
      </c>
      <c r="H76" s="16"/>
      <c r="I76" s="209"/>
    </row>
    <row r="77" spans="1:9" s="22" customFormat="1" ht="25.5" customHeight="1">
      <c r="A77" s="131"/>
      <c r="B77" s="14" t="s">
        <v>26</v>
      </c>
      <c r="C77" s="5">
        <v>87396.93</v>
      </c>
      <c r="D77" s="5">
        <v>31899.88</v>
      </c>
      <c r="E77" s="5">
        <f t="shared" si="6"/>
        <v>0</v>
      </c>
      <c r="F77" s="5">
        <v>87396.93</v>
      </c>
      <c r="G77" s="5">
        <v>25782.09</v>
      </c>
      <c r="H77" s="16"/>
      <c r="I77" s="209"/>
    </row>
    <row r="78" spans="1:9" s="22" customFormat="1" ht="25.5" customHeight="1">
      <c r="A78" s="131"/>
      <c r="B78" s="14" t="s">
        <v>7</v>
      </c>
      <c r="C78" s="5">
        <v>22619.48</v>
      </c>
      <c r="D78" s="5">
        <v>4616.5</v>
      </c>
      <c r="E78" s="5">
        <f t="shared" si="6"/>
        <v>0</v>
      </c>
      <c r="F78" s="5">
        <v>22619.48</v>
      </c>
      <c r="G78" s="5">
        <v>2638</v>
      </c>
      <c r="H78" s="16"/>
      <c r="I78" s="209"/>
    </row>
    <row r="79" spans="1:9" s="22" customFormat="1" ht="25.5" customHeight="1">
      <c r="A79" s="131"/>
      <c r="B79" s="14" t="s">
        <v>9</v>
      </c>
      <c r="C79" s="5">
        <v>58884.16</v>
      </c>
      <c r="D79" s="5">
        <v>7307.23</v>
      </c>
      <c r="E79" s="5">
        <f t="shared" si="6"/>
        <v>0</v>
      </c>
      <c r="F79" s="5">
        <v>58884.16</v>
      </c>
      <c r="G79" s="5">
        <v>2367.31</v>
      </c>
      <c r="H79" s="16"/>
      <c r="I79" s="209"/>
    </row>
    <row r="80" spans="1:9" s="22" customFormat="1" ht="25.5" customHeight="1">
      <c r="A80" s="131"/>
      <c r="B80" s="14" t="s">
        <v>10</v>
      </c>
      <c r="C80" s="5">
        <v>64046.75</v>
      </c>
      <c r="D80" s="5"/>
      <c r="E80" s="5">
        <f t="shared" si="6"/>
        <v>0</v>
      </c>
      <c r="F80" s="5">
        <v>64046.75</v>
      </c>
      <c r="G80" s="5"/>
      <c r="H80" s="16"/>
      <c r="I80" s="209"/>
    </row>
    <row r="81" spans="1:9" s="22" customFormat="1" ht="25.5" customHeight="1">
      <c r="A81" s="131"/>
      <c r="B81" s="14" t="s">
        <v>11</v>
      </c>
      <c r="C81" s="5">
        <v>33087.41</v>
      </c>
      <c r="D81" s="5">
        <v>15002.96</v>
      </c>
      <c r="E81" s="5">
        <f t="shared" si="6"/>
        <v>0</v>
      </c>
      <c r="F81" s="5">
        <v>33087.41</v>
      </c>
      <c r="G81" s="5">
        <v>10203.48</v>
      </c>
      <c r="H81" s="16"/>
      <c r="I81" s="209"/>
    </row>
    <row r="82" spans="1:9" s="22" customFormat="1" ht="25.5" customHeight="1" thickBot="1">
      <c r="A82" s="135"/>
      <c r="B82" s="7" t="s">
        <v>32</v>
      </c>
      <c r="C82" s="8">
        <v>3399.4</v>
      </c>
      <c r="D82" s="8">
        <v>3399.4</v>
      </c>
      <c r="E82" s="8">
        <f t="shared" si="6"/>
        <v>0</v>
      </c>
      <c r="F82" s="8">
        <v>3399.4</v>
      </c>
      <c r="G82" s="8"/>
      <c r="H82" s="19"/>
      <c r="I82" s="209"/>
    </row>
    <row r="83" spans="1:9" s="22" customFormat="1" ht="33.75" customHeight="1" thickBot="1">
      <c r="A83" s="29"/>
      <c r="B83" s="30" t="s">
        <v>40</v>
      </c>
      <c r="C83" s="25">
        <f>SUM(C74:C82)</f>
        <v>1114778.0599999998</v>
      </c>
      <c r="D83" s="25">
        <f>SUM(D74:D82)</f>
        <v>776249.5599999999</v>
      </c>
      <c r="E83" s="25">
        <f>F83-C83</f>
        <v>20670.22999999998</v>
      </c>
      <c r="F83" s="25">
        <f>SUM(F74:F82)</f>
        <v>1135448.2899999998</v>
      </c>
      <c r="G83" s="25">
        <f>SUM(G74:G82)</f>
        <v>758489.15</v>
      </c>
      <c r="H83" s="132">
        <f>SUM(H74:H82)</f>
        <v>0</v>
      </c>
      <c r="I83" s="211"/>
    </row>
    <row r="84" spans="1:9" s="22" customFormat="1" ht="37.5" customHeight="1">
      <c r="A84" s="28" t="s">
        <v>18</v>
      </c>
      <c r="B84" s="13" t="s">
        <v>52</v>
      </c>
      <c r="C84" s="24"/>
      <c r="D84" s="24"/>
      <c r="E84" s="24"/>
      <c r="F84" s="24"/>
      <c r="G84" s="24"/>
      <c r="H84" s="193">
        <v>59236.8</v>
      </c>
      <c r="I84" s="210" t="s">
        <v>181</v>
      </c>
    </row>
    <row r="85" spans="1:9" s="22" customFormat="1" ht="25.5" customHeight="1">
      <c r="A85" s="131"/>
      <c r="B85" s="14" t="s">
        <v>2</v>
      </c>
      <c r="C85" s="5">
        <v>43142</v>
      </c>
      <c r="D85" s="5">
        <v>43142</v>
      </c>
      <c r="E85" s="5">
        <f aca="true" t="shared" si="7" ref="E85:E94">F85-C85</f>
        <v>0</v>
      </c>
      <c r="F85" s="5">
        <v>43142</v>
      </c>
      <c r="G85" s="5">
        <v>43142</v>
      </c>
      <c r="H85" s="191"/>
      <c r="I85" s="209"/>
    </row>
    <row r="86" spans="1:9" s="22" customFormat="1" ht="25.5" customHeight="1">
      <c r="A86" s="131"/>
      <c r="B86" s="14" t="s">
        <v>3</v>
      </c>
      <c r="C86" s="5">
        <v>3014167.38</v>
      </c>
      <c r="D86" s="5">
        <v>2223149.28</v>
      </c>
      <c r="E86" s="5">
        <f t="shared" si="7"/>
        <v>107871.49000000022</v>
      </c>
      <c r="F86" s="5">
        <v>3122038.87</v>
      </c>
      <c r="G86" s="5">
        <v>2296103.47</v>
      </c>
      <c r="H86" s="191"/>
      <c r="I86" s="209"/>
    </row>
    <row r="87" spans="1:9" s="22" customFormat="1" ht="25.5" customHeight="1">
      <c r="A87" s="131"/>
      <c r="B87" s="14" t="s">
        <v>6</v>
      </c>
      <c r="C87" s="5">
        <v>705920.94</v>
      </c>
      <c r="D87" s="5">
        <v>510654.45</v>
      </c>
      <c r="E87" s="5">
        <f t="shared" si="7"/>
        <v>0</v>
      </c>
      <c r="F87" s="5">
        <v>705920.94</v>
      </c>
      <c r="G87" s="5">
        <v>478888.05</v>
      </c>
      <c r="H87" s="191"/>
      <c r="I87" s="209"/>
    </row>
    <row r="88" spans="1:9" s="22" customFormat="1" ht="25.5" customHeight="1">
      <c r="A88" s="131"/>
      <c r="B88" s="14" t="s">
        <v>26</v>
      </c>
      <c r="C88" s="5">
        <v>132363.74</v>
      </c>
      <c r="D88" s="5">
        <v>75054.35</v>
      </c>
      <c r="E88" s="5">
        <f t="shared" si="7"/>
        <v>0</v>
      </c>
      <c r="F88" s="5">
        <v>132363.74</v>
      </c>
      <c r="G88" s="5">
        <v>67957.19</v>
      </c>
      <c r="H88" s="191"/>
      <c r="I88" s="209"/>
    </row>
    <row r="89" spans="1:9" s="22" customFormat="1" ht="25.5" customHeight="1">
      <c r="A89" s="131"/>
      <c r="B89" s="14" t="s">
        <v>7</v>
      </c>
      <c r="C89" s="5">
        <v>113876.95</v>
      </c>
      <c r="D89" s="5">
        <v>29987.27</v>
      </c>
      <c r="E89" s="5">
        <f t="shared" si="7"/>
        <v>4056.6399999999994</v>
      </c>
      <c r="F89" s="5">
        <v>117933.59</v>
      </c>
      <c r="G89" s="5">
        <v>48363.8</v>
      </c>
      <c r="H89" s="191"/>
      <c r="I89" s="209"/>
    </row>
    <row r="90" spans="1:9" s="22" customFormat="1" ht="25.5" customHeight="1">
      <c r="A90" s="131"/>
      <c r="B90" s="14" t="s">
        <v>8</v>
      </c>
      <c r="C90" s="5">
        <v>52514.89</v>
      </c>
      <c r="D90" s="5">
        <v>21207.05</v>
      </c>
      <c r="E90" s="5">
        <f t="shared" si="7"/>
        <v>5160.059999999998</v>
      </c>
      <c r="F90" s="5">
        <v>57674.95</v>
      </c>
      <c r="G90" s="5">
        <v>20254.25</v>
      </c>
      <c r="H90" s="191"/>
      <c r="I90" s="209"/>
    </row>
    <row r="91" spans="1:9" s="22" customFormat="1" ht="25.5" customHeight="1">
      <c r="A91" s="131"/>
      <c r="B91" s="14" t="s">
        <v>9</v>
      </c>
      <c r="C91" s="5">
        <v>443693.25</v>
      </c>
      <c r="D91" s="5">
        <v>122562.4</v>
      </c>
      <c r="E91" s="5">
        <f t="shared" si="7"/>
        <v>0</v>
      </c>
      <c r="F91" s="5">
        <v>443693.25</v>
      </c>
      <c r="G91" s="5">
        <v>38218.82</v>
      </c>
      <c r="H91" s="191"/>
      <c r="I91" s="209"/>
    </row>
    <row r="92" spans="1:9" s="22" customFormat="1" ht="25.5" customHeight="1">
      <c r="A92" s="131"/>
      <c r="B92" s="14" t="s">
        <v>10</v>
      </c>
      <c r="C92" s="5">
        <v>252270.34</v>
      </c>
      <c r="D92" s="5">
        <v>33085.53</v>
      </c>
      <c r="E92" s="5">
        <f t="shared" si="7"/>
        <v>0</v>
      </c>
      <c r="F92" s="5">
        <v>252270.34</v>
      </c>
      <c r="G92" s="5">
        <v>3097.53</v>
      </c>
      <c r="H92" s="191"/>
      <c r="I92" s="209"/>
    </row>
    <row r="93" spans="1:9" s="22" customFormat="1" ht="25.5" customHeight="1">
      <c r="A93" s="131"/>
      <c r="B93" s="14" t="s">
        <v>11</v>
      </c>
      <c r="C93" s="5">
        <v>40963.99</v>
      </c>
      <c r="D93" s="5">
        <v>2691.26</v>
      </c>
      <c r="E93" s="5">
        <f t="shared" si="7"/>
        <v>0</v>
      </c>
      <c r="F93" s="5">
        <v>40963.99</v>
      </c>
      <c r="G93" s="5">
        <v>344.82</v>
      </c>
      <c r="H93" s="191"/>
      <c r="I93" s="209"/>
    </row>
    <row r="94" spans="1:9" s="22" customFormat="1" ht="25.5" customHeight="1" thickBot="1">
      <c r="A94" s="135"/>
      <c r="B94" s="7" t="s">
        <v>32</v>
      </c>
      <c r="C94" s="8">
        <v>7576.33</v>
      </c>
      <c r="D94" s="8">
        <v>6298.46</v>
      </c>
      <c r="E94" s="8">
        <f t="shared" si="7"/>
        <v>18248</v>
      </c>
      <c r="F94" s="8">
        <v>25824.33</v>
      </c>
      <c r="G94" s="8">
        <v>20018.01</v>
      </c>
      <c r="H94" s="192"/>
      <c r="I94" s="209"/>
    </row>
    <row r="95" spans="1:9" s="22" customFormat="1" ht="33.75" customHeight="1" thickBot="1">
      <c r="A95" s="29"/>
      <c r="B95" s="30" t="s">
        <v>40</v>
      </c>
      <c r="C95" s="25">
        <f>SUM(C85:C94)</f>
        <v>4806489.8100000005</v>
      </c>
      <c r="D95" s="25">
        <f>SUM(D85:D94)</f>
        <v>3067832.0499999993</v>
      </c>
      <c r="E95" s="25">
        <f>F95-C95</f>
        <v>135336.18999999948</v>
      </c>
      <c r="F95" s="25">
        <f>SUM(F85:F94)</f>
        <v>4941826</v>
      </c>
      <c r="G95" s="25">
        <f>SUM(G85:G94)</f>
        <v>3016387.939999999</v>
      </c>
      <c r="H95" s="132">
        <f>H84</f>
        <v>59236.8</v>
      </c>
      <c r="I95" s="133"/>
    </row>
    <row r="96" spans="1:9" s="3" customFormat="1" ht="34.5" customHeight="1">
      <c r="A96" s="169" t="s">
        <v>19</v>
      </c>
      <c r="B96" s="13" t="s">
        <v>35</v>
      </c>
      <c r="C96" s="2"/>
      <c r="D96" s="2"/>
      <c r="E96" s="24"/>
      <c r="F96" s="2"/>
      <c r="G96" s="2"/>
      <c r="H96" s="18">
        <v>14147.54</v>
      </c>
      <c r="I96" s="212" t="s">
        <v>192</v>
      </c>
    </row>
    <row r="97" spans="1:9" s="3" customFormat="1" ht="24.75" customHeight="1">
      <c r="A97" s="4"/>
      <c r="B97" s="14" t="s">
        <v>2</v>
      </c>
      <c r="C97" s="5">
        <v>295876</v>
      </c>
      <c r="D97" s="5">
        <f>C97</f>
        <v>295876</v>
      </c>
      <c r="E97" s="5">
        <f aca="true" t="shared" si="8" ref="E97:E105">F97-C97</f>
        <v>0</v>
      </c>
      <c r="F97" s="5">
        <v>295876</v>
      </c>
      <c r="G97" s="5">
        <f>F97</f>
        <v>295876</v>
      </c>
      <c r="H97" s="16"/>
      <c r="I97" s="213"/>
    </row>
    <row r="98" spans="1:9" s="3" customFormat="1" ht="24.75" customHeight="1">
      <c r="A98" s="4"/>
      <c r="B98" s="14" t="s">
        <v>3</v>
      </c>
      <c r="C98" s="5">
        <v>5428048.72</v>
      </c>
      <c r="D98" s="5">
        <v>5105541.92</v>
      </c>
      <c r="E98" s="5">
        <f t="shared" si="8"/>
        <v>116793.3200000003</v>
      </c>
      <c r="F98" s="5">
        <v>5544842.04</v>
      </c>
      <c r="G98" s="5">
        <v>5139224.1</v>
      </c>
      <c r="H98" s="16"/>
      <c r="I98" s="213"/>
    </row>
    <row r="99" spans="1:9" s="3" customFormat="1" ht="24.75" customHeight="1">
      <c r="A99" s="4"/>
      <c r="B99" s="14" t="s">
        <v>26</v>
      </c>
      <c r="C99" s="5">
        <v>26700</v>
      </c>
      <c r="D99" s="5">
        <v>23286.5</v>
      </c>
      <c r="E99" s="5">
        <f t="shared" si="8"/>
        <v>0</v>
      </c>
      <c r="F99" s="5">
        <v>26700</v>
      </c>
      <c r="G99" s="5">
        <v>20753.5</v>
      </c>
      <c r="H99" s="16"/>
      <c r="I99" s="213"/>
    </row>
    <row r="100" spans="1:9" s="3" customFormat="1" ht="24.75" customHeight="1">
      <c r="A100" s="4"/>
      <c r="B100" s="14" t="s">
        <v>7</v>
      </c>
      <c r="C100" s="5">
        <v>134489.63</v>
      </c>
      <c r="D100" s="5">
        <v>83546.71</v>
      </c>
      <c r="E100" s="5">
        <f t="shared" si="8"/>
        <v>0</v>
      </c>
      <c r="F100" s="5">
        <v>134489.63</v>
      </c>
      <c r="G100" s="5">
        <v>69100.63</v>
      </c>
      <c r="H100" s="16"/>
      <c r="I100" s="213"/>
    </row>
    <row r="101" spans="1:9" s="3" customFormat="1" ht="24.75" customHeight="1">
      <c r="A101" s="4"/>
      <c r="B101" s="14" t="s">
        <v>8</v>
      </c>
      <c r="C101" s="5">
        <f>38022.19</f>
        <v>38022.19</v>
      </c>
      <c r="D101" s="5">
        <v>22880.19</v>
      </c>
      <c r="E101" s="5">
        <f t="shared" si="8"/>
        <v>0</v>
      </c>
      <c r="F101" s="5">
        <v>38022.19</v>
      </c>
      <c r="G101" s="5">
        <v>16122.36</v>
      </c>
      <c r="H101" s="16"/>
      <c r="I101" s="213"/>
    </row>
    <row r="102" spans="1:9" s="3" customFormat="1" ht="24.75" customHeight="1">
      <c r="A102" s="4"/>
      <c r="B102" s="14" t="s">
        <v>9</v>
      </c>
      <c r="C102" s="5">
        <v>167669.42</v>
      </c>
      <c r="D102" s="5">
        <v>141112.81</v>
      </c>
      <c r="E102" s="5">
        <f t="shared" si="8"/>
        <v>0</v>
      </c>
      <c r="F102" s="5">
        <v>167669.42</v>
      </c>
      <c r="G102" s="5">
        <v>114258.32</v>
      </c>
      <c r="H102" s="16"/>
      <c r="I102" s="213"/>
    </row>
    <row r="103" spans="1:9" s="3" customFormat="1" ht="24.75" customHeight="1">
      <c r="A103" s="4"/>
      <c r="B103" s="14" t="s">
        <v>10</v>
      </c>
      <c r="C103" s="5">
        <v>204746.01</v>
      </c>
      <c r="D103" s="5">
        <v>33491.35</v>
      </c>
      <c r="E103" s="5">
        <f t="shared" si="8"/>
        <v>5000</v>
      </c>
      <c r="F103" s="5">
        <v>209746.01</v>
      </c>
      <c r="G103" s="5">
        <v>13752.08</v>
      </c>
      <c r="H103" s="16"/>
      <c r="I103" s="213"/>
    </row>
    <row r="104" spans="1:9" s="3" customFormat="1" ht="24.75" customHeight="1">
      <c r="A104" s="4"/>
      <c r="B104" s="14" t="s">
        <v>11</v>
      </c>
      <c r="C104" s="5">
        <v>44087.8</v>
      </c>
      <c r="D104" s="5">
        <v>17245.31</v>
      </c>
      <c r="E104" s="5">
        <f t="shared" si="8"/>
        <v>0</v>
      </c>
      <c r="F104" s="5">
        <v>44087.8</v>
      </c>
      <c r="G104" s="5">
        <v>7697.21</v>
      </c>
      <c r="H104" s="16"/>
      <c r="I104" s="213"/>
    </row>
    <row r="105" spans="1:9" s="3" customFormat="1" ht="24.75" customHeight="1" thickBot="1">
      <c r="A105" s="6"/>
      <c r="B105" s="7" t="s">
        <v>32</v>
      </c>
      <c r="C105" s="8">
        <v>4200</v>
      </c>
      <c r="D105" s="8">
        <v>0</v>
      </c>
      <c r="E105" s="8">
        <f t="shared" si="8"/>
        <v>0</v>
      </c>
      <c r="F105" s="8">
        <v>4200</v>
      </c>
      <c r="G105" s="8">
        <v>0</v>
      </c>
      <c r="H105" s="19"/>
      <c r="I105" s="213"/>
    </row>
    <row r="106" spans="1:9" s="22" customFormat="1" ht="33.75" customHeight="1" thickBot="1">
      <c r="A106" s="29"/>
      <c r="B106" s="30" t="s">
        <v>40</v>
      </c>
      <c r="C106" s="25">
        <f>SUM(C97:C105)</f>
        <v>6343839.77</v>
      </c>
      <c r="D106" s="25">
        <f>SUM(D97:D105)</f>
        <v>5722980.789999999</v>
      </c>
      <c r="E106" s="25">
        <f>F106-C106</f>
        <v>121793.3200000003</v>
      </c>
      <c r="F106" s="25">
        <f>SUM(F97:F105)</f>
        <v>6465633.09</v>
      </c>
      <c r="G106" s="25">
        <f>SUM(G97:G105)</f>
        <v>5676784.2</v>
      </c>
      <c r="H106" s="132">
        <f>SUM(H97:H105)</f>
        <v>0</v>
      </c>
      <c r="I106" s="214"/>
    </row>
    <row r="107" spans="1:9" s="22" customFormat="1" ht="33.75" customHeight="1" thickBot="1">
      <c r="A107" s="28"/>
      <c r="B107" s="15" t="s">
        <v>50</v>
      </c>
      <c r="C107" s="24">
        <f aca="true" t="shared" si="9" ref="C107:H107">C72+C83+C95+C106</f>
        <v>15208976.969999999</v>
      </c>
      <c r="D107" s="24">
        <f t="shared" si="9"/>
        <v>11115864.11</v>
      </c>
      <c r="E107" s="24">
        <f t="shared" si="9"/>
        <v>283220.25</v>
      </c>
      <c r="F107" s="24">
        <f t="shared" si="9"/>
        <v>15492197.219999999</v>
      </c>
      <c r="G107" s="24">
        <f t="shared" si="9"/>
        <v>10887327.189999998</v>
      </c>
      <c r="H107" s="24">
        <f t="shared" si="9"/>
        <v>73736.99</v>
      </c>
      <c r="I107" s="158"/>
    </row>
    <row r="108" spans="1:9" s="22" customFormat="1" ht="36" customHeight="1">
      <c r="A108" s="28" t="s">
        <v>20</v>
      </c>
      <c r="B108" s="15" t="s">
        <v>29</v>
      </c>
      <c r="C108" s="24"/>
      <c r="D108" s="27"/>
      <c r="E108" s="27"/>
      <c r="F108" s="24"/>
      <c r="G108" s="27"/>
      <c r="H108" s="134">
        <v>4108.6</v>
      </c>
      <c r="I108" s="210" t="s">
        <v>182</v>
      </c>
    </row>
    <row r="109" spans="1:9" s="22" customFormat="1" ht="27.75" customHeight="1">
      <c r="A109" s="131"/>
      <c r="B109" s="9" t="s">
        <v>3</v>
      </c>
      <c r="C109" s="5">
        <v>80155.63</v>
      </c>
      <c r="D109" s="5">
        <v>19739.78</v>
      </c>
      <c r="E109" s="5">
        <f aca="true" t="shared" si="10" ref="E109:E117">F109-C109</f>
        <v>94118.62</v>
      </c>
      <c r="F109" s="5">
        <v>174274.25</v>
      </c>
      <c r="G109" s="5">
        <v>110931.45</v>
      </c>
      <c r="H109" s="189"/>
      <c r="I109" s="209"/>
    </row>
    <row r="110" spans="1:9" s="22" customFormat="1" ht="27.75" customHeight="1">
      <c r="A110" s="131"/>
      <c r="B110" s="9" t="s">
        <v>6</v>
      </c>
      <c r="C110" s="5">
        <v>3274571.95</v>
      </c>
      <c r="D110" s="5">
        <v>3011484.93</v>
      </c>
      <c r="E110" s="5">
        <f t="shared" si="10"/>
        <v>1551381.1600000001</v>
      </c>
      <c r="F110" s="5">
        <v>4825953.11</v>
      </c>
      <c r="G110" s="5">
        <v>4387677.96</v>
      </c>
      <c r="H110" s="189"/>
      <c r="I110" s="209"/>
    </row>
    <row r="111" spans="1:9" s="22" customFormat="1" ht="27.75" customHeight="1">
      <c r="A111" s="131"/>
      <c r="B111" s="9" t="s">
        <v>26</v>
      </c>
      <c r="C111" s="5">
        <v>3502.65</v>
      </c>
      <c r="D111" s="5">
        <v>1652.29</v>
      </c>
      <c r="E111" s="5">
        <f t="shared" si="10"/>
        <v>0</v>
      </c>
      <c r="F111" s="5">
        <v>3502.65</v>
      </c>
      <c r="G111" s="5">
        <v>1407.1</v>
      </c>
      <c r="H111" s="189"/>
      <c r="I111" s="209"/>
    </row>
    <row r="112" spans="1:9" s="22" customFormat="1" ht="27.75" customHeight="1">
      <c r="A112" s="131"/>
      <c r="B112" s="9" t="s">
        <v>7</v>
      </c>
      <c r="C112" s="5">
        <v>34530.66</v>
      </c>
      <c r="D112" s="5">
        <v>14033.68</v>
      </c>
      <c r="E112" s="5">
        <f t="shared" si="10"/>
        <v>2011</v>
      </c>
      <c r="F112" s="5">
        <v>36541.66</v>
      </c>
      <c r="G112" s="5">
        <v>5951.63</v>
      </c>
      <c r="H112" s="189"/>
      <c r="I112" s="209"/>
    </row>
    <row r="113" spans="1:9" s="22" customFormat="1" ht="27.75" customHeight="1">
      <c r="A113" s="131"/>
      <c r="B113" s="9" t="s">
        <v>8</v>
      </c>
      <c r="C113" s="5">
        <v>56535.13</v>
      </c>
      <c r="D113" s="5">
        <v>34015.77</v>
      </c>
      <c r="E113" s="5">
        <f t="shared" si="10"/>
        <v>0</v>
      </c>
      <c r="F113" s="5">
        <v>56535.13</v>
      </c>
      <c r="G113" s="5">
        <v>25206.1</v>
      </c>
      <c r="H113" s="189"/>
      <c r="I113" s="209"/>
    </row>
    <row r="114" spans="1:9" s="22" customFormat="1" ht="27.75" customHeight="1">
      <c r="A114" s="131"/>
      <c r="B114" s="9" t="s">
        <v>9</v>
      </c>
      <c r="C114" s="5">
        <v>20238.32</v>
      </c>
      <c r="D114" s="5"/>
      <c r="E114" s="5">
        <f t="shared" si="10"/>
        <v>0</v>
      </c>
      <c r="F114" s="5">
        <v>20238.32</v>
      </c>
      <c r="G114" s="5"/>
      <c r="H114" s="189"/>
      <c r="I114" s="209"/>
    </row>
    <row r="115" spans="1:9" s="22" customFormat="1" ht="27.75" customHeight="1">
      <c r="A115" s="131"/>
      <c r="B115" s="9" t="s">
        <v>10</v>
      </c>
      <c r="C115" s="5">
        <v>136067.22</v>
      </c>
      <c r="D115" s="5">
        <v>60023.96</v>
      </c>
      <c r="E115" s="5">
        <f t="shared" si="10"/>
        <v>0</v>
      </c>
      <c r="F115" s="5">
        <v>136067.22</v>
      </c>
      <c r="G115" s="5">
        <v>42337.16</v>
      </c>
      <c r="H115" s="189"/>
      <c r="I115" s="209"/>
    </row>
    <row r="116" spans="1:9" s="22" customFormat="1" ht="27.75" customHeight="1">
      <c r="A116" s="131"/>
      <c r="B116" s="9" t="s">
        <v>11</v>
      </c>
      <c r="C116" s="5">
        <v>38517.93</v>
      </c>
      <c r="D116" s="5">
        <v>3823.85</v>
      </c>
      <c r="E116" s="5">
        <f t="shared" si="10"/>
        <v>5358.129999999997</v>
      </c>
      <c r="F116" s="5">
        <v>43876.06</v>
      </c>
      <c r="G116" s="5">
        <v>3055.42</v>
      </c>
      <c r="H116" s="189"/>
      <c r="I116" s="209"/>
    </row>
    <row r="117" spans="1:9" s="22" customFormat="1" ht="27.75" customHeight="1" thickBot="1">
      <c r="A117" s="135"/>
      <c r="B117" s="7" t="s">
        <v>32</v>
      </c>
      <c r="C117" s="8">
        <v>9858.7</v>
      </c>
      <c r="D117" s="8"/>
      <c r="E117" s="8">
        <f t="shared" si="10"/>
        <v>1085.7999999999993</v>
      </c>
      <c r="F117" s="8">
        <f>10700.5+244</f>
        <v>10944.5</v>
      </c>
      <c r="G117" s="8"/>
      <c r="H117" s="190"/>
      <c r="I117" s="211"/>
    </row>
    <row r="118" spans="1:9" s="22" customFormat="1" ht="33.75" customHeight="1" thickBot="1">
      <c r="A118" s="29"/>
      <c r="B118" s="30" t="s">
        <v>40</v>
      </c>
      <c r="C118" s="25">
        <f>SUM(C109:C117)</f>
        <v>3653978.1900000004</v>
      </c>
      <c r="D118" s="25">
        <f>SUM(D109:D117)</f>
        <v>3144774.2600000002</v>
      </c>
      <c r="E118" s="25">
        <f>F118-C118</f>
        <v>1653954.71</v>
      </c>
      <c r="F118" s="25">
        <f>SUM(F109:F117)</f>
        <v>5307932.9</v>
      </c>
      <c r="G118" s="25">
        <f>SUM(G109:G117)</f>
        <v>4576566.819999999</v>
      </c>
      <c r="H118" s="132">
        <f>H108</f>
        <v>4108.6</v>
      </c>
      <c r="I118" s="159"/>
    </row>
    <row r="119" spans="1:9" s="22" customFormat="1" ht="37.5" customHeight="1">
      <c r="A119" s="28" t="s">
        <v>21</v>
      </c>
      <c r="B119" s="13" t="s">
        <v>51</v>
      </c>
      <c r="C119" s="24"/>
      <c r="D119" s="24"/>
      <c r="E119" s="24"/>
      <c r="F119" s="24"/>
      <c r="G119" s="24"/>
      <c r="H119" s="134"/>
      <c r="I119" s="210" t="s">
        <v>56</v>
      </c>
    </row>
    <row r="120" spans="1:9" s="22" customFormat="1" ht="25.5" customHeight="1">
      <c r="A120" s="131"/>
      <c r="B120" s="14" t="s">
        <v>3</v>
      </c>
      <c r="C120" s="5">
        <v>1122932.2</v>
      </c>
      <c r="D120" s="5">
        <v>1102951.05</v>
      </c>
      <c r="E120" s="5">
        <f>F120-C120</f>
        <v>38365.3600000001</v>
      </c>
      <c r="F120" s="5">
        <f>1161297.56</f>
        <v>1161297.56</v>
      </c>
      <c r="G120" s="5">
        <v>1141158.28</v>
      </c>
      <c r="H120" s="16"/>
      <c r="I120" s="209"/>
    </row>
    <row r="121" spans="1:9" s="22" customFormat="1" ht="25.5" customHeight="1">
      <c r="A121" s="131"/>
      <c r="B121" s="14" t="s">
        <v>7</v>
      </c>
      <c r="C121" s="5">
        <v>3481.01</v>
      </c>
      <c r="D121" s="5"/>
      <c r="E121" s="5">
        <f>F121-C121</f>
        <v>1873.0699999999997</v>
      </c>
      <c r="F121" s="5">
        <v>5354.08</v>
      </c>
      <c r="G121" s="5">
        <v>1873.07</v>
      </c>
      <c r="H121" s="16"/>
      <c r="I121" s="209"/>
    </row>
    <row r="122" spans="1:9" s="22" customFormat="1" ht="25.5" customHeight="1">
      <c r="A122" s="131"/>
      <c r="B122" s="14" t="s">
        <v>11</v>
      </c>
      <c r="C122" s="5">
        <v>38107.35</v>
      </c>
      <c r="D122" s="5">
        <v>446.33</v>
      </c>
      <c r="E122" s="5">
        <f>F122-C122</f>
        <v>643</v>
      </c>
      <c r="F122" s="5">
        <v>38750.35</v>
      </c>
      <c r="G122" s="5">
        <v>82.33</v>
      </c>
      <c r="H122" s="16"/>
      <c r="I122" s="209"/>
    </row>
    <row r="123" spans="1:9" s="22" customFormat="1" ht="25.5" customHeight="1" thickBot="1">
      <c r="A123" s="135"/>
      <c r="B123" s="7" t="s">
        <v>32</v>
      </c>
      <c r="C123" s="8">
        <v>3199.4</v>
      </c>
      <c r="D123" s="8"/>
      <c r="E123" s="8">
        <f>F123-C123</f>
        <v>0</v>
      </c>
      <c r="F123" s="8">
        <v>3199.4</v>
      </c>
      <c r="G123" s="8"/>
      <c r="H123" s="19"/>
      <c r="I123" s="209"/>
    </row>
    <row r="124" spans="1:9" s="22" customFormat="1" ht="33.75" customHeight="1" thickBot="1">
      <c r="A124" s="29"/>
      <c r="B124" s="30" t="s">
        <v>40</v>
      </c>
      <c r="C124" s="25">
        <f>SUM(C120:C123)</f>
        <v>1167719.96</v>
      </c>
      <c r="D124" s="25">
        <f>SUM(D120:D123)</f>
        <v>1103397.3800000001</v>
      </c>
      <c r="E124" s="25">
        <f>F124-C124</f>
        <v>40881.43000000017</v>
      </c>
      <c r="F124" s="25">
        <f>SUM(F120:F123)</f>
        <v>1208601.3900000001</v>
      </c>
      <c r="G124" s="25">
        <f>SUM(G120:G123)</f>
        <v>1143113.6800000002</v>
      </c>
      <c r="H124" s="132">
        <f>SUM(H120:H123)</f>
        <v>0</v>
      </c>
      <c r="I124" s="211"/>
    </row>
    <row r="125" spans="1:9" s="22" customFormat="1" ht="39" customHeight="1">
      <c r="A125" s="28" t="s">
        <v>24</v>
      </c>
      <c r="B125" s="13" t="s">
        <v>25</v>
      </c>
      <c r="C125" s="24"/>
      <c r="D125" s="24"/>
      <c r="E125" s="24"/>
      <c r="F125" s="24"/>
      <c r="G125" s="24"/>
      <c r="H125" s="134"/>
      <c r="I125" s="210" t="s">
        <v>183</v>
      </c>
    </row>
    <row r="126" spans="1:9" s="22" customFormat="1" ht="25.5" customHeight="1">
      <c r="A126" s="131"/>
      <c r="B126" s="14" t="s">
        <v>7</v>
      </c>
      <c r="C126" s="5">
        <v>52850.44</v>
      </c>
      <c r="D126" s="5">
        <v>15700.41</v>
      </c>
      <c r="E126" s="5">
        <f aca="true" t="shared" si="11" ref="E126:E131">F126-C126</f>
        <v>4867.309999999998</v>
      </c>
      <c r="F126" s="5">
        <v>57717.75</v>
      </c>
      <c r="G126" s="5">
        <v>17758.31</v>
      </c>
      <c r="H126" s="16"/>
      <c r="I126" s="209"/>
    </row>
    <row r="127" spans="1:9" s="22" customFormat="1" ht="25.5" customHeight="1">
      <c r="A127" s="131"/>
      <c r="B127" s="14" t="s">
        <v>30</v>
      </c>
      <c r="C127" s="5"/>
      <c r="D127" s="5"/>
      <c r="E127" s="5">
        <f t="shared" si="11"/>
        <v>0</v>
      </c>
      <c r="F127" s="5"/>
      <c r="G127" s="5"/>
      <c r="H127" s="16"/>
      <c r="I127" s="209"/>
    </row>
    <row r="128" spans="1:9" s="22" customFormat="1" ht="25.5" customHeight="1">
      <c r="A128" s="131"/>
      <c r="B128" s="14" t="s">
        <v>10</v>
      </c>
      <c r="C128" s="5"/>
      <c r="D128" s="5"/>
      <c r="E128" s="5">
        <f t="shared" si="11"/>
        <v>0</v>
      </c>
      <c r="F128" s="5"/>
      <c r="G128" s="5"/>
      <c r="H128" s="16"/>
      <c r="I128" s="209"/>
    </row>
    <row r="129" spans="1:9" s="22" customFormat="1" ht="25.5" customHeight="1">
      <c r="A129" s="131"/>
      <c r="B129" s="14" t="s">
        <v>11</v>
      </c>
      <c r="C129" s="5">
        <v>88963.07</v>
      </c>
      <c r="D129" s="5">
        <v>12453</v>
      </c>
      <c r="E129" s="5">
        <f t="shared" si="11"/>
        <v>-28261.73000000001</v>
      </c>
      <c r="F129" s="5">
        <v>60701.34</v>
      </c>
      <c r="G129" s="5">
        <v>10501.82</v>
      </c>
      <c r="H129" s="16"/>
      <c r="I129" s="209"/>
    </row>
    <row r="130" spans="1:9" s="22" customFormat="1" ht="25.5" customHeight="1" thickBot="1">
      <c r="A130" s="135"/>
      <c r="B130" s="7" t="s">
        <v>32</v>
      </c>
      <c r="C130" s="8">
        <v>6046</v>
      </c>
      <c r="D130" s="8"/>
      <c r="E130" s="8">
        <f t="shared" si="11"/>
        <v>6280.25</v>
      </c>
      <c r="F130" s="8">
        <v>12326.25</v>
      </c>
      <c r="G130" s="8" t="s">
        <v>27</v>
      </c>
      <c r="H130" s="19"/>
      <c r="I130" s="209"/>
    </row>
    <row r="131" spans="1:9" s="22" customFormat="1" ht="33.75" customHeight="1" thickBot="1">
      <c r="A131" s="29"/>
      <c r="B131" s="30" t="s">
        <v>40</v>
      </c>
      <c r="C131" s="25">
        <f>SUM(C125:C130)</f>
        <v>147859.51</v>
      </c>
      <c r="D131" s="25">
        <f>SUM(D125:D130)</f>
        <v>28153.41</v>
      </c>
      <c r="E131" s="25">
        <f t="shared" si="11"/>
        <v>-17114.170000000013</v>
      </c>
      <c r="F131" s="25">
        <f>SUM(F125:F130)</f>
        <v>130745.34</v>
      </c>
      <c r="G131" s="25">
        <f>SUM(G125:G130)</f>
        <v>28260.13</v>
      </c>
      <c r="H131" s="132">
        <f>SUM(H125:H130)</f>
        <v>0</v>
      </c>
      <c r="I131" s="211"/>
    </row>
    <row r="132" spans="1:9" s="3" customFormat="1" ht="50.25" customHeight="1">
      <c r="A132" s="169" t="s">
        <v>33</v>
      </c>
      <c r="B132" s="15" t="s">
        <v>36</v>
      </c>
      <c r="C132" s="2"/>
      <c r="D132" s="2"/>
      <c r="E132" s="24"/>
      <c r="F132" s="2"/>
      <c r="G132" s="2"/>
      <c r="H132" s="18"/>
      <c r="I132" s="212" t="s">
        <v>191</v>
      </c>
    </row>
    <row r="133" spans="1:9" s="3" customFormat="1" ht="26.25" customHeight="1">
      <c r="A133" s="4"/>
      <c r="B133" s="9" t="s">
        <v>2</v>
      </c>
      <c r="C133" s="5">
        <v>165000</v>
      </c>
      <c r="D133" s="5">
        <v>165000</v>
      </c>
      <c r="E133" s="5">
        <f aca="true" t="shared" si="12" ref="E133:E138">F133-C133</f>
        <v>0</v>
      </c>
      <c r="F133" s="5">
        <v>165000</v>
      </c>
      <c r="G133" s="5">
        <v>165000</v>
      </c>
      <c r="H133" s="16"/>
      <c r="I133" s="213"/>
    </row>
    <row r="134" spans="1:9" s="3" customFormat="1" ht="26.25" customHeight="1">
      <c r="A134" s="4"/>
      <c r="B134" s="9" t="s">
        <v>3</v>
      </c>
      <c r="C134" s="5">
        <v>671809.6</v>
      </c>
      <c r="D134" s="5">
        <v>564888.99</v>
      </c>
      <c r="E134" s="5">
        <f t="shared" si="12"/>
        <v>0</v>
      </c>
      <c r="F134" s="5">
        <v>671809.6</v>
      </c>
      <c r="G134" s="5">
        <v>538093.75</v>
      </c>
      <c r="H134" s="17"/>
      <c r="I134" s="213"/>
    </row>
    <row r="135" spans="1:9" s="3" customFormat="1" ht="26.25" customHeight="1">
      <c r="A135" s="4"/>
      <c r="B135" s="9" t="s">
        <v>26</v>
      </c>
      <c r="C135" s="5">
        <v>2928.15</v>
      </c>
      <c r="D135" s="5">
        <v>1278.34</v>
      </c>
      <c r="E135" s="5">
        <f t="shared" si="12"/>
        <v>18544.85</v>
      </c>
      <c r="F135" s="5">
        <f>2928.15+18544.85</f>
        <v>21473</v>
      </c>
      <c r="G135" s="5">
        <v>21222.48</v>
      </c>
      <c r="H135" s="16"/>
      <c r="I135" s="213"/>
    </row>
    <row r="136" spans="1:9" s="3" customFormat="1" ht="26.25" customHeight="1">
      <c r="A136" s="4"/>
      <c r="B136" s="9" t="s">
        <v>7</v>
      </c>
      <c r="C136" s="5">
        <v>4506.68</v>
      </c>
      <c r="D136" s="5"/>
      <c r="E136" s="5">
        <f t="shared" si="12"/>
        <v>0</v>
      </c>
      <c r="F136" s="5">
        <v>4506.68</v>
      </c>
      <c r="G136" s="5"/>
      <c r="H136" s="16"/>
      <c r="I136" s="213"/>
    </row>
    <row r="137" spans="1:9" s="3" customFormat="1" ht="26.25" customHeight="1">
      <c r="A137" s="4"/>
      <c r="B137" s="9" t="s">
        <v>10</v>
      </c>
      <c r="C137" s="5">
        <v>79758</v>
      </c>
      <c r="D137" s="5">
        <v>63806.4</v>
      </c>
      <c r="E137" s="5">
        <f t="shared" si="12"/>
        <v>0</v>
      </c>
      <c r="F137" s="5">
        <v>79758</v>
      </c>
      <c r="G137" s="5">
        <v>47854.8</v>
      </c>
      <c r="H137" s="16"/>
      <c r="I137" s="213"/>
    </row>
    <row r="138" spans="1:9" s="3" customFormat="1" ht="26.25" customHeight="1" thickBot="1">
      <c r="A138" s="4"/>
      <c r="B138" s="9" t="s">
        <v>11</v>
      </c>
      <c r="C138" s="5">
        <v>11253.28</v>
      </c>
      <c r="D138" s="5">
        <v>5859.7</v>
      </c>
      <c r="E138" s="5">
        <f t="shared" si="12"/>
        <v>0</v>
      </c>
      <c r="F138" s="5">
        <v>11253.28</v>
      </c>
      <c r="G138" s="5">
        <v>4544.59</v>
      </c>
      <c r="H138" s="16"/>
      <c r="I138" s="213"/>
    </row>
    <row r="139" spans="1:9" s="22" customFormat="1" ht="33.75" customHeight="1" thickBot="1">
      <c r="A139" s="29"/>
      <c r="B139" s="30" t="s">
        <v>40</v>
      </c>
      <c r="C139" s="25">
        <f>SUM(C133:C138)</f>
        <v>935255.7100000001</v>
      </c>
      <c r="D139" s="25">
        <f>SUM(D133:D138)</f>
        <v>800833.4299999999</v>
      </c>
      <c r="E139" s="25">
        <f>SUM(E133:E138)</f>
        <v>18544.85</v>
      </c>
      <c r="F139" s="25">
        <f>SUM(F133:F138)</f>
        <v>953800.56</v>
      </c>
      <c r="G139" s="25">
        <f>SUM(G133:G138)</f>
        <v>776715.62</v>
      </c>
      <c r="H139" s="132">
        <f>H132</f>
        <v>0</v>
      </c>
      <c r="I139" s="214"/>
    </row>
    <row r="140" spans="1:9" s="10" customFormat="1" ht="56.25" customHeight="1">
      <c r="A140" s="169" t="s">
        <v>34</v>
      </c>
      <c r="B140" s="15" t="s">
        <v>31</v>
      </c>
      <c r="C140" s="2"/>
      <c r="D140" s="2"/>
      <c r="E140" s="24"/>
      <c r="F140" s="2"/>
      <c r="G140" s="2"/>
      <c r="H140" s="18"/>
      <c r="I140" s="212" t="s">
        <v>190</v>
      </c>
    </row>
    <row r="141" spans="1:9" s="10" customFormat="1" ht="27" customHeight="1">
      <c r="A141" s="4"/>
      <c r="B141" s="9" t="s">
        <v>2</v>
      </c>
      <c r="C141" s="5"/>
      <c r="D141" s="5"/>
      <c r="E141" s="5">
        <f aca="true" t="shared" si="13" ref="E141:E146">F141-C141</f>
        <v>643.8</v>
      </c>
      <c r="F141" s="5">
        <v>643.8</v>
      </c>
      <c r="G141" s="5">
        <v>643.8</v>
      </c>
      <c r="H141" s="16"/>
      <c r="I141" s="217"/>
    </row>
    <row r="142" spans="1:9" s="10" customFormat="1" ht="21.75" customHeight="1">
      <c r="A142" s="4"/>
      <c r="B142" s="9" t="s">
        <v>7</v>
      </c>
      <c r="C142" s="5">
        <v>255930.13</v>
      </c>
      <c r="D142" s="5">
        <v>67842.97</v>
      </c>
      <c r="E142" s="5">
        <f t="shared" si="13"/>
        <v>67291.66999999998</v>
      </c>
      <c r="F142" s="5">
        <v>323221.8</v>
      </c>
      <c r="G142" s="5">
        <v>93835.14</v>
      </c>
      <c r="H142" s="16"/>
      <c r="I142" s="213"/>
    </row>
    <row r="143" spans="1:9" s="10" customFormat="1" ht="21.75" customHeight="1">
      <c r="A143" s="4"/>
      <c r="B143" s="9" t="s">
        <v>9</v>
      </c>
      <c r="C143" s="5">
        <v>29854.41</v>
      </c>
      <c r="D143" s="5">
        <v>21891.59</v>
      </c>
      <c r="E143" s="5">
        <f t="shared" si="13"/>
        <v>0</v>
      </c>
      <c r="F143" s="5">
        <v>29854.41</v>
      </c>
      <c r="G143" s="5">
        <v>21891.59</v>
      </c>
      <c r="H143" s="16"/>
      <c r="I143" s="213"/>
    </row>
    <row r="144" spans="1:9" s="10" customFormat="1" ht="19.5" customHeight="1">
      <c r="A144" s="4"/>
      <c r="B144" s="9" t="s">
        <v>10</v>
      </c>
      <c r="C144" s="5">
        <v>24293.01</v>
      </c>
      <c r="D144" s="5"/>
      <c r="E144" s="5">
        <f t="shared" si="13"/>
        <v>0</v>
      </c>
      <c r="F144" s="5">
        <v>24293.01</v>
      </c>
      <c r="G144" s="5"/>
      <c r="H144" s="16"/>
      <c r="I144" s="213"/>
    </row>
    <row r="145" spans="1:9" s="10" customFormat="1" ht="23.25" customHeight="1">
      <c r="A145" s="4"/>
      <c r="B145" s="9" t="s">
        <v>11</v>
      </c>
      <c r="C145" s="5">
        <f>64877.3+110088.31+5993.6</f>
        <v>180959.21</v>
      </c>
      <c r="D145" s="5">
        <v>32109.27</v>
      </c>
      <c r="E145" s="5">
        <f t="shared" si="13"/>
        <v>0</v>
      </c>
      <c r="F145" s="5">
        <f>64877.3+110088.31+5993.6</f>
        <v>180959.21</v>
      </c>
      <c r="G145" s="5">
        <v>32109.27</v>
      </c>
      <c r="H145" s="16"/>
      <c r="I145" s="213"/>
    </row>
    <row r="146" spans="1:9" s="10" customFormat="1" ht="21.75" customHeight="1" thickBot="1">
      <c r="A146" s="6"/>
      <c r="B146" s="7" t="s">
        <v>32</v>
      </c>
      <c r="C146" s="8">
        <v>17913.95</v>
      </c>
      <c r="D146" s="8">
        <v>12587.35</v>
      </c>
      <c r="E146" s="5">
        <f t="shared" si="13"/>
        <v>0</v>
      </c>
      <c r="F146" s="8">
        <v>17913.95</v>
      </c>
      <c r="G146" s="8">
        <v>12587.35</v>
      </c>
      <c r="H146" s="19"/>
      <c r="I146" s="213"/>
    </row>
    <row r="147" spans="1:9" s="22" customFormat="1" ht="33.75" customHeight="1" thickBot="1">
      <c r="A147" s="28"/>
      <c r="B147" s="13" t="s">
        <v>40</v>
      </c>
      <c r="C147" s="24">
        <f>SUM(C142:C146)</f>
        <v>508950.71</v>
      </c>
      <c r="D147" s="24">
        <f>SUM(D142:D146)</f>
        <v>134431.18</v>
      </c>
      <c r="E147" s="24">
        <f>SUM(E141:E146)</f>
        <v>67935.46999999999</v>
      </c>
      <c r="F147" s="24">
        <f>SUM(F141:F146)</f>
        <v>576886.1799999999</v>
      </c>
      <c r="G147" s="24">
        <f>SUM(G141:G146)</f>
        <v>161067.15</v>
      </c>
      <c r="H147" s="134">
        <f>SUM(H142:H146)</f>
        <v>0</v>
      </c>
      <c r="I147" s="214"/>
    </row>
    <row r="148" spans="1:9" s="23" customFormat="1" ht="33.75" customHeight="1" thickBot="1">
      <c r="A148" s="29"/>
      <c r="B148" s="30" t="s">
        <v>41</v>
      </c>
      <c r="C148" s="25">
        <f>C14+C27+C61+C107+C118+C124+C131+C139+C147</f>
        <v>43161887.16</v>
      </c>
      <c r="D148" s="25">
        <f>D14+D27+D61+D107+D118+D124+D131+D139+D147</f>
        <v>29100079.459999997</v>
      </c>
      <c r="E148" s="25">
        <f>E14+E27+E61+E107+E118+E124+E131+E139+E147</f>
        <v>3200325.9499999993</v>
      </c>
      <c r="F148" s="25">
        <f>F14+F27+F61+F107+F118+F124+F131+F139+F147</f>
        <v>46362213.11</v>
      </c>
      <c r="G148" s="25">
        <f>G14+G27+G61+G107+G118+G124+G131+G139+G147</f>
        <v>30878757.229999993</v>
      </c>
      <c r="H148" s="25">
        <v>217821.65</v>
      </c>
      <c r="I148" s="162"/>
    </row>
    <row r="149" spans="3:6" ht="12.75">
      <c r="C149" s="11"/>
      <c r="F149" s="11"/>
    </row>
    <row r="150" spans="2:9" ht="23.25" customHeight="1">
      <c r="B150" s="206" t="s">
        <v>176</v>
      </c>
      <c r="C150" s="207"/>
      <c r="D150" s="207"/>
      <c r="E150" s="207"/>
      <c r="F150" s="207"/>
      <c r="G150" s="207"/>
      <c r="H150" s="207"/>
      <c r="I150" s="207"/>
    </row>
    <row r="151" spans="3:9" ht="24.75" customHeight="1">
      <c r="C151" s="1"/>
      <c r="D151" s="1"/>
      <c r="E151" s="1"/>
      <c r="F151" s="1"/>
      <c r="G151" s="1"/>
      <c r="H151" s="1"/>
      <c r="I151" s="1"/>
    </row>
  </sheetData>
  <mergeCells count="26">
    <mergeCell ref="A6:A7"/>
    <mergeCell ref="B6:B7"/>
    <mergeCell ref="C6:C7"/>
    <mergeCell ref="D6:D7"/>
    <mergeCell ref="E6:E7"/>
    <mergeCell ref="F6:F7"/>
    <mergeCell ref="G6:G7"/>
    <mergeCell ref="H6:H7"/>
    <mergeCell ref="I132:I139"/>
    <mergeCell ref="I140:I147"/>
    <mergeCell ref="I6:I7"/>
    <mergeCell ref="I9:I14"/>
    <mergeCell ref="I36:I44"/>
    <mergeCell ref="I45:I48"/>
    <mergeCell ref="I119:I124"/>
    <mergeCell ref="I125:I131"/>
    <mergeCell ref="B2:I3"/>
    <mergeCell ref="B150:I150"/>
    <mergeCell ref="I15:I26"/>
    <mergeCell ref="I84:I94"/>
    <mergeCell ref="I108:I117"/>
    <mergeCell ref="I49:I59"/>
    <mergeCell ref="I96:I106"/>
    <mergeCell ref="I62:I72"/>
    <mergeCell ref="I73:I83"/>
    <mergeCell ref="I28:I35"/>
  </mergeCells>
  <printOptions/>
  <pageMargins left="0.7874015748031497" right="0.3937007874015748" top="0.984251968503937" bottom="0.5905511811023623" header="0.5118110236220472" footer="0.5118110236220472"/>
  <pageSetup firstPageNumber="111" useFirstPageNumber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Powiatowe</dc:creator>
  <cp:keywords/>
  <dc:description/>
  <cp:lastModifiedBy>danuta_jablonska</cp:lastModifiedBy>
  <cp:lastPrinted>2004-03-02T10:16:42Z</cp:lastPrinted>
  <dcterms:created xsi:type="dcterms:W3CDTF">2000-11-14T15:34:08Z</dcterms:created>
  <dcterms:modified xsi:type="dcterms:W3CDTF">2004-03-02T10:21:23Z</dcterms:modified>
  <cp:category/>
  <cp:version/>
  <cp:contentType/>
  <cp:contentStatus/>
</cp:coreProperties>
</file>