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12120" windowHeight="83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<sst xmlns="http://schemas.openxmlformats.org/spreadsheetml/2006/main" count="834" uniqueCount="243">
  <si>
    <t>Dz.</t>
  </si>
  <si>
    <t>R.</t>
  </si>
  <si>
    <t>P.</t>
  </si>
  <si>
    <t>W Y S Z C Z E G Ó L N I E N I E</t>
  </si>
  <si>
    <t>.010</t>
  </si>
  <si>
    <t>ROLNICTWO I ŁOWIECTWO</t>
  </si>
  <si>
    <t>.01005</t>
  </si>
  <si>
    <t>Prace geodezyjno - urządzeniowe na potrzeby  rolnictwa</t>
  </si>
  <si>
    <t>Zakup pozostałych usług</t>
  </si>
  <si>
    <t xml:space="preserve"> </t>
  </si>
  <si>
    <t>.020</t>
  </si>
  <si>
    <t>LEŚNICTWO</t>
  </si>
  <si>
    <t>.02001</t>
  </si>
  <si>
    <t>Gospodarka leśna</t>
  </si>
  <si>
    <t>Zakup materiałów i wyposażenia</t>
  </si>
  <si>
    <t>.02002</t>
  </si>
  <si>
    <t xml:space="preserve">Nadzór nad  gospodarką leśną </t>
  </si>
  <si>
    <t>TRANSPORT I ŁĄCZNOŚĆ</t>
  </si>
  <si>
    <t>Drogi publiczne powiatowe</t>
  </si>
  <si>
    <t>Nagrody i wydatki osobowe nie zaliczane do wynagr.</t>
  </si>
  <si>
    <t>Wynagrodzenia osobowe pracowników</t>
  </si>
  <si>
    <t>Dodatkowe wynagrodzenie roczne</t>
  </si>
  <si>
    <t>Składki na ubezpieczenia społeczne</t>
  </si>
  <si>
    <t>Składki na Fundusz Pracy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</si>
  <si>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</si>
  <si>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</si>
  <si>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</si>
  <si>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</si>
  <si>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</si>
  <si>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>Podatek od nieruchomości</t>
  </si>
  <si>
    <t>GOSPODARKA MIESZKANIOWA</t>
  </si>
  <si>
    <t>Gospodarka gruntami i nieruchomościami</t>
  </si>
  <si>
    <t xml:space="preserve">Zakup usług remontowych </t>
  </si>
  <si>
    <t>Gospodarka gruntami i nieruchomościami- skarb państwa</t>
  </si>
  <si>
    <t xml:space="preserve">Gospodarka gruntami i nieruchomościami- Powiat Toruński </t>
  </si>
  <si>
    <t>DZIAŁALNOŚĆ USŁUGOWA</t>
  </si>
  <si>
    <t>Zakup usług pozostałych</t>
  </si>
  <si>
    <t>w tym :</t>
  </si>
  <si>
    <t>Gospodarka gruntami i nieruchomościami- Skarb Państwa</t>
  </si>
  <si>
    <t>Nadzór budowlany</t>
  </si>
  <si>
    <t>ADMINISTRACJA PUBLICZNA</t>
  </si>
  <si>
    <t>Urzędy wojewódzkie</t>
  </si>
  <si>
    <t>Rady powiatów</t>
  </si>
  <si>
    <t>Różne wydatki na rzecz osób fizycznych</t>
  </si>
  <si>
    <t>Starostwa powiatowe</t>
  </si>
  <si>
    <t>Stypendia różne</t>
  </si>
  <si>
    <t>Komisje poborowe</t>
  </si>
  <si>
    <t xml:space="preserve">Zakup usług zdrowotnych </t>
  </si>
  <si>
    <t>Pozostała działalność</t>
  </si>
  <si>
    <t>OBSŁUGA DŁUGU PUBLICZNEGO</t>
  </si>
  <si>
    <t>RÓŻNE ROZLICZENIA</t>
  </si>
  <si>
    <t>Rezerwy ogólne i celowe</t>
  </si>
  <si>
    <t>Rezerwy</t>
  </si>
  <si>
    <t>rezerwa ogólna</t>
  </si>
  <si>
    <t>w tym:</t>
  </si>
  <si>
    <t>*</t>
  </si>
  <si>
    <t>OCHRONA ZDROWIA</t>
  </si>
  <si>
    <t>Składki na ubezpieczenia zdrowotne</t>
  </si>
  <si>
    <t>RAZEM   WYDATKI BUDŻETOWE</t>
  </si>
  <si>
    <t>Prace geodezyjne i kartograficzne (nieinwest.)</t>
  </si>
  <si>
    <t xml:space="preserve">Wpłaty  gmin i powiatów na rzecz innych jednostek samorz.teryt. oraz związków gmin i związków powiatów na dofinansowanie zadań bieżących </t>
  </si>
  <si>
    <t>Obsługa papierów wartościowych , kredytów i pożyczek jednostek samorządu terytorialnego</t>
  </si>
  <si>
    <t>Odsetki i dyskonto od krajowych skarbowych papierów wartościowych oraz pożyczek i kredytów</t>
  </si>
  <si>
    <t>BEZPIECZEŃSTWO PUBLICZNE I OCHRONA PRZECIWPOŻAROWA</t>
  </si>
  <si>
    <t xml:space="preserve">Różne  wydatki na rzecz osób fizycznych </t>
  </si>
  <si>
    <t xml:space="preserve">WYSZCZEGÓLNIENIE </t>
  </si>
  <si>
    <t>Klas.budżet.</t>
  </si>
  <si>
    <t>Razem  podwyżki wynagrodzeń</t>
  </si>
  <si>
    <t>Podstawa  do regulacji</t>
  </si>
  <si>
    <t>Szkoła w Chełmży</t>
  </si>
  <si>
    <t xml:space="preserve">Szkoła w Gronowie </t>
  </si>
  <si>
    <t xml:space="preserve">Pozostała działalność </t>
  </si>
  <si>
    <t xml:space="preserve">Szkoła Muzyczna w Chełmży </t>
  </si>
  <si>
    <t xml:space="preserve">Placówki opiekuńczo - wychowawcze </t>
  </si>
  <si>
    <t>( rezerwa )</t>
  </si>
  <si>
    <t>DPS</t>
  </si>
  <si>
    <t>PCPR</t>
  </si>
  <si>
    <t>Interwencja kryzysowa</t>
  </si>
  <si>
    <t xml:space="preserve">Zespoły ds. orzekania o stopniu niepełnosprawności </t>
  </si>
  <si>
    <t>PUP</t>
  </si>
  <si>
    <t xml:space="preserve">RAZEM </t>
  </si>
  <si>
    <t xml:space="preserve">Szkoła specjalna </t>
  </si>
  <si>
    <t>PPP-Chełmża</t>
  </si>
  <si>
    <t xml:space="preserve">Internat </t>
  </si>
  <si>
    <t xml:space="preserve">Urzędy Wojewódzkie </t>
  </si>
  <si>
    <t xml:space="preserve">Zakup materiałów i wyposażenia </t>
  </si>
  <si>
    <t xml:space="preserve">Regulacja wynagrodzeń  w jednostkach Powiatu Toruńskiego  od 1 lipca 2002 roku </t>
  </si>
  <si>
    <t xml:space="preserve">OśWIATA I WYCHOWANIE </t>
  </si>
  <si>
    <t xml:space="preserve">OPIEKA SPOŁECZNA </t>
  </si>
  <si>
    <t xml:space="preserve">EDUKACYJNA  OPIEKA  WYCHOWAWCZA </t>
  </si>
  <si>
    <t xml:space="preserve">Zakup  usług  pozostałych </t>
  </si>
  <si>
    <t>Podróże  służbowe  krajowe</t>
  </si>
  <si>
    <t xml:space="preserve">Składki na ubezpiecz. zdrowotne oraz świadczenia dla osób nieobjętych obowiązkiem ubezpieczenia  zdrowotnego </t>
  </si>
  <si>
    <t>w  tym :</t>
  </si>
  <si>
    <t xml:space="preserve">Placówka Opiekuńczo - Wychowawcza w Głuchowie </t>
  </si>
  <si>
    <t>POMOC SPOŁECZNA</t>
  </si>
  <si>
    <t xml:space="preserve">Placówki Opiekuńczo-Wychowawcze </t>
  </si>
  <si>
    <t>Świadczenia społeczne</t>
  </si>
  <si>
    <t>Zakup środków żywności</t>
  </si>
  <si>
    <t>Zakup leków i materiałów medycznych</t>
  </si>
  <si>
    <t>Zakup pomocy naukowych, dydaktycznych i książek</t>
  </si>
  <si>
    <t>Zakup pomocy naukowych , dydaktycznych , książek</t>
  </si>
  <si>
    <t xml:space="preserve">PCPR  w Toruniu </t>
  </si>
  <si>
    <t>Domy pomocy społecznej</t>
  </si>
  <si>
    <t>Zakup usług zdrowotnych</t>
  </si>
  <si>
    <t xml:space="preserve">zakup  usług  pozostałych </t>
  </si>
  <si>
    <t>Opłaty na rzecz budżetów jednostek samorządu terytorialnego</t>
  </si>
  <si>
    <t>Realizacja PCPR</t>
  </si>
  <si>
    <t>Jednostki specjalistycznego poradnictwa, mieszkania chronione i ośrodki interwencji kryzysowej</t>
  </si>
  <si>
    <t>Realizacja - PCPR</t>
  </si>
  <si>
    <t>Rodziny zastępcze</t>
  </si>
  <si>
    <t>POZOSTAŁE ZADANIA W ZAKRESIE POLITYKI SPOŁECZNEJ</t>
  </si>
  <si>
    <t>Zespoły do spraw orzekania o niepełnosprawności</t>
  </si>
  <si>
    <t xml:space="preserve">PUP  w  Chełmży </t>
  </si>
  <si>
    <t>OŚWIATA I WYCHOWANIE</t>
  </si>
  <si>
    <t>Szkoła podstawowa  specjalna</t>
  </si>
  <si>
    <t>w tym:  Szkoła Specjalna w Chełmży</t>
  </si>
  <si>
    <t>Nagrody i wydatki osobowe nie zaliczone do wynagr.</t>
  </si>
  <si>
    <t>Składki na ubezpieczenie społeczne</t>
  </si>
  <si>
    <t>Gimnazja specjalne</t>
  </si>
  <si>
    <t xml:space="preserve">w tym : Gimnazjum Specjalne w Chełmży </t>
  </si>
  <si>
    <t xml:space="preserve">  </t>
  </si>
  <si>
    <t>Licea ogólnokształcące</t>
  </si>
  <si>
    <t>Dotacja podmiotowa z budżetu dla niepublicznej szkoły lub innej placówki oświatowo - wychowawczej</t>
  </si>
  <si>
    <t>w tym: FZ</t>
  </si>
  <si>
    <t xml:space="preserve">Podatek od nieruchomości </t>
  </si>
  <si>
    <t>L.O Gronowo</t>
  </si>
  <si>
    <t>Liceum Wieczorowe niepubliczne</t>
  </si>
  <si>
    <t>Szkoły  zawodowe</t>
  </si>
  <si>
    <t xml:space="preserve">Szkoła Zawodowa w Chełmży </t>
  </si>
  <si>
    <t>w tym:FZ</t>
  </si>
  <si>
    <t>Szkoła Zawodowa w Gronowie</t>
  </si>
  <si>
    <t>Starostwo Powiatowe w Toruniu</t>
  </si>
  <si>
    <t>Dotacje celowe przekazane gminie na zadania bieżące realizowane na podstawie porozumień (umów) miedzy jednostkami samorządu terytorialnego</t>
  </si>
  <si>
    <t>Szkoły artystyczne</t>
  </si>
  <si>
    <t xml:space="preserve">w tym : Szkoła Muzyczna I Stopnia w Chełmży </t>
  </si>
  <si>
    <t>Szkoły zawodowe specjalne</t>
  </si>
  <si>
    <t xml:space="preserve">w tym : Szkoła Zawodowa Specjalna w Chełmży </t>
  </si>
  <si>
    <t>Dokształcanie i doskonalenie nauczycieli</t>
  </si>
  <si>
    <t xml:space="preserve">Dotacje celowe przekazane gminie lub  miastu  stołecznemu  Warszawie  na zadania bieżące realizowane na podstawie porozumień między jednostkami samorządu terytorialnego </t>
  </si>
  <si>
    <t>Starostwo Powiatowe</t>
  </si>
  <si>
    <t>Zakup  usług pozostałych</t>
  </si>
  <si>
    <t xml:space="preserve">w tym: </t>
  </si>
  <si>
    <t>* Nagrody Starosty- Starostwo Powiatowe</t>
  </si>
  <si>
    <t>* Pozostała działalność-Starostwo Powiatowe</t>
  </si>
  <si>
    <t>* Księgowość w Chełmży</t>
  </si>
  <si>
    <t>EDUKACYJNA OPIEKA WYCHOWAWCZA</t>
  </si>
  <si>
    <t>Świetlice szkolne</t>
  </si>
  <si>
    <t>w tym : świetlica szkolna w Z.Sz.Specjalnych w Chełmży</t>
  </si>
  <si>
    <t>Dotacje celowe przekazane gminie na zadania bieżące realizowane na podstawie  porozumień (umów) p.jednostkami samorządu terytorialnego</t>
  </si>
  <si>
    <t>Poradnia Psychologiczno - Pedagogiczna w Chełmży</t>
  </si>
  <si>
    <t>Dotacje celowe przekazane gminie na zadania bieżące realizowane na podstawie  porozumień (umów) p. jednostkami samorządu terytorialnego</t>
  </si>
  <si>
    <t xml:space="preserve"> dla   U.M. Toruń</t>
  </si>
  <si>
    <t xml:space="preserve"> dla U.G. Łysomice</t>
  </si>
  <si>
    <t xml:space="preserve">Internaty i bursy szkolne </t>
  </si>
  <si>
    <t xml:space="preserve">Pomoc materialna dla uczniów </t>
  </si>
  <si>
    <t>KULTURA I OCHRONA DZIEDZICTWA NARODOWEGO</t>
  </si>
  <si>
    <t>Filharmonie , orkiestry , chóry i kapele</t>
  </si>
  <si>
    <t>Biblioteki</t>
  </si>
  <si>
    <t xml:space="preserve">Starostwo  Powiatowe </t>
  </si>
  <si>
    <t xml:space="preserve">DPS Browina </t>
  </si>
  <si>
    <t xml:space="preserve">Z.Sz.S. Chełmża </t>
  </si>
  <si>
    <t xml:space="preserve">Państwowa Szkoła Muzyczna I Stopnia w Chełmży </t>
  </si>
  <si>
    <t>KULTURA FIZYCZNA I SPORT</t>
  </si>
  <si>
    <t>Zadania w zakresie kultury fizycznej i sportu</t>
  </si>
  <si>
    <t xml:space="preserve">Zespół Szkół  w Chełmży </t>
  </si>
  <si>
    <t xml:space="preserve">Zakup  pozostałych  usług </t>
  </si>
  <si>
    <t xml:space="preserve">Dotacja  celowa  z  budżetu  na  finansowanie  lub  dofinansowanie  zadań  zleconych  do  realizacji  pozostałym  jednostkom  nie    zaliczanym  do  sektora  finansów  publicznych </t>
  </si>
  <si>
    <t xml:space="preserve">Dotacja  celowa  z  budżetu  na  finansowanie  lub  dofinansowanie  zadań  zleconych  do  realizacji  stowarzyszeniom </t>
  </si>
  <si>
    <t xml:space="preserve">Dotacja  celowa  z  budżetu  na  finansowanie  lub  dofinansowanie  zadań  zleconych  do  realizacji  fundacjom  </t>
  </si>
  <si>
    <t xml:space="preserve">Zakup usług pozostałych </t>
  </si>
  <si>
    <t>w tym</t>
  </si>
  <si>
    <t xml:space="preserve">* </t>
  </si>
  <si>
    <t xml:space="preserve">Komendy  Wojewódzkie  Policji </t>
  </si>
  <si>
    <t>(Zespół Szkół w Chełmży)</t>
  </si>
  <si>
    <t>Zakup pomocy dydaktycznych</t>
  </si>
  <si>
    <t xml:space="preserve"> PZD   w  Toruniu</t>
  </si>
  <si>
    <t>w  tym  :</t>
  </si>
  <si>
    <t>WYDATKI BUDŻETOWE NA ROK 2005 - PLAN</t>
  </si>
  <si>
    <t xml:space="preserve">Załącznik  nr  2  do  uchwały  nr ……….  Rady   Powiatu  Toruńskiego </t>
  </si>
  <si>
    <t>w  sprawie Budżetu  Powiatu  Toruńskiego  na  rok  2005  .</t>
  </si>
  <si>
    <t xml:space="preserve">rezerwa  celowa  na  gospodarkę  remontową </t>
  </si>
  <si>
    <t>Opłaty na rzecz budżetów jednostek samorz.teryt.</t>
  </si>
  <si>
    <t>Wydatki inwestycyjne jedn.budżet</t>
  </si>
  <si>
    <t>Zakupy inwestycyjne jedn.budżet.</t>
  </si>
  <si>
    <t xml:space="preserve">Dotacje  przekazane  gminie   na  zadania  bieżące  realizowane  na  podstawie  porozumień (  umów  ) między   j.s.t </t>
  </si>
  <si>
    <t xml:space="preserve">Dotacje  przekazane  dla powiatu   na  zadania  bieżące  realizowane  na  podstawie  porozumień (  umów  ) między   j.s.t </t>
  </si>
  <si>
    <t xml:space="preserve">Szkolnictwo  wyższe </t>
  </si>
  <si>
    <t xml:space="preserve">Pomoc  materialna  dla  studentów </t>
  </si>
  <si>
    <t xml:space="preserve">Stypendia  i  zasiłki  dla  studentów </t>
  </si>
  <si>
    <t xml:space="preserve">Opracowania  geodezyjne i kartograficzne </t>
  </si>
  <si>
    <t xml:space="preserve">Koszty  postępowania  sadowego  i  prokuratorskiego </t>
  </si>
  <si>
    <t xml:space="preserve">Obrona  cywilna  </t>
  </si>
  <si>
    <t xml:space="preserve">Dokształcanie  i  doskonalenie  nauczycieli </t>
  </si>
  <si>
    <t xml:space="preserve">Powiatowe urzędy pracy </t>
  </si>
  <si>
    <t xml:space="preserve">Poradnie psychologiczno -pedagogiczne, w  tym  poradnie  specjalistyczne </t>
  </si>
  <si>
    <t>Wydatki osobowe nie zaliczane do wynagr.</t>
  </si>
  <si>
    <t xml:space="preserve">Koszty  postępowania  sądowego  i  prokuratorskiego </t>
  </si>
  <si>
    <t xml:space="preserve">Stypendia  dla  uczniów </t>
  </si>
  <si>
    <t xml:space="preserve">Dotacje celowe przekazane gminie   na zadania bieżące realizowane na podstawie porozumień  (umów )  między jednostkami samorządu terytorialnego </t>
  </si>
  <si>
    <t>Powiatowe centra pomocy rodzinie</t>
  </si>
  <si>
    <t xml:space="preserve">Wydatki na  zakupy   inwestycyjne  jednostek  budżetowych </t>
  </si>
  <si>
    <t>Wydatki osobowe niezaliczone do wynagrodzeń</t>
  </si>
  <si>
    <t xml:space="preserve">Wydatki  inwestycyjne  jednostek  budżetowych </t>
  </si>
  <si>
    <t>Dotacje celowe przekazane gminie  na zadania  bieżące realizowane na podstawie porozumień (umów) między  jednostkami samorządu terytorialnego</t>
  </si>
  <si>
    <t xml:space="preserve">Wydatki  na  zakupy inwestycyjne  jednostek  budżetowych </t>
  </si>
  <si>
    <t xml:space="preserve">Administracja  publiczna </t>
  </si>
  <si>
    <t xml:space="preserve">Zakup  usług  przez  jednostki  samorządu  terytorialnego  od  innych  jednostek  samorządu  terytorialnego </t>
  </si>
  <si>
    <t>DPS PIGŻA</t>
  </si>
  <si>
    <t>DPS BROWINA</t>
  </si>
  <si>
    <t>DPS WIELKA NIESZAWKA</t>
  </si>
  <si>
    <t>DPS DOBRZEJEWICE</t>
  </si>
  <si>
    <t xml:space="preserve">Opłaty   za  usługi  internetowe </t>
  </si>
  <si>
    <t xml:space="preserve">Wynagrodzenia  bezosobowe </t>
  </si>
  <si>
    <t>L.O. CHEŁMŻA</t>
  </si>
  <si>
    <t>Wynagrodzenia bezosobowe</t>
  </si>
  <si>
    <t xml:space="preserve">Opłaty  za  usługi  internetowe </t>
  </si>
  <si>
    <t>Wynagrodzenie  bezosobowe</t>
  </si>
  <si>
    <t>Opłaty  za  usługi  internetowe</t>
  </si>
  <si>
    <t>Zakup   usług  pozostałych</t>
  </si>
  <si>
    <t>Wynagrodzenia  bezosobowe</t>
  </si>
  <si>
    <t xml:space="preserve">Opłaty  z  usługi  internetowe </t>
  </si>
  <si>
    <t>Wynagrodzenie bezosobowe</t>
  </si>
  <si>
    <t>Opłata  za  usługi  internetowe</t>
  </si>
  <si>
    <t xml:space="preserve">Budżet  2005 </t>
  </si>
  <si>
    <t xml:space="preserve">Rezerwy  na  inwestycje  i  zakupy  inwestycyjne </t>
  </si>
  <si>
    <t xml:space="preserve">Podróże służbowe zagraniczne </t>
  </si>
  <si>
    <t xml:space="preserve">Programy  polityki   zdrowotnej </t>
  </si>
  <si>
    <t xml:space="preserve">Zakup  usług zdrowotnych </t>
  </si>
  <si>
    <t xml:space="preserve">Zakup  pomocy naukowych , dydaktycznych i  książek </t>
  </si>
  <si>
    <t xml:space="preserve">Stypendia  oraz  inne formy pomocy dla uczniów </t>
  </si>
  <si>
    <t xml:space="preserve">Starostwo  Powiatowe  -  stypendia  z  EFS  </t>
  </si>
  <si>
    <t>Z.SZ.CKU Gronowo-stypendia  z EFS</t>
  </si>
  <si>
    <t>Z.SZ Chełmża-stypendia  z  EFS</t>
  </si>
  <si>
    <t>Starostwo Powiatowe   w Toruniu .</t>
  </si>
  <si>
    <t>w  tym:</t>
  </si>
  <si>
    <t xml:space="preserve">Starostwo  Powiatowe w  Toruniu </t>
  </si>
  <si>
    <t xml:space="preserve"> Internat w Z.Sz.C.K.U .w Gronowie </t>
  </si>
  <si>
    <t>Zespól Szkół Chełmża</t>
  </si>
  <si>
    <t>PPP Chełmża</t>
  </si>
  <si>
    <t>Zespół Szkół Specjalnych Chełmża</t>
  </si>
  <si>
    <t>Zespół Szkół CKU Gronowo</t>
  </si>
  <si>
    <t>Szkoła Muzyczna I st. Chełmża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</si>
</sst>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</numFmts>
  <fonts count="18">
    <font>
      <sz val="10"/>
      <name val="Arial CE"/>
      <family val="0"/>
    </font>
    <font>
      <sz val="8"/>
      <name val="Arial CE"/>
      <family val="2"/>
    </font>
    <font>
      <b/>
      <u val="single"/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u val="single"/>
      <sz val="11"/>
      <name val="Arial CE"/>
      <family val="0"/>
    </font>
    <font>
      <u val="single"/>
      <sz val="11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u val="single"/>
      <sz val="10"/>
      <name val="Arial CE"/>
      <family val="0"/>
    </font>
    <font>
      <b/>
      <u val="single"/>
      <sz val="12"/>
      <name val="Arial CE"/>
      <family val="0"/>
    </font>
    <font>
      <u val="single"/>
      <sz val="12"/>
      <name val="Arial CE"/>
      <family val="0"/>
    </font>
    <font>
      <u val="single"/>
      <sz val="8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3" fontId="1" fillId="0" borderId="0" xfId="0" applyNumberFormat="1" applyFont="1" applyBorder="1" applyAlignment="1">
      <alignment vertical="center" shrinkToFit="1"/>
    </xf>
    <xf numFmtId="0" fontId="0" fillId="0" borderId="0" xfId="0" applyAlignment="1">
      <alignment vertical="center"/>
    </xf>
    <xf numFmtId="1" fontId="1" fillId="0" borderId="0" xfId="0" applyNumberFormat="1" applyFont="1" applyBorder="1" applyAlignment="1">
      <alignment horizontal="right" vertical="center" wrapText="1" shrinkToFit="1"/>
    </xf>
    <xf numFmtId="1" fontId="0" fillId="0" borderId="0" xfId="0" applyNumberFormat="1" applyAlignment="1">
      <alignment horizontal="right" vertical="center" wrapText="1"/>
    </xf>
    <xf numFmtId="3" fontId="0" fillId="0" borderId="1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 vertical="center" wrapText="1" shrinkToFit="1"/>
    </xf>
    <xf numFmtId="3" fontId="3" fillId="0" borderId="3" xfId="0" applyNumberFormat="1" applyFont="1" applyBorder="1" applyAlignment="1">
      <alignment horizontal="center" vertical="center" shrinkToFit="1"/>
    </xf>
    <xf numFmtId="3" fontId="1" fillId="0" borderId="3" xfId="0" applyNumberFormat="1" applyFont="1" applyBorder="1" applyAlignment="1">
      <alignment/>
    </xf>
    <xf numFmtId="3" fontId="2" fillId="0" borderId="1" xfId="0" applyNumberFormat="1" applyFont="1" applyBorder="1" applyAlignment="1">
      <alignment vertical="center" wrapText="1" shrinkToFit="1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vertical="center" shrinkToFi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3" fontId="0" fillId="0" borderId="2" xfId="0" applyNumberFormat="1" applyBorder="1" applyAlignment="1">
      <alignment/>
    </xf>
    <xf numFmtId="3" fontId="4" fillId="0" borderId="2" xfId="0" applyNumberFormat="1" applyFont="1" applyBorder="1" applyAlignment="1">
      <alignment/>
    </xf>
    <xf numFmtId="0" fontId="8" fillId="0" borderId="0" xfId="0" applyFont="1" applyAlignment="1">
      <alignment vertical="center"/>
    </xf>
    <xf numFmtId="3" fontId="8" fillId="0" borderId="0" xfId="0" applyNumberFormat="1" applyFont="1" applyBorder="1" applyAlignment="1">
      <alignment vertical="center" shrinkToFit="1"/>
    </xf>
    <xf numFmtId="3" fontId="8" fillId="0" borderId="2" xfId="0" applyNumberFormat="1" applyFont="1" applyBorder="1" applyAlignment="1">
      <alignment horizontal="left" vertical="center" wrapText="1" shrinkToFit="1"/>
    </xf>
    <xf numFmtId="1" fontId="8" fillId="0" borderId="1" xfId="0" applyNumberFormat="1" applyFont="1" applyBorder="1" applyAlignment="1">
      <alignment horizontal="left" vertical="center" wrapText="1" shrinkToFit="1"/>
    </xf>
    <xf numFmtId="3" fontId="8" fillId="0" borderId="1" xfId="0" applyNumberFormat="1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left" wrapText="1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vertical="center" wrapText="1" shrinkToFit="1"/>
    </xf>
    <xf numFmtId="3" fontId="8" fillId="0" borderId="2" xfId="0" applyNumberFormat="1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 shrinkToFit="1"/>
    </xf>
    <xf numFmtId="1" fontId="11" fillId="0" borderId="1" xfId="0" applyNumberFormat="1" applyFont="1" applyBorder="1" applyAlignment="1">
      <alignment horizontal="left" vertical="center" wrapText="1" shrinkToFit="1"/>
    </xf>
    <xf numFmtId="3" fontId="11" fillId="0" borderId="1" xfId="0" applyNumberFormat="1" applyFont="1" applyBorder="1" applyAlignment="1">
      <alignment horizontal="left" vertical="center" wrapText="1" shrinkToFi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" fontId="0" fillId="0" borderId="2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 shrinkToFit="1"/>
    </xf>
    <xf numFmtId="1" fontId="4" fillId="0" borderId="1" xfId="0" applyNumberFormat="1" applyFont="1" applyBorder="1" applyAlignment="1">
      <alignment horizontal="right" vertical="center" shrinkToFit="1"/>
    </xf>
    <xf numFmtId="1" fontId="0" fillId="0" borderId="1" xfId="0" applyNumberFormat="1" applyFont="1" applyBorder="1" applyAlignment="1">
      <alignment horizontal="right" vertical="center" shrinkToFit="1"/>
    </xf>
    <xf numFmtId="1" fontId="4" fillId="0" borderId="1" xfId="0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wrapText="1"/>
    </xf>
    <xf numFmtId="1" fontId="4" fillId="0" borderId="1" xfId="0" applyNumberFormat="1" applyFont="1" applyBorder="1" applyAlignment="1">
      <alignment horizontal="right" vertical="center" wrapText="1" shrinkToFit="1"/>
    </xf>
    <xf numFmtId="1" fontId="5" fillId="0" borderId="1" xfId="0" applyNumberFormat="1" applyFont="1" applyBorder="1" applyAlignment="1">
      <alignment horizontal="right" vertical="center" wrapText="1" shrinkToFit="1"/>
    </xf>
    <xf numFmtId="1" fontId="0" fillId="0" borderId="1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left" vertical="center" wrapText="1" shrinkToFit="1"/>
    </xf>
    <xf numFmtId="3" fontId="12" fillId="0" borderId="0" xfId="0" applyNumberFormat="1" applyFont="1" applyAlignment="1">
      <alignment horizontal="left" vertical="center" wrapText="1"/>
    </xf>
    <xf numFmtId="3" fontId="13" fillId="0" borderId="4" xfId="0" applyNumberFormat="1" applyFont="1" applyBorder="1" applyAlignment="1">
      <alignment vertical="center" wrapText="1" shrinkToFit="1"/>
    </xf>
    <xf numFmtId="3" fontId="13" fillId="0" borderId="5" xfId="0" applyNumberFormat="1" applyFont="1" applyBorder="1" applyAlignment="1">
      <alignment/>
    </xf>
    <xf numFmtId="3" fontId="13" fillId="0" borderId="6" xfId="0" applyNumberFormat="1" applyFont="1" applyBorder="1" applyAlignment="1">
      <alignment/>
    </xf>
    <xf numFmtId="0" fontId="12" fillId="0" borderId="6" xfId="0" applyFont="1" applyBorder="1" applyAlignment="1">
      <alignment/>
    </xf>
    <xf numFmtId="0" fontId="13" fillId="0" borderId="6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" xfId="0" applyFont="1" applyBorder="1" applyAlignment="1">
      <alignment/>
    </xf>
    <xf numFmtId="3" fontId="13" fillId="0" borderId="1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0" fontId="12" fillId="0" borderId="0" xfId="0" applyFont="1" applyAlignment="1">
      <alignment/>
    </xf>
    <xf numFmtId="3" fontId="10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left" wrapText="1"/>
    </xf>
    <xf numFmtId="1" fontId="10" fillId="0" borderId="1" xfId="0" applyNumberFormat="1" applyFont="1" applyBorder="1" applyAlignment="1">
      <alignment horizontal="left" vertical="center" wrapText="1" shrinkToFit="1"/>
    </xf>
    <xf numFmtId="1" fontId="9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 vertical="center" shrinkToFit="1"/>
    </xf>
    <xf numFmtId="0" fontId="0" fillId="0" borderId="0" xfId="0" applyFont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shrinkToFit="1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1" fontId="4" fillId="0" borderId="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1" fontId="5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1" fontId="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shrinkToFit="1"/>
    </xf>
    <xf numFmtId="1" fontId="0" fillId="0" borderId="0" xfId="0" applyNumberFormat="1" applyFont="1" applyAlignment="1">
      <alignment/>
    </xf>
    <xf numFmtId="0" fontId="5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1" fontId="0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vertical="center" wrapText="1" shrinkToFit="1"/>
    </xf>
    <xf numFmtId="3" fontId="12" fillId="0" borderId="0" xfId="0" applyNumberFormat="1" applyFont="1" applyAlignment="1">
      <alignment vertical="center" shrinkToFi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shrinkToFit="1"/>
    </xf>
    <xf numFmtId="1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" fontId="4" fillId="0" borderId="0" xfId="0" applyNumberFormat="1" applyFont="1" applyAlignment="1">
      <alignment vertical="center" wrapText="1" shrinkToFit="1"/>
    </xf>
    <xf numFmtId="1" fontId="12" fillId="0" borderId="0" xfId="0" applyNumberFormat="1" applyFont="1" applyAlignment="1">
      <alignment horizontal="left" vertical="center" wrapText="1"/>
    </xf>
    <xf numFmtId="1" fontId="13" fillId="0" borderId="0" xfId="0" applyNumberFormat="1" applyFont="1" applyAlignment="1">
      <alignment horizontal="left" vertical="center" wrapText="1"/>
    </xf>
    <xf numFmtId="1" fontId="13" fillId="0" borderId="0" xfId="0" applyNumberFormat="1" applyFont="1" applyAlignment="1">
      <alignment vertical="center" wrapText="1" shrinkToFit="1"/>
    </xf>
    <xf numFmtId="0" fontId="1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1" fontId="13" fillId="0" borderId="0" xfId="0" applyNumberFormat="1" applyFont="1" applyAlignment="1">
      <alignment horizontal="center" vertical="center" wrapText="1" shrinkToFit="1"/>
    </xf>
    <xf numFmtId="1" fontId="12" fillId="0" borderId="0" xfId="0" applyNumberFormat="1" applyFont="1" applyAlignment="1">
      <alignment horizontal="right" vertical="center" wrapText="1" shrinkToFit="1"/>
    </xf>
    <xf numFmtId="1" fontId="13" fillId="0" borderId="7" xfId="0" applyNumberFormat="1" applyFont="1" applyFill="1" applyBorder="1" applyAlignment="1">
      <alignment vertical="center" wrapText="1" shrinkToFit="1"/>
    </xf>
    <xf numFmtId="3" fontId="13" fillId="0" borderId="7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1" fontId="0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vertical="center" wrapText="1" shrinkToFit="1"/>
    </xf>
    <xf numFmtId="3" fontId="12" fillId="0" borderId="0" xfId="0" applyNumberFormat="1" applyFont="1" applyFill="1" applyBorder="1" applyAlignment="1">
      <alignment vertical="center" shrinkToFit="1"/>
    </xf>
    <xf numFmtId="1" fontId="15" fillId="0" borderId="0" xfId="0" applyNumberFormat="1" applyFont="1" applyBorder="1" applyAlignment="1">
      <alignment horizontal="left" vertical="center" wrapText="1" shrinkToFit="1"/>
    </xf>
    <xf numFmtId="3" fontId="15" fillId="0" borderId="0" xfId="0" applyNumberFormat="1" applyFont="1" applyBorder="1" applyAlignment="1">
      <alignment vertical="center" shrinkToFi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shrinkToFit="1"/>
    </xf>
    <xf numFmtId="1" fontId="0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right" vertical="center" wrapText="1" shrinkToFit="1"/>
    </xf>
    <xf numFmtId="3" fontId="12" fillId="0" borderId="0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 shrinkToFit="1"/>
    </xf>
    <xf numFmtId="1" fontId="13" fillId="0" borderId="0" xfId="0" applyNumberFormat="1" applyFont="1" applyBorder="1" applyAlignment="1">
      <alignment horizontal="left" vertical="center" wrapText="1" shrinkToFit="1"/>
    </xf>
    <xf numFmtId="3" fontId="13" fillId="0" borderId="0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 shrinkToFit="1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left" vertical="center" wrapText="1" shrinkToFit="1"/>
    </xf>
    <xf numFmtId="3" fontId="16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/>
    </xf>
    <xf numFmtId="3" fontId="13" fillId="0" borderId="0" xfId="0" applyNumberFormat="1" applyFont="1" applyBorder="1" applyAlignment="1">
      <alignment vertical="center" shrinkToFit="1"/>
    </xf>
    <xf numFmtId="3" fontId="12" fillId="0" borderId="0" xfId="0" applyNumberFormat="1" applyFont="1" applyBorder="1" applyAlignment="1">
      <alignment vertical="center" shrinkToFit="1"/>
    </xf>
    <xf numFmtId="1" fontId="12" fillId="0" borderId="0" xfId="0" applyNumberFormat="1" applyFont="1" applyAlignment="1">
      <alignment wrapText="1" shrinkToFit="1"/>
    </xf>
    <xf numFmtId="3" fontId="12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3" fontId="12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vertical="center" wrapText="1" shrinkToFit="1"/>
    </xf>
    <xf numFmtId="1" fontId="12" fillId="0" borderId="0" xfId="0" applyNumberFormat="1" applyFont="1" applyBorder="1" applyAlignment="1">
      <alignment vertical="center" wrapText="1" shrinkToFit="1"/>
    </xf>
    <xf numFmtId="1" fontId="15" fillId="0" borderId="0" xfId="0" applyNumberFormat="1" applyFont="1" applyBorder="1" applyAlignment="1">
      <alignment vertical="center" wrapText="1" shrinkToFit="1"/>
    </xf>
    <xf numFmtId="3" fontId="16" fillId="0" borderId="0" xfId="0" applyNumberFormat="1" applyFont="1" applyBorder="1" applyAlignment="1">
      <alignment vertical="center" shrinkToFit="1"/>
    </xf>
    <xf numFmtId="0" fontId="12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vertical="center" shrinkToFit="1"/>
    </xf>
    <xf numFmtId="1" fontId="15" fillId="0" borderId="0" xfId="0" applyNumberFormat="1" applyFont="1" applyAlignment="1">
      <alignment vertical="center" wrapText="1" shrinkToFit="1"/>
    </xf>
    <xf numFmtId="3" fontId="15" fillId="0" borderId="0" xfId="0" applyNumberFormat="1" applyFont="1" applyAlignment="1">
      <alignment vertical="center" shrinkToFit="1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1" fontId="0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3" fontId="13" fillId="0" borderId="0" xfId="0" applyNumberFormat="1" applyFont="1" applyAlignment="1">
      <alignment horizontal="right" vertical="center" shrinkToFit="1"/>
    </xf>
    <xf numFmtId="3" fontId="12" fillId="0" borderId="0" xfId="0" applyNumberFormat="1" applyFont="1" applyAlignment="1">
      <alignment horizontal="right" vertical="center" wrapText="1"/>
    </xf>
    <xf numFmtId="3" fontId="12" fillId="0" borderId="0" xfId="0" applyNumberFormat="1" applyFont="1" applyAlignment="1">
      <alignment horizontal="right" vertical="center" shrinkToFit="1"/>
    </xf>
    <xf numFmtId="3" fontId="12" fillId="0" borderId="0" xfId="0" applyNumberFormat="1" applyFont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 shrinkToFit="1"/>
    </xf>
    <xf numFmtId="0" fontId="12" fillId="0" borderId="0" xfId="0" applyFont="1" applyAlignment="1">
      <alignment vertical="center" wrapText="1" shrinkToFit="1"/>
    </xf>
    <xf numFmtId="1" fontId="0" fillId="0" borderId="0" xfId="0" applyNumberFormat="1" applyFont="1" applyAlignment="1">
      <alignment vertical="center" wrapText="1" shrinkToFit="1"/>
    </xf>
    <xf numFmtId="3" fontId="0" fillId="0" borderId="0" xfId="0" applyNumberFormat="1" applyFont="1" applyAlignment="1">
      <alignment horizontal="right" vertical="center" shrinkToFit="1"/>
    </xf>
    <xf numFmtId="0" fontId="17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74"/>
  <sheetViews>
    <sheetView tabSelected="1" workbookViewId="0" topLeftCell="A1009">
      <selection activeCell="E1020" sqref="E1020"/>
    </sheetView>
  </sheetViews>
  <sheetFormatPr defaultColWidth="9.00390625" defaultRowHeight="12.75"/>
  <cols>
    <col min="1" max="1" width="4.625" style="143" bestFit="1" customWidth="1"/>
    <col min="2" max="3" width="7.75390625" style="143" bestFit="1" customWidth="1"/>
    <col min="4" max="4" width="42.75390625" style="103" customWidth="1"/>
    <col min="5" max="5" width="11.625" style="104" customWidth="1"/>
    <col min="6" max="16384" width="9.125" style="93" customWidth="1"/>
  </cols>
  <sheetData>
    <row r="1" spans="1:3" ht="15">
      <c r="A1" s="68"/>
      <c r="B1" s="101" t="s">
        <v>179</v>
      </c>
      <c r="C1" s="102"/>
    </row>
    <row r="2" spans="1:3" ht="15">
      <c r="A2" s="102"/>
      <c r="B2" s="101" t="s">
        <v>180</v>
      </c>
      <c r="C2" s="102"/>
    </row>
    <row r="3" spans="1:4" ht="15">
      <c r="A3" s="102"/>
      <c r="B3" s="102"/>
      <c r="C3" s="102"/>
      <c r="D3" s="101"/>
    </row>
    <row r="4" spans="1:4" ht="15">
      <c r="A4" s="102"/>
      <c r="B4" s="102"/>
      <c r="C4" s="102"/>
      <c r="D4" s="101"/>
    </row>
    <row r="5" spans="1:5" ht="31.5">
      <c r="A5" s="105"/>
      <c r="B5" s="69"/>
      <c r="C5" s="70"/>
      <c r="D5" s="106" t="s">
        <v>178</v>
      </c>
      <c r="E5" s="92"/>
    </row>
    <row r="6" spans="1:5" ht="15.75" thickBot="1">
      <c r="A6" s="105"/>
      <c r="B6" s="69"/>
      <c r="C6" s="70"/>
      <c r="D6" s="107"/>
      <c r="E6" s="92"/>
    </row>
    <row r="7" spans="1:5" s="110" customFormat="1" ht="32.25" thickBot="1">
      <c r="A7" s="72" t="s">
        <v>0</v>
      </c>
      <c r="B7" s="72" t="s">
        <v>1</v>
      </c>
      <c r="C7" s="73" t="s">
        <v>2</v>
      </c>
      <c r="D7" s="108" t="s">
        <v>3</v>
      </c>
      <c r="E7" s="109" t="s">
        <v>224</v>
      </c>
    </row>
    <row r="8" spans="1:5" ht="15">
      <c r="A8" s="111"/>
      <c r="B8" s="111"/>
      <c r="C8" s="112"/>
      <c r="D8" s="113"/>
      <c r="E8" s="114"/>
    </row>
    <row r="9" spans="1:5" s="117" customFormat="1" ht="15.75">
      <c r="A9" s="74" t="s">
        <v>4</v>
      </c>
      <c r="B9" s="74"/>
      <c r="C9" s="75"/>
      <c r="D9" s="115" t="s">
        <v>5</v>
      </c>
      <c r="E9" s="116">
        <f>E11</f>
        <v>35000</v>
      </c>
    </row>
    <row r="10" spans="1:5" ht="15">
      <c r="A10" s="118"/>
      <c r="B10" s="118"/>
      <c r="C10" s="119"/>
      <c r="D10" s="120"/>
      <c r="E10" s="121"/>
    </row>
    <row r="11" spans="1:5" s="110" customFormat="1" ht="31.5">
      <c r="A11" s="122"/>
      <c r="B11" s="78" t="s">
        <v>6</v>
      </c>
      <c r="C11" s="77"/>
      <c r="D11" s="123" t="s">
        <v>7</v>
      </c>
      <c r="E11" s="124">
        <f>SUM(E12:E13)</f>
        <v>35000</v>
      </c>
    </row>
    <row r="12" spans="1:5" ht="15">
      <c r="A12" s="125"/>
      <c r="B12" s="125"/>
      <c r="C12" s="126"/>
      <c r="D12" s="120"/>
      <c r="E12" s="121"/>
    </row>
    <row r="13" spans="1:5" ht="15">
      <c r="A13" s="122"/>
      <c r="B13" s="122"/>
      <c r="C13" s="127">
        <v>4300</v>
      </c>
      <c r="D13" s="91" t="s">
        <v>90</v>
      </c>
      <c r="E13" s="121">
        <v>35000</v>
      </c>
    </row>
    <row r="14" spans="1:5" ht="15">
      <c r="A14" s="122"/>
      <c r="B14" s="122"/>
      <c r="C14" s="127"/>
      <c r="D14" s="128"/>
      <c r="E14" s="121"/>
    </row>
    <row r="15" spans="1:5" s="117" customFormat="1" ht="15.75">
      <c r="A15" s="74" t="s">
        <v>10</v>
      </c>
      <c r="B15" s="74"/>
      <c r="C15" s="75"/>
      <c r="D15" s="115" t="s">
        <v>11</v>
      </c>
      <c r="E15" s="116">
        <f>E21+E17</f>
        <v>275500</v>
      </c>
    </row>
    <row r="16" spans="1:5" s="130" customFormat="1" ht="15.75">
      <c r="A16" s="74"/>
      <c r="B16" s="74"/>
      <c r="C16" s="75"/>
      <c r="D16" s="115"/>
      <c r="E16" s="129"/>
    </row>
    <row r="17" spans="1:5" s="110" customFormat="1" ht="15.75">
      <c r="A17" s="78"/>
      <c r="B17" s="78" t="s">
        <v>12</v>
      </c>
      <c r="C17" s="79"/>
      <c r="D17" s="123" t="s">
        <v>13</v>
      </c>
      <c r="E17" s="131">
        <f>SUM(E19:E20)</f>
        <v>240000</v>
      </c>
    </row>
    <row r="18" spans="1:5" ht="15.75">
      <c r="A18" s="78"/>
      <c r="B18" s="78"/>
      <c r="C18" s="79"/>
      <c r="D18" s="123"/>
      <c r="E18" s="132"/>
    </row>
    <row r="19" spans="1:5" s="135" customFormat="1" ht="15">
      <c r="A19" s="80"/>
      <c r="B19" s="80"/>
      <c r="C19" s="81">
        <v>3030</v>
      </c>
      <c r="D19" s="133" t="s">
        <v>64</v>
      </c>
      <c r="E19" s="134">
        <v>240000</v>
      </c>
    </row>
    <row r="20" spans="1:5" s="135" customFormat="1" ht="15">
      <c r="A20" s="80"/>
      <c r="B20" s="80"/>
      <c r="C20" s="81"/>
      <c r="D20" s="133"/>
      <c r="E20" s="136"/>
    </row>
    <row r="21" spans="1:5" s="110" customFormat="1" ht="15.75">
      <c r="A21" s="78"/>
      <c r="B21" s="78" t="s">
        <v>15</v>
      </c>
      <c r="C21" s="79"/>
      <c r="D21" s="137" t="s">
        <v>16</v>
      </c>
      <c r="E21" s="131">
        <f>SUM(E23:E23)</f>
        <v>35500</v>
      </c>
    </row>
    <row r="22" spans="1:5" ht="15">
      <c r="A22" s="125"/>
      <c r="B22" s="125"/>
      <c r="C22" s="126"/>
      <c r="D22" s="138"/>
      <c r="E22" s="132"/>
    </row>
    <row r="23" spans="1:5" ht="90">
      <c r="A23" s="122"/>
      <c r="B23" s="122"/>
      <c r="C23" s="127">
        <v>2830</v>
      </c>
      <c r="D23" s="138" t="s">
        <v>167</v>
      </c>
      <c r="E23" s="132">
        <v>35500</v>
      </c>
    </row>
    <row r="24" spans="1:5" s="130" customFormat="1" ht="15.75">
      <c r="A24" s="74"/>
      <c r="B24" s="74"/>
      <c r="C24" s="75"/>
      <c r="D24" s="139"/>
      <c r="E24" s="140"/>
    </row>
    <row r="25" spans="1:5" s="117" customFormat="1" ht="15.75">
      <c r="A25" s="74">
        <v>600</v>
      </c>
      <c r="B25" s="74"/>
      <c r="C25" s="75"/>
      <c r="D25" s="139" t="s">
        <v>17</v>
      </c>
      <c r="E25" s="116">
        <f>E27</f>
        <v>3410880</v>
      </c>
    </row>
    <row r="26" spans="1:5" ht="15">
      <c r="A26" s="118"/>
      <c r="B26" s="118"/>
      <c r="C26" s="119"/>
      <c r="D26" s="138"/>
      <c r="E26" s="132"/>
    </row>
    <row r="27" spans="1:5" ht="15.75">
      <c r="A27" s="78"/>
      <c r="B27" s="78">
        <v>60014</v>
      </c>
      <c r="C27" s="79"/>
      <c r="D27" s="137" t="s">
        <v>18</v>
      </c>
      <c r="E27" s="132">
        <f>SUM(E29:E62)</f>
        <v>3410880</v>
      </c>
    </row>
    <row r="28" spans="1:5" ht="15">
      <c r="A28" s="122"/>
      <c r="B28" s="122"/>
      <c r="C28" s="127"/>
      <c r="D28" s="138"/>
      <c r="E28" s="132"/>
    </row>
    <row r="29" spans="1:6" ht="30">
      <c r="A29" s="82"/>
      <c r="B29" s="82"/>
      <c r="C29" s="70">
        <v>3020</v>
      </c>
      <c r="D29" s="91" t="s">
        <v>196</v>
      </c>
      <c r="E29" s="92">
        <f>14000+4000</f>
        <v>18000</v>
      </c>
      <c r="F29" s="93">
        <v>4000</v>
      </c>
    </row>
    <row r="30" spans="1:5" ht="15">
      <c r="A30" s="82"/>
      <c r="B30" s="82"/>
      <c r="C30" s="70"/>
      <c r="D30" s="91"/>
      <c r="E30" s="92"/>
    </row>
    <row r="31" spans="1:5" ht="15">
      <c r="A31" s="82"/>
      <c r="B31" s="82"/>
      <c r="C31" s="83">
        <v>4010</v>
      </c>
      <c r="D31" s="91" t="s">
        <v>20</v>
      </c>
      <c r="E31" s="92">
        <f>406000*103%</f>
        <v>418180</v>
      </c>
    </row>
    <row r="32" spans="1:5" ht="15">
      <c r="A32" s="82"/>
      <c r="B32" s="82"/>
      <c r="C32" s="83"/>
      <c r="D32" s="91"/>
      <c r="E32" s="92"/>
    </row>
    <row r="33" spans="1:5" ht="15">
      <c r="A33" s="82"/>
      <c r="B33" s="82"/>
      <c r="C33" s="70">
        <v>4040</v>
      </c>
      <c r="D33" s="91" t="s">
        <v>21</v>
      </c>
      <c r="E33" s="92">
        <v>32400</v>
      </c>
    </row>
    <row r="34" spans="1:5" ht="15">
      <c r="A34" s="82"/>
      <c r="B34" s="82"/>
      <c r="C34" s="70"/>
      <c r="D34" s="91"/>
      <c r="E34" s="92"/>
    </row>
    <row r="35" spans="1:5" ht="15">
      <c r="A35" s="82"/>
      <c r="B35" s="82"/>
      <c r="C35" s="70">
        <v>4110</v>
      </c>
      <c r="D35" s="91" t="s">
        <v>22</v>
      </c>
      <c r="E35" s="92">
        <v>76500</v>
      </c>
    </row>
    <row r="36" spans="1:5" ht="15">
      <c r="A36" s="82"/>
      <c r="B36" s="82"/>
      <c r="C36" s="70"/>
      <c r="D36" s="91" t="s">
        <v>9</v>
      </c>
      <c r="E36" s="92"/>
    </row>
    <row r="37" spans="1:5" ht="15">
      <c r="A37" s="82"/>
      <c r="B37" s="82"/>
      <c r="C37" s="70">
        <v>4120</v>
      </c>
      <c r="D37" s="91" t="s">
        <v>23</v>
      </c>
      <c r="E37" s="92">
        <v>11000</v>
      </c>
    </row>
    <row r="38" spans="1:5" ht="15">
      <c r="A38" s="82"/>
      <c r="B38" s="82"/>
      <c r="C38" s="70"/>
      <c r="D38" s="91"/>
      <c r="E38" s="92"/>
    </row>
    <row r="39" spans="1:5" ht="15">
      <c r="A39" s="82"/>
      <c r="B39" s="82"/>
      <c r="C39" s="70">
        <v>4170</v>
      </c>
      <c r="D39" s="91" t="s">
        <v>217</v>
      </c>
      <c r="E39" s="92">
        <v>3700</v>
      </c>
    </row>
    <row r="40" spans="1:5" ht="15">
      <c r="A40" s="82"/>
      <c r="B40" s="82"/>
      <c r="C40" s="70"/>
      <c r="D40" s="91"/>
      <c r="E40" s="92"/>
    </row>
    <row r="41" spans="1:6" ht="15">
      <c r="A41" s="82"/>
      <c r="B41" s="82"/>
      <c r="C41" s="70">
        <v>4210</v>
      </c>
      <c r="D41" s="91" t="s">
        <v>14</v>
      </c>
      <c r="E41" s="92">
        <f>94800+8000</f>
        <v>102800</v>
      </c>
      <c r="F41" s="93">
        <v>8000</v>
      </c>
    </row>
    <row r="42" spans="1:5" ht="15">
      <c r="A42" s="82"/>
      <c r="B42" s="82"/>
      <c r="C42" s="70"/>
      <c r="D42" s="91"/>
      <c r="E42" s="92"/>
    </row>
    <row r="43" spans="1:5" ht="15">
      <c r="A43" s="82"/>
      <c r="B43" s="82"/>
      <c r="C43" s="70">
        <v>4260</v>
      </c>
      <c r="D43" s="91" t="s">
        <v>24</v>
      </c>
      <c r="E43" s="92">
        <v>17000</v>
      </c>
    </row>
    <row r="44" spans="1:5" ht="15">
      <c r="A44" s="82"/>
      <c r="B44" s="82"/>
      <c r="C44" s="70"/>
      <c r="D44" s="91"/>
      <c r="E44" s="92"/>
    </row>
    <row r="45" spans="1:5" ht="15">
      <c r="A45" s="82"/>
      <c r="B45" s="82"/>
      <c r="C45" s="70">
        <v>4270</v>
      </c>
      <c r="D45" s="91" t="s">
        <v>25</v>
      </c>
      <c r="E45" s="92">
        <v>825000</v>
      </c>
    </row>
    <row r="46" spans="1:5" ht="15">
      <c r="A46" s="82"/>
      <c r="B46" s="82"/>
      <c r="C46" s="70"/>
      <c r="D46" s="91"/>
      <c r="E46" s="92"/>
    </row>
    <row r="47" spans="1:6" ht="15">
      <c r="A47" s="82"/>
      <c r="B47" s="82"/>
      <c r="C47" s="70">
        <v>4300</v>
      </c>
      <c r="D47" s="91" t="s">
        <v>90</v>
      </c>
      <c r="E47" s="92">
        <f>739500-3700-1110+8000+100000</f>
        <v>842690</v>
      </c>
      <c r="F47" s="93">
        <v>8000</v>
      </c>
    </row>
    <row r="48" spans="1:6" ht="15">
      <c r="A48" s="82"/>
      <c r="B48" s="82"/>
      <c r="C48" s="70"/>
      <c r="D48" s="91"/>
      <c r="E48" s="92"/>
      <c r="F48" s="93">
        <v>100000</v>
      </c>
    </row>
    <row r="49" spans="1:5" ht="15">
      <c r="A49" s="82"/>
      <c r="B49" s="82"/>
      <c r="C49" s="70">
        <v>4350</v>
      </c>
      <c r="D49" s="91" t="s">
        <v>218</v>
      </c>
      <c r="E49" s="92">
        <v>1110</v>
      </c>
    </row>
    <row r="50" spans="1:5" ht="15">
      <c r="A50" s="82"/>
      <c r="B50" s="82"/>
      <c r="C50" s="70"/>
      <c r="D50" s="91"/>
      <c r="E50" s="92"/>
    </row>
    <row r="51" spans="1:5" ht="15">
      <c r="A51" s="82"/>
      <c r="B51" s="82"/>
      <c r="C51" s="70">
        <v>4410</v>
      </c>
      <c r="D51" s="91" t="s">
        <v>26</v>
      </c>
      <c r="E51" s="92">
        <v>2100</v>
      </c>
    </row>
    <row r="52" spans="1:5" ht="15">
      <c r="A52" s="82"/>
      <c r="B52" s="82"/>
      <c r="C52" s="70"/>
      <c r="D52" s="91"/>
      <c r="E52" s="92"/>
    </row>
    <row r="53" spans="1:5" ht="15">
      <c r="A53" s="82"/>
      <c r="B53" s="82"/>
      <c r="C53" s="70">
        <v>4430</v>
      </c>
      <c r="D53" s="91" t="s">
        <v>27</v>
      </c>
      <c r="E53" s="92">
        <v>6900</v>
      </c>
    </row>
    <row r="54" spans="1:5" ht="15">
      <c r="A54" s="82"/>
      <c r="B54" s="82"/>
      <c r="C54" s="70"/>
      <c r="D54" s="91"/>
      <c r="E54" s="92"/>
    </row>
    <row r="55" spans="1:5" ht="30">
      <c r="A55" s="82"/>
      <c r="B55" s="82"/>
      <c r="C55" s="70">
        <v>4440</v>
      </c>
      <c r="D55" s="91" t="s">
        <v>28</v>
      </c>
      <c r="E55" s="92">
        <v>12300</v>
      </c>
    </row>
    <row r="56" spans="1:5" ht="15">
      <c r="A56" s="82"/>
      <c r="B56" s="82"/>
      <c r="C56" s="70"/>
      <c r="D56" s="91"/>
      <c r="E56" s="92"/>
    </row>
    <row r="57" spans="1:5" ht="15">
      <c r="A57" s="82"/>
      <c r="B57" s="82"/>
      <c r="C57" s="70">
        <v>4480</v>
      </c>
      <c r="D57" s="91" t="s">
        <v>29</v>
      </c>
      <c r="E57" s="92">
        <v>6200</v>
      </c>
    </row>
    <row r="58" spans="1:5" ht="15">
      <c r="A58" s="82"/>
      <c r="B58" s="82"/>
      <c r="C58" s="70"/>
      <c r="D58" s="91"/>
      <c r="E58" s="92"/>
    </row>
    <row r="59" spans="1:6" ht="30">
      <c r="A59" s="82"/>
      <c r="B59" s="82"/>
      <c r="C59" s="83">
        <v>6050</v>
      </c>
      <c r="D59" s="98" t="s">
        <v>203</v>
      </c>
      <c r="E59" s="92">
        <f>672000+300000</f>
        <v>972000</v>
      </c>
      <c r="F59" s="93">
        <v>300000</v>
      </c>
    </row>
    <row r="60" spans="1:5" ht="15">
      <c r="A60" s="82"/>
      <c r="B60" s="82"/>
      <c r="C60" s="83"/>
      <c r="D60" s="98"/>
      <c r="E60" s="92"/>
    </row>
    <row r="61" spans="1:6" ht="30">
      <c r="A61" s="82"/>
      <c r="B61" s="82"/>
      <c r="C61" s="83">
        <v>6060</v>
      </c>
      <c r="D61" s="98" t="s">
        <v>205</v>
      </c>
      <c r="E61" s="92">
        <f>28000+35000</f>
        <v>63000</v>
      </c>
      <c r="F61" s="93">
        <v>35000</v>
      </c>
    </row>
    <row r="62" spans="1:5" ht="15">
      <c r="A62" s="82"/>
      <c r="B62" s="82"/>
      <c r="C62" s="83"/>
      <c r="D62" s="98"/>
      <c r="E62" s="92"/>
    </row>
    <row r="63" spans="1:5" ht="15">
      <c r="A63" s="82"/>
      <c r="B63" s="82"/>
      <c r="C63" s="83"/>
      <c r="D63" s="98" t="s">
        <v>177</v>
      </c>
      <c r="E63" s="92"/>
    </row>
    <row r="64" spans="1:5" ht="15.75">
      <c r="A64" s="82"/>
      <c r="B64" s="82"/>
      <c r="C64" s="83"/>
      <c r="D64" s="99" t="s">
        <v>176</v>
      </c>
      <c r="E64" s="92"/>
    </row>
    <row r="65" spans="1:5" ht="15">
      <c r="A65" s="82"/>
      <c r="B65" s="82"/>
      <c r="C65" s="83"/>
      <c r="D65" s="98"/>
      <c r="E65" s="92"/>
    </row>
    <row r="66" spans="1:5" ht="15">
      <c r="A66" s="122"/>
      <c r="B66" s="122">
        <v>60014</v>
      </c>
      <c r="C66" s="127"/>
      <c r="D66" s="138" t="s">
        <v>18</v>
      </c>
      <c r="E66" s="132">
        <f>SUM(E68:E100)</f>
        <v>3410880</v>
      </c>
    </row>
    <row r="67" spans="1:5" ht="15">
      <c r="A67" s="122"/>
      <c r="B67" s="122"/>
      <c r="C67" s="127"/>
      <c r="D67" s="138"/>
      <c r="E67" s="132"/>
    </row>
    <row r="68" spans="1:5" ht="30">
      <c r="A68" s="82"/>
      <c r="B68" s="82"/>
      <c r="C68" s="70">
        <v>3020</v>
      </c>
      <c r="D68" s="91" t="s">
        <v>196</v>
      </c>
      <c r="E68" s="92">
        <v>18000</v>
      </c>
    </row>
    <row r="69" spans="1:5" ht="15">
      <c r="A69" s="82"/>
      <c r="B69" s="82"/>
      <c r="C69" s="70"/>
      <c r="D69" s="91"/>
      <c r="E69" s="92"/>
    </row>
    <row r="70" spans="1:5" ht="15">
      <c r="A70" s="82"/>
      <c r="B70" s="82"/>
      <c r="C70" s="83">
        <v>4010</v>
      </c>
      <c r="D70" s="91" t="s">
        <v>20</v>
      </c>
      <c r="E70" s="92">
        <f>406000*103%</f>
        <v>418180</v>
      </c>
    </row>
    <row r="71" spans="1:5" ht="15">
      <c r="A71" s="82"/>
      <c r="B71" s="82"/>
      <c r="C71" s="83"/>
      <c r="D71" s="91"/>
      <c r="E71" s="92"/>
    </row>
    <row r="72" spans="1:5" ht="15">
      <c r="A72" s="82"/>
      <c r="B72" s="82"/>
      <c r="C72" s="70">
        <v>4040</v>
      </c>
      <c r="D72" s="91" t="s">
        <v>21</v>
      </c>
      <c r="E72" s="92">
        <v>32400</v>
      </c>
    </row>
    <row r="73" spans="1:5" ht="15">
      <c r="A73" s="82"/>
      <c r="B73" s="82"/>
      <c r="C73" s="70"/>
      <c r="D73" s="91"/>
      <c r="E73" s="92"/>
    </row>
    <row r="74" spans="1:5" ht="15">
      <c r="A74" s="82"/>
      <c r="B74" s="82"/>
      <c r="C74" s="70">
        <v>4110</v>
      </c>
      <c r="D74" s="91" t="s">
        <v>22</v>
      </c>
      <c r="E74" s="92">
        <v>76500</v>
      </c>
    </row>
    <row r="75" spans="1:5" ht="15">
      <c r="A75" s="82"/>
      <c r="B75" s="82"/>
      <c r="C75" s="70"/>
      <c r="D75" s="91"/>
      <c r="E75" s="92"/>
    </row>
    <row r="76" spans="1:5" ht="15">
      <c r="A76" s="82"/>
      <c r="B76" s="82"/>
      <c r="C76" s="70">
        <v>4120</v>
      </c>
      <c r="D76" s="91" t="s">
        <v>23</v>
      </c>
      <c r="E76" s="92">
        <v>11000</v>
      </c>
    </row>
    <row r="77" spans="1:5" ht="15">
      <c r="A77" s="82"/>
      <c r="B77" s="82"/>
      <c r="C77" s="70"/>
      <c r="D77" s="91"/>
      <c r="E77" s="92"/>
    </row>
    <row r="78" spans="1:5" ht="15">
      <c r="A78" s="82"/>
      <c r="B78" s="82"/>
      <c r="C78" s="70">
        <v>4170</v>
      </c>
      <c r="D78" s="91" t="s">
        <v>217</v>
      </c>
      <c r="E78" s="92">
        <v>3700</v>
      </c>
    </row>
    <row r="79" spans="1:5" ht="15">
      <c r="A79" s="82"/>
      <c r="B79" s="82"/>
      <c r="C79" s="70"/>
      <c r="D79" s="91"/>
      <c r="E79" s="92"/>
    </row>
    <row r="80" spans="1:5" ht="15">
      <c r="A80" s="82"/>
      <c r="B80" s="82"/>
      <c r="C80" s="70">
        <v>4210</v>
      </c>
      <c r="D80" s="91" t="s">
        <v>14</v>
      </c>
      <c r="E80" s="92">
        <v>102800</v>
      </c>
    </row>
    <row r="81" spans="1:5" ht="15">
      <c r="A81" s="82"/>
      <c r="B81" s="82"/>
      <c r="C81" s="70"/>
      <c r="D81" s="91"/>
      <c r="E81" s="92"/>
    </row>
    <row r="82" spans="1:5" ht="15">
      <c r="A82" s="82"/>
      <c r="B82" s="82"/>
      <c r="C82" s="70">
        <v>4260</v>
      </c>
      <c r="D82" s="91" t="s">
        <v>24</v>
      </c>
      <c r="E82" s="92">
        <v>17000</v>
      </c>
    </row>
    <row r="83" spans="1:5" ht="15">
      <c r="A83" s="82"/>
      <c r="B83" s="82"/>
      <c r="C83" s="70"/>
      <c r="D83" s="91"/>
      <c r="E83" s="92"/>
    </row>
    <row r="84" spans="1:5" ht="15">
      <c r="A84" s="82"/>
      <c r="B84" s="82"/>
      <c r="C84" s="70">
        <v>4270</v>
      </c>
      <c r="D84" s="91" t="s">
        <v>25</v>
      </c>
      <c r="E84" s="92">
        <v>825000</v>
      </c>
    </row>
    <row r="85" spans="1:5" ht="15">
      <c r="A85" s="82"/>
      <c r="B85" s="82"/>
      <c r="C85" s="70"/>
      <c r="D85" s="91"/>
      <c r="E85" s="92"/>
    </row>
    <row r="86" spans="1:5" ht="15">
      <c r="A86" s="82"/>
      <c r="B86" s="82"/>
      <c r="C86" s="70">
        <v>4300</v>
      </c>
      <c r="D86" s="91" t="s">
        <v>90</v>
      </c>
      <c r="E86" s="92">
        <v>842690</v>
      </c>
    </row>
    <row r="87" spans="1:5" ht="15">
      <c r="A87" s="82"/>
      <c r="B87" s="82"/>
      <c r="C87" s="70"/>
      <c r="D87" s="91"/>
      <c r="E87" s="92"/>
    </row>
    <row r="88" spans="1:5" ht="15">
      <c r="A88" s="82"/>
      <c r="B88" s="82"/>
      <c r="C88" s="70">
        <v>4350</v>
      </c>
      <c r="D88" s="91" t="s">
        <v>218</v>
      </c>
      <c r="E88" s="92">
        <v>1110</v>
      </c>
    </row>
    <row r="89" spans="1:5" ht="15">
      <c r="A89" s="82"/>
      <c r="B89" s="82"/>
      <c r="C89" s="70"/>
      <c r="D89" s="91"/>
      <c r="E89" s="92"/>
    </row>
    <row r="90" spans="1:5" ht="15">
      <c r="A90" s="82"/>
      <c r="B90" s="82"/>
      <c r="C90" s="70">
        <v>4410</v>
      </c>
      <c r="D90" s="91" t="s">
        <v>26</v>
      </c>
      <c r="E90" s="92">
        <v>2100</v>
      </c>
    </row>
    <row r="91" spans="1:5" ht="15">
      <c r="A91" s="82"/>
      <c r="B91" s="82"/>
      <c r="C91" s="70"/>
      <c r="D91" s="91"/>
      <c r="E91" s="92"/>
    </row>
    <row r="92" spans="1:5" ht="15">
      <c r="A92" s="82"/>
      <c r="B92" s="82"/>
      <c r="C92" s="70">
        <v>4430</v>
      </c>
      <c r="D92" s="91" t="s">
        <v>27</v>
      </c>
      <c r="E92" s="92">
        <v>6900</v>
      </c>
    </row>
    <row r="93" spans="1:5" ht="15">
      <c r="A93" s="82"/>
      <c r="B93" s="82"/>
      <c r="C93" s="70"/>
      <c r="D93" s="91"/>
      <c r="E93" s="92"/>
    </row>
    <row r="94" spans="1:5" ht="30">
      <c r="A94" s="82"/>
      <c r="B94" s="82"/>
      <c r="C94" s="70">
        <v>4440</v>
      </c>
      <c r="D94" s="91" t="s">
        <v>28</v>
      </c>
      <c r="E94" s="92">
        <v>12300</v>
      </c>
    </row>
    <row r="95" spans="1:5" ht="15">
      <c r="A95" s="82"/>
      <c r="B95" s="82"/>
      <c r="C95" s="70"/>
      <c r="D95" s="91"/>
      <c r="E95" s="92"/>
    </row>
    <row r="96" spans="1:5" ht="15">
      <c r="A96" s="82"/>
      <c r="B96" s="82"/>
      <c r="C96" s="70">
        <v>4480</v>
      </c>
      <c r="D96" s="91" t="s">
        <v>29</v>
      </c>
      <c r="E96" s="92">
        <v>6200</v>
      </c>
    </row>
    <row r="97" spans="1:5" ht="15">
      <c r="A97" s="82"/>
      <c r="B97" s="82"/>
      <c r="C97" s="70"/>
      <c r="D97" s="91"/>
      <c r="E97" s="92"/>
    </row>
    <row r="98" spans="1:5" ht="30">
      <c r="A98" s="82"/>
      <c r="B98" s="82"/>
      <c r="C98" s="83">
        <v>6050</v>
      </c>
      <c r="D98" s="98" t="s">
        <v>203</v>
      </c>
      <c r="E98" s="92">
        <v>972000</v>
      </c>
    </row>
    <row r="99" spans="1:5" ht="15">
      <c r="A99" s="82"/>
      <c r="B99" s="82"/>
      <c r="C99" s="83"/>
      <c r="D99" s="98"/>
      <c r="E99" s="92"/>
    </row>
    <row r="100" spans="1:5" ht="30">
      <c r="A100" s="82"/>
      <c r="B100" s="82"/>
      <c r="C100" s="83">
        <v>6060</v>
      </c>
      <c r="D100" s="98" t="s">
        <v>201</v>
      </c>
      <c r="E100" s="92">
        <v>63000</v>
      </c>
    </row>
    <row r="101" spans="1:5" ht="15">
      <c r="A101" s="82"/>
      <c r="B101" s="82"/>
      <c r="C101" s="83"/>
      <c r="D101" s="98"/>
      <c r="E101" s="92"/>
    </row>
    <row r="102" spans="1:5" ht="15">
      <c r="A102" s="122"/>
      <c r="B102" s="122"/>
      <c r="C102" s="127"/>
      <c r="D102" s="138"/>
      <c r="E102" s="132"/>
    </row>
    <row r="103" spans="1:5" s="117" customFormat="1" ht="15.75">
      <c r="A103" s="74">
        <v>700</v>
      </c>
      <c r="B103" s="74"/>
      <c r="C103" s="75"/>
      <c r="D103" s="139" t="s">
        <v>30</v>
      </c>
      <c r="E103" s="116">
        <f>E105</f>
        <v>29800</v>
      </c>
    </row>
    <row r="104" spans="1:5" ht="15">
      <c r="A104" s="118"/>
      <c r="B104" s="118"/>
      <c r="C104" s="119"/>
      <c r="D104" s="138"/>
      <c r="E104" s="132"/>
    </row>
    <row r="105" spans="1:5" s="110" customFormat="1" ht="31.5">
      <c r="A105" s="78"/>
      <c r="B105" s="78">
        <v>70005</v>
      </c>
      <c r="C105" s="79"/>
      <c r="D105" s="137" t="s">
        <v>31</v>
      </c>
      <c r="E105" s="131">
        <f>SUM(E107:E115)</f>
        <v>29800</v>
      </c>
    </row>
    <row r="106" spans="1:5" s="110" customFormat="1" ht="15.75">
      <c r="A106" s="78"/>
      <c r="B106" s="78"/>
      <c r="C106" s="79"/>
      <c r="D106" s="137"/>
      <c r="E106" s="131"/>
    </row>
    <row r="107" spans="1:5" ht="30">
      <c r="A107" s="125"/>
      <c r="B107" s="125"/>
      <c r="C107" s="126">
        <v>4610</v>
      </c>
      <c r="D107" s="138" t="s">
        <v>191</v>
      </c>
      <c r="E107" s="132">
        <v>500</v>
      </c>
    </row>
    <row r="108" spans="1:5" ht="15">
      <c r="A108" s="122"/>
      <c r="B108" s="122"/>
      <c r="C108" s="127"/>
      <c r="D108" s="138"/>
      <c r="E108" s="132"/>
    </row>
    <row r="109" spans="1:5" ht="15">
      <c r="A109" s="82"/>
      <c r="B109" s="82"/>
      <c r="C109" s="70">
        <v>4260</v>
      </c>
      <c r="D109" s="91" t="s">
        <v>24</v>
      </c>
      <c r="E109" s="92">
        <f>7500</f>
        <v>7500</v>
      </c>
    </row>
    <row r="110" spans="1:5" ht="15.75">
      <c r="A110" s="78"/>
      <c r="B110" s="78"/>
      <c r="C110" s="79"/>
      <c r="D110" s="137"/>
      <c r="E110" s="132"/>
    </row>
    <row r="111" spans="1:5" ht="15">
      <c r="A111" s="122"/>
      <c r="B111" s="122"/>
      <c r="C111" s="127">
        <v>4270</v>
      </c>
      <c r="D111" s="138" t="s">
        <v>32</v>
      </c>
      <c r="E111" s="132">
        <v>300</v>
      </c>
    </row>
    <row r="112" spans="1:5" ht="15">
      <c r="A112" s="122"/>
      <c r="B112" s="122"/>
      <c r="C112" s="127"/>
      <c r="D112" s="138"/>
      <c r="E112" s="132"/>
    </row>
    <row r="113" spans="1:5" ht="15">
      <c r="A113" s="122"/>
      <c r="B113" s="122"/>
      <c r="C113" s="127">
        <v>4300</v>
      </c>
      <c r="D113" s="91" t="s">
        <v>90</v>
      </c>
      <c r="E113" s="132">
        <v>20600</v>
      </c>
    </row>
    <row r="114" spans="1:5" ht="15">
      <c r="A114" s="122"/>
      <c r="B114" s="122"/>
      <c r="C114" s="127"/>
      <c r="D114" s="138"/>
      <c r="E114" s="132"/>
    </row>
    <row r="115" spans="1:5" ht="15">
      <c r="A115" s="122"/>
      <c r="B115" s="122"/>
      <c r="C115" s="127">
        <v>4480</v>
      </c>
      <c r="D115" s="138" t="s">
        <v>29</v>
      </c>
      <c r="E115" s="132">
        <v>900</v>
      </c>
    </row>
    <row r="116" spans="1:5" ht="15">
      <c r="A116" s="122"/>
      <c r="B116" s="122"/>
      <c r="C116" s="127"/>
      <c r="D116" s="138" t="s">
        <v>37</v>
      </c>
      <c r="E116" s="132"/>
    </row>
    <row r="117" spans="1:5" ht="41.25" customHeight="1">
      <c r="A117" s="78"/>
      <c r="B117" s="78"/>
      <c r="C117" s="79" t="s">
        <v>55</v>
      </c>
      <c r="D117" s="137" t="s">
        <v>33</v>
      </c>
      <c r="E117" s="132">
        <f>SUM(E118:E122)</f>
        <v>7000</v>
      </c>
    </row>
    <row r="118" spans="1:5" ht="30">
      <c r="A118" s="122"/>
      <c r="B118" s="122"/>
      <c r="C118" s="127">
        <v>4610</v>
      </c>
      <c r="D118" s="138" t="s">
        <v>197</v>
      </c>
      <c r="E118" s="132">
        <v>500</v>
      </c>
    </row>
    <row r="119" spans="1:5" ht="15">
      <c r="A119" s="93"/>
      <c r="B119" s="93"/>
      <c r="C119" s="93"/>
      <c r="D119" s="141"/>
      <c r="E119" s="141"/>
    </row>
    <row r="120" spans="1:5" ht="15">
      <c r="A120" s="122"/>
      <c r="B120" s="122"/>
      <c r="C120" s="127">
        <v>4300</v>
      </c>
      <c r="D120" s="91" t="s">
        <v>90</v>
      </c>
      <c r="E120" s="132">
        <v>5600</v>
      </c>
    </row>
    <row r="121" spans="1:5" ht="15">
      <c r="A121" s="122"/>
      <c r="B121" s="122"/>
      <c r="C121" s="127"/>
      <c r="D121" s="138"/>
      <c r="E121" s="132"/>
    </row>
    <row r="122" spans="1:5" ht="15">
      <c r="A122" s="122"/>
      <c r="B122" s="122"/>
      <c r="C122" s="127">
        <v>4480</v>
      </c>
      <c r="D122" s="138" t="s">
        <v>29</v>
      </c>
      <c r="E122" s="132">
        <v>900</v>
      </c>
    </row>
    <row r="123" spans="1:5" ht="15">
      <c r="A123" s="122"/>
      <c r="B123" s="122"/>
      <c r="C123" s="127"/>
      <c r="D123" s="138"/>
      <c r="E123" s="132"/>
    </row>
    <row r="124" spans="1:5" ht="31.5">
      <c r="A124" s="78"/>
      <c r="B124" s="78"/>
      <c r="C124" s="79" t="s">
        <v>55</v>
      </c>
      <c r="D124" s="137" t="s">
        <v>34</v>
      </c>
      <c r="E124" s="132">
        <f>SUM(E125:E130)</f>
        <v>22800</v>
      </c>
    </row>
    <row r="125" spans="1:5" ht="15">
      <c r="A125" s="82"/>
      <c r="B125" s="82"/>
      <c r="C125" s="70"/>
      <c r="D125" s="91"/>
      <c r="E125" s="92"/>
    </row>
    <row r="126" spans="1:5" ht="15">
      <c r="A126" s="82"/>
      <c r="B126" s="82"/>
      <c r="C126" s="70">
        <v>4260</v>
      </c>
      <c r="D126" s="91" t="s">
        <v>24</v>
      </c>
      <c r="E126" s="92">
        <v>7500</v>
      </c>
    </row>
    <row r="127" spans="1:5" ht="15">
      <c r="A127" s="82"/>
      <c r="B127" s="82"/>
      <c r="C127" s="70"/>
      <c r="D127" s="91"/>
      <c r="E127" s="92"/>
    </row>
    <row r="128" spans="1:5" ht="15">
      <c r="A128" s="122"/>
      <c r="B128" s="122"/>
      <c r="C128" s="127">
        <v>4270</v>
      </c>
      <c r="D128" s="138" t="s">
        <v>32</v>
      </c>
      <c r="E128" s="132">
        <v>300</v>
      </c>
    </row>
    <row r="129" spans="1:5" ht="15">
      <c r="A129" s="122"/>
      <c r="B129" s="122"/>
      <c r="C129" s="127"/>
      <c r="D129" s="138"/>
      <c r="E129" s="132"/>
    </row>
    <row r="130" spans="1:5" ht="15">
      <c r="A130" s="78"/>
      <c r="B130" s="78"/>
      <c r="C130" s="77">
        <v>4300</v>
      </c>
      <c r="D130" s="91" t="s">
        <v>90</v>
      </c>
      <c r="E130" s="132">
        <v>15000</v>
      </c>
    </row>
    <row r="131" spans="1:5" ht="15">
      <c r="A131" s="122"/>
      <c r="B131" s="122"/>
      <c r="C131" s="127"/>
      <c r="D131" s="138"/>
      <c r="E131" s="132"/>
    </row>
    <row r="132" spans="1:5" s="117" customFormat="1" ht="15.75">
      <c r="A132" s="74">
        <v>710</v>
      </c>
      <c r="B132" s="74"/>
      <c r="C132" s="75"/>
      <c r="D132" s="139" t="s">
        <v>35</v>
      </c>
      <c r="E132" s="116">
        <f>E134+E145+E167+E141</f>
        <v>249900</v>
      </c>
    </row>
    <row r="133" spans="1:5" ht="15">
      <c r="A133" s="118"/>
      <c r="B133" s="118"/>
      <c r="C133" s="119"/>
      <c r="D133" s="138"/>
      <c r="E133" s="132"/>
    </row>
    <row r="134" spans="1:5" s="110" customFormat="1" ht="31.5">
      <c r="A134" s="78"/>
      <c r="B134" s="78">
        <v>71013</v>
      </c>
      <c r="C134" s="79"/>
      <c r="D134" s="137" t="s">
        <v>59</v>
      </c>
      <c r="E134" s="131">
        <f>SUM(E135:E136)</f>
        <v>20000</v>
      </c>
    </row>
    <row r="135" spans="1:5" ht="15">
      <c r="A135" s="125"/>
      <c r="B135" s="125"/>
      <c r="C135" s="126"/>
      <c r="D135" s="138"/>
      <c r="E135" s="132"/>
    </row>
    <row r="136" spans="1:5" ht="15">
      <c r="A136" s="122"/>
      <c r="B136" s="122"/>
      <c r="C136" s="127">
        <v>4300</v>
      </c>
      <c r="D136" s="91" t="s">
        <v>90</v>
      </c>
      <c r="E136" s="132">
        <v>20000</v>
      </c>
    </row>
    <row r="137" spans="1:5" ht="15">
      <c r="A137" s="122"/>
      <c r="B137" s="122"/>
      <c r="C137" s="127"/>
      <c r="D137" s="138"/>
      <c r="E137" s="132"/>
    </row>
    <row r="138" spans="1:5" ht="15">
      <c r="A138" s="122"/>
      <c r="B138" s="122"/>
      <c r="C138" s="127" t="s">
        <v>37</v>
      </c>
      <c r="D138" s="138"/>
      <c r="E138" s="132"/>
    </row>
    <row r="139" spans="1:5" ht="31.5">
      <c r="A139" s="78"/>
      <c r="B139" s="78"/>
      <c r="C139" s="79" t="s">
        <v>55</v>
      </c>
      <c r="D139" s="137" t="s">
        <v>38</v>
      </c>
      <c r="E139" s="132">
        <v>20000</v>
      </c>
    </row>
    <row r="140" spans="1:5" ht="15.75">
      <c r="A140" s="78"/>
      <c r="B140" s="78"/>
      <c r="C140" s="79"/>
      <c r="D140" s="137"/>
      <c r="E140" s="132"/>
    </row>
    <row r="141" spans="1:5" s="110" customFormat="1" ht="31.5">
      <c r="A141" s="78"/>
      <c r="B141" s="78">
        <v>71014</v>
      </c>
      <c r="C141" s="79"/>
      <c r="D141" s="137" t="s">
        <v>190</v>
      </c>
      <c r="E141" s="131">
        <f>SUM(E142:E143)</f>
        <v>1000</v>
      </c>
    </row>
    <row r="142" spans="1:5" ht="15">
      <c r="A142" s="125"/>
      <c r="B142" s="125"/>
      <c r="C142" s="126"/>
      <c r="D142" s="138"/>
      <c r="E142" s="132"/>
    </row>
    <row r="143" spans="1:5" ht="15">
      <c r="A143" s="122"/>
      <c r="B143" s="122"/>
      <c r="C143" s="127">
        <v>4300</v>
      </c>
      <c r="D143" s="91" t="s">
        <v>90</v>
      </c>
      <c r="E143" s="132">
        <v>1000</v>
      </c>
    </row>
    <row r="144" spans="1:5" ht="15">
      <c r="A144" s="122"/>
      <c r="B144" s="122"/>
      <c r="C144" s="127"/>
      <c r="D144" s="138"/>
      <c r="E144" s="132"/>
    </row>
    <row r="145" spans="1:5" s="110" customFormat="1" ht="15.75">
      <c r="A145" s="78"/>
      <c r="B145" s="78">
        <v>71015</v>
      </c>
      <c r="C145" s="79"/>
      <c r="D145" s="137" t="s">
        <v>39</v>
      </c>
      <c r="E145" s="131">
        <f>SUM(E147:E165)</f>
        <v>223100</v>
      </c>
    </row>
    <row r="146" spans="1:5" s="110" customFormat="1" ht="15.75">
      <c r="A146" s="78"/>
      <c r="B146" s="78"/>
      <c r="C146" s="79"/>
      <c r="D146" s="137"/>
      <c r="E146" s="131"/>
    </row>
    <row r="147" spans="1:5" ht="15">
      <c r="A147" s="82"/>
      <c r="B147" s="82"/>
      <c r="C147" s="83">
        <v>4010</v>
      </c>
      <c r="D147" s="91" t="s">
        <v>20</v>
      </c>
      <c r="E147" s="92">
        <v>124400</v>
      </c>
    </row>
    <row r="148" spans="1:5" ht="15">
      <c r="A148" s="82"/>
      <c r="B148" s="82"/>
      <c r="C148" s="83"/>
      <c r="D148" s="91"/>
      <c r="E148" s="92"/>
    </row>
    <row r="149" spans="1:5" ht="15">
      <c r="A149" s="82"/>
      <c r="B149" s="82"/>
      <c r="C149" s="70">
        <v>4040</v>
      </c>
      <c r="D149" s="91" t="s">
        <v>21</v>
      </c>
      <c r="E149" s="92">
        <v>10700</v>
      </c>
    </row>
    <row r="150" spans="1:5" ht="15">
      <c r="A150" s="82"/>
      <c r="B150" s="82"/>
      <c r="C150" s="70"/>
      <c r="D150" s="91"/>
      <c r="E150" s="92"/>
    </row>
    <row r="151" spans="1:5" ht="15">
      <c r="A151" s="82"/>
      <c r="B151" s="82"/>
      <c r="C151" s="70">
        <v>4110</v>
      </c>
      <c r="D151" s="91" t="s">
        <v>22</v>
      </c>
      <c r="E151" s="92">
        <v>23000</v>
      </c>
    </row>
    <row r="152" spans="1:5" ht="15">
      <c r="A152" s="82"/>
      <c r="B152" s="82"/>
      <c r="C152" s="70"/>
      <c r="D152" s="91"/>
      <c r="E152" s="92"/>
    </row>
    <row r="153" spans="1:5" ht="15">
      <c r="A153" s="82"/>
      <c r="B153" s="82"/>
      <c r="C153" s="70">
        <v>4120</v>
      </c>
      <c r="D153" s="91" t="s">
        <v>23</v>
      </c>
      <c r="E153" s="92">
        <v>3300</v>
      </c>
    </row>
    <row r="154" spans="1:5" ht="15">
      <c r="A154" s="82"/>
      <c r="B154" s="82"/>
      <c r="C154" s="70"/>
      <c r="D154" s="91"/>
      <c r="E154" s="92"/>
    </row>
    <row r="155" spans="1:5" ht="24" customHeight="1">
      <c r="A155" s="82"/>
      <c r="B155" s="82"/>
      <c r="C155" s="70">
        <v>4210</v>
      </c>
      <c r="D155" s="91" t="s">
        <v>14</v>
      </c>
      <c r="E155" s="92">
        <v>6400</v>
      </c>
    </row>
    <row r="156" spans="1:5" ht="15">
      <c r="A156" s="82"/>
      <c r="B156" s="82"/>
      <c r="C156" s="70"/>
      <c r="D156" s="91"/>
      <c r="E156" s="92"/>
    </row>
    <row r="157" spans="1:5" ht="15">
      <c r="A157" s="82"/>
      <c r="B157" s="82"/>
      <c r="C157" s="70">
        <v>4260</v>
      </c>
      <c r="D157" s="91" t="s">
        <v>24</v>
      </c>
      <c r="E157" s="92">
        <v>2400</v>
      </c>
    </row>
    <row r="158" spans="1:5" ht="15">
      <c r="A158" s="82"/>
      <c r="B158" s="82"/>
      <c r="C158" s="70"/>
      <c r="D158" s="91"/>
      <c r="E158" s="92"/>
    </row>
    <row r="159" spans="1:5" ht="15">
      <c r="A159" s="82"/>
      <c r="B159" s="82"/>
      <c r="C159" s="70">
        <v>4270</v>
      </c>
      <c r="D159" s="91" t="s">
        <v>32</v>
      </c>
      <c r="E159" s="92">
        <v>1600</v>
      </c>
    </row>
    <row r="160" spans="1:5" ht="15">
      <c r="A160" s="82"/>
      <c r="B160" s="82"/>
      <c r="C160" s="70"/>
      <c r="D160" s="91"/>
      <c r="E160" s="92"/>
    </row>
    <row r="161" spans="1:5" ht="15">
      <c r="A161" s="82"/>
      <c r="B161" s="82"/>
      <c r="C161" s="70">
        <v>4300</v>
      </c>
      <c r="D161" s="91" t="s">
        <v>8</v>
      </c>
      <c r="E161" s="92">
        <v>44000</v>
      </c>
    </row>
    <row r="162" spans="1:5" ht="15">
      <c r="A162" s="82"/>
      <c r="B162" s="82"/>
      <c r="C162" s="70"/>
      <c r="D162" s="91"/>
      <c r="E162" s="92"/>
    </row>
    <row r="163" spans="1:5" ht="15">
      <c r="A163" s="82"/>
      <c r="B163" s="82"/>
      <c r="C163" s="70">
        <v>4410</v>
      </c>
      <c r="D163" s="91" t="s">
        <v>26</v>
      </c>
      <c r="E163" s="92">
        <v>2700</v>
      </c>
    </row>
    <row r="164" spans="1:5" ht="15">
      <c r="A164" s="82"/>
      <c r="B164" s="82"/>
      <c r="C164" s="70"/>
      <c r="D164" s="91"/>
      <c r="E164" s="92"/>
    </row>
    <row r="165" spans="1:5" ht="30">
      <c r="A165" s="82"/>
      <c r="B165" s="82"/>
      <c r="C165" s="70">
        <v>4440</v>
      </c>
      <c r="D165" s="91" t="s">
        <v>28</v>
      </c>
      <c r="E165" s="92">
        <v>4600</v>
      </c>
    </row>
    <row r="166" spans="1:5" ht="15">
      <c r="A166" s="82"/>
      <c r="B166" s="82"/>
      <c r="C166" s="70"/>
      <c r="D166" s="91"/>
      <c r="E166" s="92"/>
    </row>
    <row r="167" spans="1:5" s="110" customFormat="1" ht="15.75">
      <c r="A167" s="78"/>
      <c r="B167" s="78">
        <v>71095</v>
      </c>
      <c r="C167" s="79"/>
      <c r="D167" s="137" t="s">
        <v>71</v>
      </c>
      <c r="E167" s="131">
        <f>SUM(E168:E169)</f>
        <v>5800</v>
      </c>
    </row>
    <row r="168" spans="1:5" ht="15">
      <c r="A168" s="125"/>
      <c r="B168" s="125"/>
      <c r="C168" s="126"/>
      <c r="D168" s="138"/>
      <c r="E168" s="132"/>
    </row>
    <row r="169" spans="1:5" ht="15">
      <c r="A169" s="122"/>
      <c r="B169" s="122"/>
      <c r="C169" s="127">
        <v>4300</v>
      </c>
      <c r="D169" s="91" t="s">
        <v>90</v>
      </c>
      <c r="E169" s="132">
        <v>5800</v>
      </c>
    </row>
    <row r="170" spans="1:5" ht="15">
      <c r="A170" s="82"/>
      <c r="B170" s="82"/>
      <c r="C170" s="70"/>
      <c r="D170" s="91"/>
      <c r="E170" s="92"/>
    </row>
    <row r="171" spans="1:5" s="117" customFormat="1" ht="15.75">
      <c r="A171" s="102"/>
      <c r="B171" s="84">
        <v>750</v>
      </c>
      <c r="C171" s="84"/>
      <c r="D171" s="142" t="s">
        <v>206</v>
      </c>
      <c r="E171" s="116">
        <f>E173+E189+E199+E235</f>
        <v>5099300</v>
      </c>
    </row>
    <row r="172" ht="15">
      <c r="E172" s="132"/>
    </row>
    <row r="173" spans="1:5" s="110" customFormat="1" ht="15.75">
      <c r="A173" s="102"/>
      <c r="B173" s="85">
        <v>75011</v>
      </c>
      <c r="C173" s="85"/>
      <c r="D173" s="144" t="s">
        <v>84</v>
      </c>
      <c r="E173" s="131">
        <f>SUM(E174:E187)</f>
        <v>293800</v>
      </c>
    </row>
    <row r="174" spans="1:5" ht="15.75">
      <c r="A174" s="78"/>
      <c r="B174" s="78"/>
      <c r="C174" s="79"/>
      <c r="D174" s="137"/>
      <c r="E174" s="132"/>
    </row>
    <row r="175" spans="1:5" ht="30">
      <c r="A175" s="82"/>
      <c r="B175" s="82"/>
      <c r="C175" s="70">
        <v>3020</v>
      </c>
      <c r="D175" s="91" t="s">
        <v>202</v>
      </c>
      <c r="E175" s="92">
        <v>900</v>
      </c>
    </row>
    <row r="176" spans="1:5" ht="15.75">
      <c r="A176" s="78"/>
      <c r="B176" s="78"/>
      <c r="C176" s="79"/>
      <c r="D176" s="137"/>
      <c r="E176" s="132"/>
    </row>
    <row r="177" spans="1:5" ht="15">
      <c r="A177" s="82"/>
      <c r="B177" s="82"/>
      <c r="C177" s="83">
        <v>4010</v>
      </c>
      <c r="D177" s="91" t="s">
        <v>20</v>
      </c>
      <c r="E177" s="92">
        <v>223400</v>
      </c>
    </row>
    <row r="178" spans="1:5" ht="15">
      <c r="A178" s="82"/>
      <c r="B178" s="82"/>
      <c r="C178" s="83"/>
      <c r="D178" s="91"/>
      <c r="E178" s="92"/>
    </row>
    <row r="179" spans="1:5" ht="15">
      <c r="A179" s="82"/>
      <c r="B179" s="82"/>
      <c r="C179" s="70">
        <v>4040</v>
      </c>
      <c r="D179" s="91" t="s">
        <v>21</v>
      </c>
      <c r="E179" s="92">
        <v>16700</v>
      </c>
    </row>
    <row r="180" spans="1:5" ht="15">
      <c r="A180" s="82"/>
      <c r="B180" s="82"/>
      <c r="C180" s="70"/>
      <c r="D180" s="91"/>
      <c r="E180" s="92"/>
    </row>
    <row r="181" spans="1:5" ht="15">
      <c r="A181" s="82"/>
      <c r="B181" s="82"/>
      <c r="C181" s="70">
        <v>4110</v>
      </c>
      <c r="D181" s="91" t="s">
        <v>22</v>
      </c>
      <c r="E181" s="92">
        <v>40800</v>
      </c>
    </row>
    <row r="182" spans="1:5" ht="15">
      <c r="A182" s="82"/>
      <c r="B182" s="82"/>
      <c r="C182" s="70"/>
      <c r="D182" s="91"/>
      <c r="E182" s="92"/>
    </row>
    <row r="183" spans="1:5" ht="15">
      <c r="A183" s="82"/>
      <c r="B183" s="82"/>
      <c r="C183" s="70">
        <v>4120</v>
      </c>
      <c r="D183" s="91" t="s">
        <v>23</v>
      </c>
      <c r="E183" s="92">
        <v>5900</v>
      </c>
    </row>
    <row r="184" spans="1:5" ht="15">
      <c r="A184" s="82"/>
      <c r="B184" s="82"/>
      <c r="C184" s="70"/>
      <c r="D184" s="91"/>
      <c r="E184" s="92"/>
    </row>
    <row r="185" spans="1:5" ht="15">
      <c r="A185" s="82"/>
      <c r="B185" s="82"/>
      <c r="C185" s="70">
        <v>4410</v>
      </c>
      <c r="D185" s="138" t="s">
        <v>26</v>
      </c>
      <c r="E185" s="92">
        <v>500</v>
      </c>
    </row>
    <row r="186" spans="1:5" ht="15">
      <c r="A186" s="82"/>
      <c r="B186" s="82"/>
      <c r="C186" s="70"/>
      <c r="D186" s="91"/>
      <c r="E186" s="92"/>
    </row>
    <row r="187" spans="1:5" ht="30">
      <c r="A187" s="82"/>
      <c r="B187" s="82"/>
      <c r="C187" s="70">
        <v>4440</v>
      </c>
      <c r="D187" s="91" t="s">
        <v>28</v>
      </c>
      <c r="E187" s="92">
        <v>5600</v>
      </c>
    </row>
    <row r="188" spans="1:5" ht="15">
      <c r="A188" s="122"/>
      <c r="B188" s="122"/>
      <c r="C188" s="127"/>
      <c r="D188" s="138"/>
      <c r="E188" s="92"/>
    </row>
    <row r="189" spans="1:5" s="110" customFormat="1" ht="15.75">
      <c r="A189" s="78"/>
      <c r="B189" s="78">
        <v>75019</v>
      </c>
      <c r="C189" s="79"/>
      <c r="D189" s="137" t="s">
        <v>42</v>
      </c>
      <c r="E189" s="131">
        <f>SUM(E190:E197)</f>
        <v>351900</v>
      </c>
    </row>
    <row r="190" spans="1:5" ht="15">
      <c r="A190" s="125"/>
      <c r="B190" s="125"/>
      <c r="C190" s="126"/>
      <c r="D190" s="138"/>
      <c r="E190" s="132"/>
    </row>
    <row r="191" spans="1:5" ht="15">
      <c r="A191" s="122"/>
      <c r="B191" s="122"/>
      <c r="C191" s="127">
        <v>3030</v>
      </c>
      <c r="D191" s="138" t="s">
        <v>43</v>
      </c>
      <c r="E191" s="132">
        <v>342000</v>
      </c>
    </row>
    <row r="192" spans="1:5" ht="15">
      <c r="A192" s="122"/>
      <c r="B192" s="122"/>
      <c r="C192" s="127"/>
      <c r="D192" s="138"/>
      <c r="E192" s="132"/>
    </row>
    <row r="193" spans="1:5" ht="15">
      <c r="A193" s="122"/>
      <c r="B193" s="122"/>
      <c r="C193" s="127">
        <v>4300</v>
      </c>
      <c r="D193" s="138" t="s">
        <v>36</v>
      </c>
      <c r="E193" s="132">
        <v>4500</v>
      </c>
    </row>
    <row r="194" spans="1:5" ht="15">
      <c r="A194" s="122"/>
      <c r="B194" s="122"/>
      <c r="C194" s="127"/>
      <c r="D194" s="138"/>
      <c r="E194" s="132"/>
    </row>
    <row r="195" spans="1:5" ht="15">
      <c r="A195" s="122"/>
      <c r="B195" s="122"/>
      <c r="C195" s="127">
        <v>4210</v>
      </c>
      <c r="D195" s="138" t="s">
        <v>14</v>
      </c>
      <c r="E195" s="132">
        <v>4500</v>
      </c>
    </row>
    <row r="196" spans="1:5" ht="15">
      <c r="A196" s="122"/>
      <c r="B196" s="122"/>
      <c r="C196" s="127"/>
      <c r="D196" s="138"/>
      <c r="E196" s="132"/>
    </row>
    <row r="197" spans="1:5" ht="15">
      <c r="A197" s="122"/>
      <c r="B197" s="122"/>
      <c r="C197" s="127">
        <v>4410</v>
      </c>
      <c r="D197" s="138" t="s">
        <v>26</v>
      </c>
      <c r="E197" s="132">
        <v>900</v>
      </c>
    </row>
    <row r="198" spans="1:5" ht="15">
      <c r="A198" s="122"/>
      <c r="B198" s="122"/>
      <c r="C198" s="127"/>
      <c r="D198" s="138"/>
      <c r="E198" s="132"/>
    </row>
    <row r="199" spans="1:5" s="110" customFormat="1" ht="15.75">
      <c r="A199" s="78"/>
      <c r="B199" s="78">
        <v>75020</v>
      </c>
      <c r="C199" s="79"/>
      <c r="D199" s="137" t="s">
        <v>44</v>
      </c>
      <c r="E199" s="131">
        <f>SUM(E201:E234)</f>
        <v>4400600</v>
      </c>
    </row>
    <row r="200" spans="1:5" ht="15">
      <c r="A200" s="125"/>
      <c r="B200" s="125"/>
      <c r="C200" s="126"/>
      <c r="D200" s="138"/>
      <c r="E200" s="92"/>
    </row>
    <row r="201" spans="1:5" ht="60">
      <c r="A201" s="122"/>
      <c r="B201" s="122"/>
      <c r="C201" s="127">
        <v>2900</v>
      </c>
      <c r="D201" s="138" t="s">
        <v>60</v>
      </c>
      <c r="E201" s="132">
        <v>6000</v>
      </c>
    </row>
    <row r="202" spans="1:5" ht="15">
      <c r="A202" s="122"/>
      <c r="B202" s="122"/>
      <c r="C202" s="127"/>
      <c r="D202" s="138"/>
      <c r="E202" s="132"/>
    </row>
    <row r="203" spans="1:5" ht="30">
      <c r="A203" s="82"/>
      <c r="B203" s="82"/>
      <c r="C203" s="70">
        <v>3020</v>
      </c>
      <c r="D203" s="91" t="s">
        <v>202</v>
      </c>
      <c r="E203" s="92">
        <v>9500</v>
      </c>
    </row>
    <row r="204" spans="1:5" ht="15">
      <c r="A204" s="82"/>
      <c r="B204" s="82"/>
      <c r="C204" s="70"/>
      <c r="D204" s="91"/>
      <c r="E204" s="92"/>
    </row>
    <row r="205" spans="1:5" ht="15">
      <c r="A205" s="82"/>
      <c r="B205" s="82"/>
      <c r="C205" s="70">
        <v>3250</v>
      </c>
      <c r="D205" s="91" t="s">
        <v>45</v>
      </c>
      <c r="E205" s="92">
        <v>11500</v>
      </c>
    </row>
    <row r="206" spans="1:5" ht="15">
      <c r="A206" s="82"/>
      <c r="B206" s="82"/>
      <c r="C206" s="70"/>
      <c r="D206" s="91"/>
      <c r="E206" s="92"/>
    </row>
    <row r="207" spans="1:5" ht="15">
      <c r="A207" s="82"/>
      <c r="B207" s="82"/>
      <c r="C207" s="83">
        <v>4010</v>
      </c>
      <c r="D207" s="91" t="s">
        <v>20</v>
      </c>
      <c r="E207" s="92">
        <f>2229000+30000</f>
        <v>2259000</v>
      </c>
    </row>
    <row r="208" spans="1:4" ht="15">
      <c r="A208" s="82"/>
      <c r="B208" s="82"/>
      <c r="C208" s="83"/>
      <c r="D208" s="91"/>
    </row>
    <row r="209" spans="1:5" ht="15">
      <c r="A209" s="82"/>
      <c r="B209" s="82"/>
      <c r="C209" s="70">
        <v>4040</v>
      </c>
      <c r="D209" s="91" t="s">
        <v>21</v>
      </c>
      <c r="E209" s="92">
        <v>160000</v>
      </c>
    </row>
    <row r="210" spans="1:5" ht="15">
      <c r="A210" s="82"/>
      <c r="B210" s="82"/>
      <c r="C210" s="70"/>
      <c r="D210" s="91"/>
      <c r="E210" s="92"/>
    </row>
    <row r="211" spans="1:5" ht="15">
      <c r="A211" s="82"/>
      <c r="B211" s="82"/>
      <c r="C211" s="70">
        <v>4110</v>
      </c>
      <c r="D211" s="91" t="s">
        <v>22</v>
      </c>
      <c r="E211" s="92">
        <f>372000+5000</f>
        <v>377000</v>
      </c>
    </row>
    <row r="212" spans="1:5" ht="15">
      <c r="A212" s="82"/>
      <c r="B212" s="82"/>
      <c r="C212" s="70"/>
      <c r="D212" s="91"/>
      <c r="E212" s="92"/>
    </row>
    <row r="213" spans="1:5" ht="15">
      <c r="A213" s="82"/>
      <c r="B213" s="82"/>
      <c r="C213" s="70">
        <v>4120</v>
      </c>
      <c r="D213" s="91" t="s">
        <v>23</v>
      </c>
      <c r="E213" s="92">
        <f>52900+300</f>
        <v>53200</v>
      </c>
    </row>
    <row r="214" spans="1:5" ht="15">
      <c r="A214" s="82"/>
      <c r="B214" s="82"/>
      <c r="C214" s="70"/>
      <c r="D214" s="91"/>
      <c r="E214" s="92"/>
    </row>
    <row r="215" spans="1:5" ht="15">
      <c r="A215" s="82"/>
      <c r="B215" s="82"/>
      <c r="C215" s="70">
        <v>4170</v>
      </c>
      <c r="D215" s="91" t="s">
        <v>213</v>
      </c>
      <c r="E215" s="92">
        <v>6000</v>
      </c>
    </row>
    <row r="216" spans="1:5" ht="15">
      <c r="A216" s="82"/>
      <c r="B216" s="82"/>
      <c r="C216" s="70"/>
      <c r="D216" s="91"/>
      <c r="E216" s="92"/>
    </row>
    <row r="217" spans="1:6" ht="15">
      <c r="A217" s="82"/>
      <c r="B217" s="82"/>
      <c r="C217" s="70">
        <v>4210</v>
      </c>
      <c r="D217" s="91" t="s">
        <v>14</v>
      </c>
      <c r="E217" s="92">
        <f>532000+4000</f>
        <v>536000</v>
      </c>
      <c r="F217" s="93">
        <v>4000</v>
      </c>
    </row>
    <row r="218" spans="1:5" ht="15">
      <c r="A218" s="82"/>
      <c r="B218" s="82"/>
      <c r="C218" s="70"/>
      <c r="D218" s="91"/>
      <c r="E218" s="92"/>
    </row>
    <row r="219" spans="1:5" ht="15">
      <c r="A219" s="82"/>
      <c r="B219" s="82"/>
      <c r="C219" s="70">
        <v>4260</v>
      </c>
      <c r="D219" s="91" t="s">
        <v>24</v>
      </c>
      <c r="E219" s="92">
        <v>172000</v>
      </c>
    </row>
    <row r="220" spans="1:5" ht="15">
      <c r="A220" s="82"/>
      <c r="B220" s="82"/>
      <c r="C220" s="70"/>
      <c r="D220" s="91"/>
      <c r="E220" s="92"/>
    </row>
    <row r="221" spans="1:5" ht="15">
      <c r="A221" s="82"/>
      <c r="B221" s="82"/>
      <c r="C221" s="70">
        <v>4270</v>
      </c>
      <c r="D221" s="91" t="s">
        <v>25</v>
      </c>
      <c r="E221" s="92">
        <v>4500</v>
      </c>
    </row>
    <row r="222" spans="1:5" ht="15">
      <c r="A222" s="82"/>
      <c r="B222" s="82"/>
      <c r="C222" s="70"/>
      <c r="D222" s="104"/>
      <c r="E222" s="92"/>
    </row>
    <row r="223" spans="1:6" ht="15">
      <c r="A223" s="82"/>
      <c r="B223" s="82"/>
      <c r="C223" s="70">
        <v>4300</v>
      </c>
      <c r="D223" s="91" t="s">
        <v>90</v>
      </c>
      <c r="E223" s="92">
        <f>686200+24000-28500-6000+13000</f>
        <v>688700</v>
      </c>
      <c r="F223" s="93">
        <v>13000</v>
      </c>
    </row>
    <row r="224" spans="1:5" ht="15">
      <c r="A224" s="82"/>
      <c r="B224" s="82"/>
      <c r="C224" s="70"/>
      <c r="D224" s="91"/>
      <c r="E224" s="92"/>
    </row>
    <row r="225" spans="1:5" ht="15">
      <c r="A225" s="82"/>
      <c r="B225" s="82"/>
      <c r="C225" s="70">
        <v>4350</v>
      </c>
      <c r="D225" s="91" t="s">
        <v>212</v>
      </c>
      <c r="E225" s="92">
        <v>28500</v>
      </c>
    </row>
    <row r="226" spans="1:5" ht="15">
      <c r="A226" s="82"/>
      <c r="B226" s="82"/>
      <c r="C226" s="70"/>
      <c r="D226" s="91"/>
      <c r="E226" s="92"/>
    </row>
    <row r="227" spans="1:5" ht="15">
      <c r="A227" s="82"/>
      <c r="B227" s="82"/>
      <c r="C227" s="70">
        <v>4410</v>
      </c>
      <c r="D227" s="91" t="s">
        <v>26</v>
      </c>
      <c r="E227" s="92">
        <v>22500</v>
      </c>
    </row>
    <row r="228" spans="1:5" ht="15">
      <c r="A228" s="82"/>
      <c r="B228" s="82"/>
      <c r="C228" s="70"/>
      <c r="D228" s="91"/>
      <c r="E228" s="92"/>
    </row>
    <row r="229" spans="1:6" ht="15">
      <c r="A229" s="82"/>
      <c r="B229" s="82"/>
      <c r="C229" s="70">
        <v>4420</v>
      </c>
      <c r="D229" s="91" t="s">
        <v>226</v>
      </c>
      <c r="E229" s="92">
        <v>5000</v>
      </c>
      <c r="F229" s="93">
        <v>5000</v>
      </c>
    </row>
    <row r="230" spans="1:5" ht="15">
      <c r="A230" s="82"/>
      <c r="B230" s="82"/>
      <c r="C230" s="70"/>
      <c r="D230" s="91"/>
      <c r="E230" s="92"/>
    </row>
    <row r="231" spans="1:5" ht="15">
      <c r="A231" s="82"/>
      <c r="B231" s="82"/>
      <c r="C231" s="70">
        <v>4430</v>
      </c>
      <c r="D231" s="91" t="s">
        <v>27</v>
      </c>
      <c r="E231" s="92">
        <v>11000</v>
      </c>
    </row>
    <row r="232" spans="1:5" ht="15">
      <c r="A232" s="82"/>
      <c r="B232" s="82"/>
      <c r="C232" s="70"/>
      <c r="D232" s="91"/>
      <c r="E232" s="92"/>
    </row>
    <row r="233" spans="1:5" ht="30">
      <c r="A233" s="82"/>
      <c r="B233" s="82"/>
      <c r="C233" s="70">
        <v>4440</v>
      </c>
      <c r="D233" s="91" t="s">
        <v>28</v>
      </c>
      <c r="E233" s="92">
        <f>49500+700</f>
        <v>50200</v>
      </c>
    </row>
    <row r="234" spans="1:5" ht="15">
      <c r="A234" s="82"/>
      <c r="B234" s="82"/>
      <c r="C234" s="70"/>
      <c r="D234" s="91"/>
      <c r="E234" s="92"/>
    </row>
    <row r="235" spans="1:5" s="110" customFormat="1" ht="15.75">
      <c r="A235" s="86"/>
      <c r="B235" s="86">
        <v>75045</v>
      </c>
      <c r="C235" s="87"/>
      <c r="D235" s="100" t="s">
        <v>46</v>
      </c>
      <c r="E235" s="145">
        <f>SUM(E237:E253)</f>
        <v>53000</v>
      </c>
    </row>
    <row r="236" spans="1:5" ht="15.75">
      <c r="A236" s="86"/>
      <c r="B236" s="86"/>
      <c r="C236" s="87"/>
      <c r="D236" s="100"/>
      <c r="E236" s="92"/>
    </row>
    <row r="237" spans="1:5" ht="15">
      <c r="A237" s="82"/>
      <c r="B237" s="82"/>
      <c r="C237" s="70">
        <v>3030</v>
      </c>
      <c r="D237" s="91" t="s">
        <v>43</v>
      </c>
      <c r="E237" s="92">
        <v>10000</v>
      </c>
    </row>
    <row r="238" spans="1:5" ht="15">
      <c r="A238" s="82"/>
      <c r="B238" s="82"/>
      <c r="C238" s="70"/>
      <c r="D238" s="91"/>
      <c r="E238" s="92"/>
    </row>
    <row r="239" spans="1:5" ht="15">
      <c r="A239" s="82"/>
      <c r="B239" s="82"/>
      <c r="C239" s="70">
        <v>4110</v>
      </c>
      <c r="D239" s="91" t="s">
        <v>22</v>
      </c>
      <c r="E239" s="92">
        <v>900</v>
      </c>
    </row>
    <row r="240" spans="1:5" ht="15">
      <c r="A240" s="82"/>
      <c r="B240" s="82"/>
      <c r="C240" s="70"/>
      <c r="D240" s="91"/>
      <c r="E240" s="92"/>
    </row>
    <row r="241" spans="1:5" ht="15">
      <c r="A241" s="82"/>
      <c r="B241" s="82"/>
      <c r="C241" s="70">
        <v>4170</v>
      </c>
      <c r="D241" s="91" t="s">
        <v>213</v>
      </c>
      <c r="E241" s="92">
        <v>4400</v>
      </c>
    </row>
    <row r="242" spans="1:5" ht="15">
      <c r="A242" s="82"/>
      <c r="B242" s="82"/>
      <c r="C242" s="70"/>
      <c r="D242" s="91"/>
      <c r="E242" s="92"/>
    </row>
    <row r="243" spans="1:5" ht="15">
      <c r="A243" s="82"/>
      <c r="B243" s="82"/>
      <c r="C243" s="70">
        <v>4120</v>
      </c>
      <c r="D243" s="91" t="s">
        <v>23</v>
      </c>
      <c r="E243" s="92">
        <v>200</v>
      </c>
    </row>
    <row r="244" spans="1:5" ht="15">
      <c r="A244" s="82"/>
      <c r="B244" s="82"/>
      <c r="C244" s="70"/>
      <c r="D244" s="91"/>
      <c r="E244" s="92"/>
    </row>
    <row r="245" spans="1:5" ht="15">
      <c r="A245" s="82"/>
      <c r="B245" s="82"/>
      <c r="C245" s="70">
        <v>4210</v>
      </c>
      <c r="D245" s="91" t="s">
        <v>14</v>
      </c>
      <c r="E245" s="92">
        <v>12000</v>
      </c>
    </row>
    <row r="246" spans="1:5" ht="15">
      <c r="A246" s="82"/>
      <c r="B246" s="82"/>
      <c r="C246" s="70"/>
      <c r="D246" s="91"/>
      <c r="E246" s="92"/>
    </row>
    <row r="247" spans="1:5" ht="15">
      <c r="A247" s="82"/>
      <c r="B247" s="82"/>
      <c r="C247" s="70">
        <v>4270</v>
      </c>
      <c r="D247" s="91" t="s">
        <v>25</v>
      </c>
      <c r="E247" s="92">
        <v>1000</v>
      </c>
    </row>
    <row r="248" spans="1:4" ht="15">
      <c r="A248" s="82"/>
      <c r="B248" s="82"/>
      <c r="C248" s="70"/>
      <c r="D248" s="91"/>
    </row>
    <row r="249" spans="1:5" ht="15">
      <c r="A249" s="82"/>
      <c r="B249" s="82"/>
      <c r="C249" s="70">
        <v>4280</v>
      </c>
      <c r="D249" s="91" t="s">
        <v>47</v>
      </c>
      <c r="E249" s="92">
        <v>18000</v>
      </c>
    </row>
    <row r="250" spans="1:5" ht="15">
      <c r="A250" s="82"/>
      <c r="B250" s="82"/>
      <c r="C250" s="70"/>
      <c r="D250" s="91"/>
      <c r="E250" s="92"/>
    </row>
    <row r="251" spans="1:5" ht="15">
      <c r="A251" s="82"/>
      <c r="B251" s="82"/>
      <c r="C251" s="70">
        <v>4300</v>
      </c>
      <c r="D251" s="91" t="s">
        <v>90</v>
      </c>
      <c r="E251" s="92">
        <f>9500-4400</f>
        <v>5100</v>
      </c>
    </row>
    <row r="252" spans="1:5" ht="15">
      <c r="A252" s="82"/>
      <c r="B252" s="82"/>
      <c r="C252" s="70"/>
      <c r="D252" s="91"/>
      <c r="E252" s="92"/>
    </row>
    <row r="253" spans="1:5" ht="15">
      <c r="A253" s="82"/>
      <c r="B253" s="82"/>
      <c r="C253" s="70">
        <v>4410</v>
      </c>
      <c r="D253" s="91" t="s">
        <v>91</v>
      </c>
      <c r="E253" s="92">
        <v>1400</v>
      </c>
    </row>
    <row r="254" spans="1:5" ht="15">
      <c r="A254" s="82"/>
      <c r="B254" s="82"/>
      <c r="C254" s="70"/>
      <c r="D254" s="91"/>
      <c r="E254" s="92"/>
    </row>
    <row r="255" spans="1:5" s="117" customFormat="1" ht="31.5">
      <c r="A255" s="82">
        <v>754</v>
      </c>
      <c r="B255" s="82"/>
      <c r="C255" s="70"/>
      <c r="D255" s="146" t="s">
        <v>63</v>
      </c>
      <c r="E255" s="147">
        <f>E266+E257+E261</f>
        <v>51800</v>
      </c>
    </row>
    <row r="256" spans="1:5" s="117" customFormat="1" ht="15.75">
      <c r="A256" s="82"/>
      <c r="B256" s="82"/>
      <c r="C256" s="70"/>
      <c r="D256" s="146"/>
      <c r="E256" s="147"/>
    </row>
    <row r="257" spans="1:5" s="110" customFormat="1" ht="15.75">
      <c r="A257" s="82"/>
      <c r="B257" s="86">
        <v>75404</v>
      </c>
      <c r="C257" s="70"/>
      <c r="D257" s="100" t="s">
        <v>173</v>
      </c>
      <c r="E257" s="145">
        <f>SUM(E259:E259)</f>
        <v>10000</v>
      </c>
    </row>
    <row r="258" spans="1:5" s="110" customFormat="1" ht="15.75">
      <c r="A258" s="82"/>
      <c r="B258" s="86"/>
      <c r="C258" s="70"/>
      <c r="D258" s="91"/>
      <c r="E258" s="145"/>
    </row>
    <row r="259" spans="1:5" ht="15">
      <c r="A259" s="82"/>
      <c r="B259" s="82"/>
      <c r="C259" s="70">
        <v>4210</v>
      </c>
      <c r="D259" s="91" t="s">
        <v>14</v>
      </c>
      <c r="E259" s="92">
        <v>10000</v>
      </c>
    </row>
    <row r="260" spans="1:5" ht="15">
      <c r="A260" s="82"/>
      <c r="B260" s="82"/>
      <c r="C260" s="70"/>
      <c r="D260" s="91"/>
      <c r="E260" s="92"/>
    </row>
    <row r="261" spans="1:5" s="110" customFormat="1" ht="15.75">
      <c r="A261" s="82"/>
      <c r="B261" s="86">
        <v>75414</v>
      </c>
      <c r="C261" s="70"/>
      <c r="D261" s="100" t="s">
        <v>192</v>
      </c>
      <c r="E261" s="145">
        <f>SUM(E263)</f>
        <v>20000</v>
      </c>
    </row>
    <row r="262" spans="1:5" ht="15">
      <c r="A262" s="82"/>
      <c r="B262" s="82"/>
      <c r="C262" s="70"/>
      <c r="D262" s="91"/>
      <c r="E262" s="92"/>
    </row>
    <row r="263" spans="1:5" ht="30">
      <c r="A263" s="82"/>
      <c r="B263" s="82"/>
      <c r="C263" s="83">
        <v>6060</v>
      </c>
      <c r="D263" s="98" t="s">
        <v>201</v>
      </c>
      <c r="E263" s="92">
        <v>20000</v>
      </c>
    </row>
    <row r="264" spans="1:5" ht="15">
      <c r="A264" s="82"/>
      <c r="B264" s="82"/>
      <c r="C264" s="70"/>
      <c r="D264" s="91"/>
      <c r="E264" s="92"/>
    </row>
    <row r="265" spans="1:5" ht="15">
      <c r="A265" s="105"/>
      <c r="B265" s="105"/>
      <c r="C265" s="148"/>
      <c r="D265" s="91"/>
      <c r="E265" s="92"/>
    </row>
    <row r="266" spans="1:5" s="110" customFormat="1" ht="15.75">
      <c r="A266" s="82"/>
      <c r="B266" s="86">
        <v>75495</v>
      </c>
      <c r="C266" s="70"/>
      <c r="D266" s="100" t="s">
        <v>48</v>
      </c>
      <c r="E266" s="145">
        <f>SUM(E267:E270)</f>
        <v>21800</v>
      </c>
    </row>
    <row r="267" spans="1:5" ht="15">
      <c r="A267" s="149"/>
      <c r="B267" s="149"/>
      <c r="C267" s="150"/>
      <c r="D267" s="91"/>
      <c r="E267" s="92"/>
    </row>
    <row r="268" spans="1:5" ht="15">
      <c r="A268" s="82"/>
      <c r="B268" s="82"/>
      <c r="C268" s="70">
        <v>4210</v>
      </c>
      <c r="D268" s="91" t="s">
        <v>85</v>
      </c>
      <c r="E268" s="92">
        <v>1500</v>
      </c>
    </row>
    <row r="269" spans="1:5" ht="15">
      <c r="A269" s="82"/>
      <c r="B269" s="82"/>
      <c r="C269" s="70"/>
      <c r="D269" s="91"/>
      <c r="E269" s="92"/>
    </row>
    <row r="270" spans="1:5" ht="15">
      <c r="A270" s="82"/>
      <c r="B270" s="82"/>
      <c r="C270" s="70">
        <v>4300</v>
      </c>
      <c r="D270" s="91" t="s">
        <v>166</v>
      </c>
      <c r="E270" s="92">
        <v>20300</v>
      </c>
    </row>
    <row r="271" spans="1:5" ht="15">
      <c r="A271" s="82"/>
      <c r="B271" s="82"/>
      <c r="C271" s="70"/>
      <c r="D271" s="91"/>
      <c r="E271" s="92"/>
    </row>
    <row r="272" spans="1:5" s="117" customFormat="1" ht="15.75">
      <c r="A272" s="82">
        <v>757</v>
      </c>
      <c r="B272" s="82"/>
      <c r="C272" s="88"/>
      <c r="D272" s="146" t="s">
        <v>49</v>
      </c>
      <c r="E272" s="147">
        <f>E274</f>
        <v>355000</v>
      </c>
    </row>
    <row r="273" spans="1:5" ht="15">
      <c r="A273" s="82"/>
      <c r="B273" s="82"/>
      <c r="C273" s="70"/>
      <c r="D273" s="91"/>
      <c r="E273" s="92"/>
    </row>
    <row r="274" spans="1:5" s="110" customFormat="1" ht="47.25">
      <c r="A274" s="86"/>
      <c r="B274" s="86">
        <v>75702</v>
      </c>
      <c r="C274" s="87"/>
      <c r="D274" s="100" t="s">
        <v>61</v>
      </c>
      <c r="E274" s="145">
        <f>SUM(E275:E276)</f>
        <v>355000</v>
      </c>
    </row>
    <row r="275" spans="1:5" ht="15">
      <c r="A275" s="82"/>
      <c r="B275" s="82"/>
      <c r="C275" s="70"/>
      <c r="D275" s="91"/>
      <c r="E275" s="92"/>
    </row>
    <row r="276" spans="1:5" ht="45">
      <c r="A276" s="82"/>
      <c r="B276" s="82"/>
      <c r="C276" s="70">
        <v>8070</v>
      </c>
      <c r="D276" s="91" t="s">
        <v>62</v>
      </c>
      <c r="E276" s="92">
        <v>355000</v>
      </c>
    </row>
    <row r="277" spans="1:5" ht="15">
      <c r="A277" s="82"/>
      <c r="B277" s="82"/>
      <c r="C277" s="70"/>
      <c r="D277" s="91"/>
      <c r="E277" s="92"/>
    </row>
    <row r="278" spans="1:5" s="117" customFormat="1" ht="15.75">
      <c r="A278" s="82">
        <v>758</v>
      </c>
      <c r="B278" s="82"/>
      <c r="C278" s="88"/>
      <c r="D278" s="146" t="s">
        <v>50</v>
      </c>
      <c r="E278" s="147">
        <f>E280</f>
        <v>507000</v>
      </c>
    </row>
    <row r="279" spans="1:5" ht="15">
      <c r="A279" s="82"/>
      <c r="B279" s="82"/>
      <c r="C279" s="70"/>
      <c r="D279" s="91"/>
      <c r="E279" s="92"/>
    </row>
    <row r="280" spans="1:5" s="110" customFormat="1" ht="15.75">
      <c r="A280" s="86"/>
      <c r="B280" s="86">
        <v>75818</v>
      </c>
      <c r="C280" s="87"/>
      <c r="D280" s="100" t="s">
        <v>51</v>
      </c>
      <c r="E280" s="145">
        <f>E282+E288</f>
        <v>507000</v>
      </c>
    </row>
    <row r="281" spans="1:5" ht="15">
      <c r="A281" s="82"/>
      <c r="B281" s="82"/>
      <c r="C281" s="70"/>
      <c r="D281" s="91"/>
      <c r="E281" s="92"/>
    </row>
    <row r="282" spans="1:5" ht="15">
      <c r="A282" s="82"/>
      <c r="B282" s="82"/>
      <c r="C282" s="70">
        <v>4810</v>
      </c>
      <c r="D282" s="91" t="s">
        <v>52</v>
      </c>
      <c r="E282" s="92">
        <f>SUM(E283:E286)</f>
        <v>307000</v>
      </c>
    </row>
    <row r="283" spans="1:5" ht="15">
      <c r="A283" s="82"/>
      <c r="B283" s="82"/>
      <c r="C283" s="70"/>
      <c r="D283" s="91" t="s">
        <v>37</v>
      </c>
      <c r="E283" s="92"/>
    </row>
    <row r="284" spans="1:5" ht="15">
      <c r="A284" s="82"/>
      <c r="B284" s="82"/>
      <c r="C284" s="70"/>
      <c r="D284" s="91" t="s">
        <v>53</v>
      </c>
      <c r="E284" s="92">
        <v>100000</v>
      </c>
    </row>
    <row r="285" spans="1:5" ht="15">
      <c r="A285" s="82"/>
      <c r="B285" s="82"/>
      <c r="C285" s="70"/>
      <c r="D285" s="91"/>
      <c r="E285" s="92"/>
    </row>
    <row r="286" spans="1:5" ht="30">
      <c r="A286" s="82"/>
      <c r="B286" s="82"/>
      <c r="C286" s="70"/>
      <c r="D286" s="91" t="s">
        <v>181</v>
      </c>
      <c r="E286" s="92">
        <f>62000+32500+109300+3200</f>
        <v>207000</v>
      </c>
    </row>
    <row r="287" spans="1:5" ht="15">
      <c r="A287" s="82"/>
      <c r="B287" s="82"/>
      <c r="C287" s="70"/>
      <c r="D287" s="91"/>
      <c r="E287" s="92"/>
    </row>
    <row r="288" spans="1:5" ht="30">
      <c r="A288" s="82"/>
      <c r="B288" s="82"/>
      <c r="C288" s="70">
        <v>6800</v>
      </c>
      <c r="D288" s="91" t="s">
        <v>225</v>
      </c>
      <c r="E288" s="92">
        <v>200000</v>
      </c>
    </row>
    <row r="289" spans="1:5" ht="15">
      <c r="A289" s="82"/>
      <c r="B289" s="82"/>
      <c r="C289" s="70"/>
      <c r="D289" s="91"/>
      <c r="E289" s="92"/>
    </row>
    <row r="290" spans="1:5" s="117" customFormat="1" ht="15.75">
      <c r="A290" s="82">
        <v>801</v>
      </c>
      <c r="B290" s="82"/>
      <c r="C290" s="70"/>
      <c r="D290" s="146" t="s">
        <v>114</v>
      </c>
      <c r="E290" s="147">
        <f>E292+E308+E343+E401+E513+E547+E563+E598</f>
        <v>8135540</v>
      </c>
    </row>
    <row r="291" spans="1:5" ht="15">
      <c r="A291" s="82"/>
      <c r="B291" s="82"/>
      <c r="C291" s="70"/>
      <c r="D291" s="91"/>
      <c r="E291" s="92"/>
    </row>
    <row r="292" spans="1:5" s="110" customFormat="1" ht="15.75">
      <c r="A292" s="82"/>
      <c r="B292" s="86">
        <v>80102</v>
      </c>
      <c r="C292" s="70"/>
      <c r="D292" s="100" t="s">
        <v>115</v>
      </c>
      <c r="E292" s="145">
        <f>SUM(E296:E306)</f>
        <v>444740</v>
      </c>
    </row>
    <row r="293" spans="1:5" ht="15">
      <c r="A293" s="82"/>
      <c r="B293" s="82"/>
      <c r="C293" s="70"/>
      <c r="D293" s="91"/>
      <c r="E293" s="92"/>
    </row>
    <row r="294" spans="1:5" ht="15.75">
      <c r="A294" s="82"/>
      <c r="B294" s="82"/>
      <c r="C294" s="70"/>
      <c r="D294" s="100" t="s">
        <v>116</v>
      </c>
      <c r="E294" s="92"/>
    </row>
    <row r="295" spans="1:5" ht="15">
      <c r="A295" s="82"/>
      <c r="B295" s="82"/>
      <c r="C295" s="70"/>
      <c r="D295" s="91"/>
      <c r="E295" s="92"/>
    </row>
    <row r="296" spans="1:5" ht="30">
      <c r="A296" s="82"/>
      <c r="B296" s="82"/>
      <c r="C296" s="70">
        <v>3020</v>
      </c>
      <c r="D296" s="91" t="s">
        <v>202</v>
      </c>
      <c r="E296" s="92">
        <v>650</v>
      </c>
    </row>
    <row r="297" spans="1:5" ht="15">
      <c r="A297" s="82"/>
      <c r="B297" s="82"/>
      <c r="C297" s="70"/>
      <c r="D297" s="91"/>
      <c r="E297" s="92"/>
    </row>
    <row r="298" spans="1:5" ht="15">
      <c r="A298" s="82"/>
      <c r="B298" s="82"/>
      <c r="C298" s="70">
        <v>4010</v>
      </c>
      <c r="D298" s="91" t="s">
        <v>20</v>
      </c>
      <c r="E298" s="92">
        <v>327950</v>
      </c>
    </row>
    <row r="299" spans="1:5" ht="15">
      <c r="A299" s="82"/>
      <c r="B299" s="82"/>
      <c r="C299" s="70"/>
      <c r="D299" s="91"/>
      <c r="E299" s="92"/>
    </row>
    <row r="300" spans="1:5" ht="15">
      <c r="A300" s="82"/>
      <c r="B300" s="82"/>
      <c r="C300" s="70">
        <v>4040</v>
      </c>
      <c r="D300" s="91" t="s">
        <v>21</v>
      </c>
      <c r="E300" s="92">
        <v>28640</v>
      </c>
    </row>
    <row r="301" spans="1:5" ht="15">
      <c r="A301" s="82"/>
      <c r="B301" s="82"/>
      <c r="C301" s="70"/>
      <c r="D301" s="91"/>
      <c r="E301" s="92"/>
    </row>
    <row r="302" spans="1:5" ht="15">
      <c r="A302" s="82"/>
      <c r="B302" s="82"/>
      <c r="C302" s="70">
        <v>4110</v>
      </c>
      <c r="D302" s="91" t="s">
        <v>118</v>
      </c>
      <c r="E302" s="92">
        <v>60190</v>
      </c>
    </row>
    <row r="303" spans="1:5" ht="15">
      <c r="A303" s="82"/>
      <c r="B303" s="82"/>
      <c r="C303" s="70"/>
      <c r="D303" s="91"/>
      <c r="E303" s="92"/>
    </row>
    <row r="304" spans="1:5" ht="15">
      <c r="A304" s="82"/>
      <c r="B304" s="82"/>
      <c r="C304" s="70">
        <v>4120</v>
      </c>
      <c r="D304" s="91" t="s">
        <v>23</v>
      </c>
      <c r="E304" s="92">
        <v>8560</v>
      </c>
    </row>
    <row r="305" spans="1:5" ht="15">
      <c r="A305" s="82"/>
      <c r="B305" s="82"/>
      <c r="C305" s="70"/>
      <c r="D305" s="91"/>
      <c r="E305" s="92"/>
    </row>
    <row r="306" spans="1:5" ht="30">
      <c r="A306" s="82"/>
      <c r="B306" s="82"/>
      <c r="C306" s="70">
        <v>4440</v>
      </c>
      <c r="D306" s="91" t="s">
        <v>28</v>
      </c>
      <c r="E306" s="92">
        <v>18750</v>
      </c>
    </row>
    <row r="307" spans="1:5" ht="15">
      <c r="A307" s="82"/>
      <c r="B307" s="82"/>
      <c r="C307" s="70"/>
      <c r="D307" s="91"/>
      <c r="E307" s="92"/>
    </row>
    <row r="308" spans="1:5" s="110" customFormat="1" ht="15.75">
      <c r="A308" s="82"/>
      <c r="B308" s="86">
        <v>80111</v>
      </c>
      <c r="C308" s="70"/>
      <c r="D308" s="100" t="s">
        <v>119</v>
      </c>
      <c r="E308" s="145">
        <f>SUM(E312:E341)</f>
        <v>545810</v>
      </c>
    </row>
    <row r="309" spans="1:5" ht="15">
      <c r="A309" s="82"/>
      <c r="B309" s="82"/>
      <c r="C309" s="70"/>
      <c r="D309" s="91"/>
      <c r="E309" s="92"/>
    </row>
    <row r="310" spans="1:5" ht="31.5">
      <c r="A310" s="82"/>
      <c r="B310" s="82"/>
      <c r="C310" s="70"/>
      <c r="D310" s="100" t="s">
        <v>120</v>
      </c>
      <c r="E310" s="92"/>
    </row>
    <row r="311" spans="1:5" ht="15">
      <c r="A311" s="82"/>
      <c r="B311" s="82"/>
      <c r="C311" s="70"/>
      <c r="D311" s="91"/>
      <c r="E311" s="92"/>
    </row>
    <row r="312" spans="1:5" ht="30">
      <c r="A312" s="82"/>
      <c r="B312" s="82"/>
      <c r="C312" s="70">
        <v>3020</v>
      </c>
      <c r="D312" s="91" t="s">
        <v>202</v>
      </c>
      <c r="E312" s="92">
        <v>5680</v>
      </c>
    </row>
    <row r="313" spans="1:5" ht="15">
      <c r="A313" s="82"/>
      <c r="B313" s="82"/>
      <c r="C313" s="70"/>
      <c r="D313" s="91"/>
      <c r="E313" s="92"/>
    </row>
    <row r="314" spans="1:5" ht="15">
      <c r="A314" s="82"/>
      <c r="B314" s="82"/>
      <c r="C314" s="70">
        <v>4010</v>
      </c>
      <c r="D314" s="91" t="s">
        <v>20</v>
      </c>
      <c r="E314" s="92">
        <v>288580</v>
      </c>
    </row>
    <row r="315" spans="1:5" ht="15">
      <c r="A315" s="82"/>
      <c r="B315" s="82"/>
      <c r="C315" s="70"/>
      <c r="D315" s="91"/>
      <c r="E315" s="92"/>
    </row>
    <row r="316" spans="1:5" ht="15">
      <c r="A316" s="82"/>
      <c r="B316" s="82"/>
      <c r="C316" s="70">
        <v>4040</v>
      </c>
      <c r="D316" s="91" t="s">
        <v>21</v>
      </c>
      <c r="E316" s="92">
        <v>24580</v>
      </c>
    </row>
    <row r="317" spans="1:5" ht="15">
      <c r="A317" s="82"/>
      <c r="B317" s="82"/>
      <c r="C317" s="70"/>
      <c r="D317" s="91"/>
      <c r="E317" s="92"/>
    </row>
    <row r="318" spans="1:5" ht="15">
      <c r="A318" s="82"/>
      <c r="B318" s="82"/>
      <c r="C318" s="70">
        <v>4110</v>
      </c>
      <c r="D318" s="91" t="s">
        <v>118</v>
      </c>
      <c r="E318" s="92">
        <v>52860</v>
      </c>
    </row>
    <row r="319" spans="1:5" ht="15">
      <c r="A319" s="82"/>
      <c r="B319" s="82"/>
      <c r="C319" s="70"/>
      <c r="D319" s="91"/>
      <c r="E319" s="92"/>
    </row>
    <row r="320" spans="1:5" ht="15">
      <c r="A320" s="82"/>
      <c r="B320" s="82"/>
      <c r="C320" s="70">
        <v>4170</v>
      </c>
      <c r="D320" s="91" t="s">
        <v>213</v>
      </c>
      <c r="E320" s="92">
        <v>500</v>
      </c>
    </row>
    <row r="321" spans="1:5" ht="15">
      <c r="A321" s="82"/>
      <c r="B321" s="82"/>
      <c r="C321" s="70"/>
      <c r="D321" s="91"/>
      <c r="E321" s="92"/>
    </row>
    <row r="322" spans="1:5" ht="15">
      <c r="A322" s="82"/>
      <c r="B322" s="82"/>
      <c r="C322" s="70">
        <v>4120</v>
      </c>
      <c r="D322" s="91" t="s">
        <v>23</v>
      </c>
      <c r="E322" s="92">
        <v>7520</v>
      </c>
    </row>
    <row r="323" spans="1:5" ht="15">
      <c r="A323" s="82"/>
      <c r="B323" s="82"/>
      <c r="C323" s="70"/>
      <c r="D323" s="91"/>
      <c r="E323" s="92"/>
    </row>
    <row r="324" spans="1:6" ht="15">
      <c r="A324" s="82"/>
      <c r="B324" s="82"/>
      <c r="C324" s="70">
        <v>4210</v>
      </c>
      <c r="D324" s="91" t="s">
        <v>14</v>
      </c>
      <c r="E324" s="92">
        <f>12800+6000</f>
        <v>18800</v>
      </c>
      <c r="F324" s="93">
        <v>6000</v>
      </c>
    </row>
    <row r="325" spans="1:5" ht="15">
      <c r="A325" s="82"/>
      <c r="B325" s="82"/>
      <c r="C325" s="70"/>
      <c r="D325" s="91"/>
      <c r="E325" s="92"/>
    </row>
    <row r="326" spans="1:6" ht="30">
      <c r="A326" s="82"/>
      <c r="B326" s="82"/>
      <c r="C326" s="70">
        <v>4240</v>
      </c>
      <c r="D326" s="91" t="s">
        <v>229</v>
      </c>
      <c r="E326" s="92">
        <v>5000</v>
      </c>
      <c r="F326" s="93">
        <v>5000</v>
      </c>
    </row>
    <row r="327" spans="1:5" ht="15">
      <c r="A327" s="82"/>
      <c r="B327" s="82"/>
      <c r="C327" s="70"/>
      <c r="D327" s="91"/>
      <c r="E327" s="92"/>
    </row>
    <row r="328" spans="1:5" ht="15">
      <c r="A328" s="82"/>
      <c r="B328" s="82"/>
      <c r="C328" s="70">
        <v>4260</v>
      </c>
      <c r="D328" s="91" t="s">
        <v>24</v>
      </c>
      <c r="E328" s="92">
        <v>101700</v>
      </c>
    </row>
    <row r="329" spans="1:5" ht="15">
      <c r="A329" s="82"/>
      <c r="B329" s="82"/>
      <c r="C329" s="70"/>
      <c r="D329" s="91"/>
      <c r="E329" s="92" t="s">
        <v>121</v>
      </c>
    </row>
    <row r="330" spans="1:6" ht="15">
      <c r="A330" s="82"/>
      <c r="B330" s="82"/>
      <c r="C330" s="70">
        <v>4270</v>
      </c>
      <c r="D330" s="91" t="s">
        <v>32</v>
      </c>
      <c r="E330" s="92">
        <f>1000+4500</f>
        <v>5500</v>
      </c>
      <c r="F330" s="93">
        <v>4500</v>
      </c>
    </row>
    <row r="331" spans="1:5" ht="15">
      <c r="A331" s="82"/>
      <c r="B331" s="82"/>
      <c r="C331" s="70"/>
      <c r="D331" s="91"/>
      <c r="E331" s="92"/>
    </row>
    <row r="332" spans="1:5" ht="15">
      <c r="A332" s="82"/>
      <c r="B332" s="82"/>
      <c r="C332" s="70">
        <v>4300</v>
      </c>
      <c r="D332" s="91" t="s">
        <v>90</v>
      </c>
      <c r="E332" s="92">
        <f>12000-500-1500</f>
        <v>10000</v>
      </c>
    </row>
    <row r="333" spans="1:5" ht="15">
      <c r="A333" s="82"/>
      <c r="B333" s="82"/>
      <c r="C333" s="70"/>
      <c r="D333" s="91"/>
      <c r="E333" s="92"/>
    </row>
    <row r="334" spans="1:5" ht="15">
      <c r="A334" s="82"/>
      <c r="B334" s="82"/>
      <c r="C334" s="70">
        <v>4350</v>
      </c>
      <c r="D334" s="91" t="s">
        <v>212</v>
      </c>
      <c r="E334" s="92">
        <v>1500</v>
      </c>
    </row>
    <row r="335" spans="1:5" ht="15">
      <c r="A335" s="82"/>
      <c r="B335" s="82"/>
      <c r="C335" s="70"/>
      <c r="D335" s="91"/>
      <c r="E335" s="92"/>
    </row>
    <row r="336" spans="1:5" ht="15">
      <c r="A336" s="82"/>
      <c r="B336" s="82"/>
      <c r="C336" s="70">
        <v>4410</v>
      </c>
      <c r="D336" s="91" t="s">
        <v>26</v>
      </c>
      <c r="E336" s="92">
        <v>1000</v>
      </c>
    </row>
    <row r="337" spans="1:5" ht="15">
      <c r="A337" s="82"/>
      <c r="B337" s="82"/>
      <c r="C337" s="70"/>
      <c r="D337" s="91"/>
      <c r="E337" s="92"/>
    </row>
    <row r="338" spans="1:5" ht="15">
      <c r="A338" s="82"/>
      <c r="B338" s="82"/>
      <c r="C338" s="70">
        <v>4430</v>
      </c>
      <c r="D338" s="91" t="s">
        <v>27</v>
      </c>
      <c r="E338" s="92">
        <v>3600</v>
      </c>
    </row>
    <row r="339" spans="1:5" ht="15">
      <c r="A339" s="82"/>
      <c r="B339" s="82"/>
      <c r="C339" s="70"/>
      <c r="D339" s="91"/>
      <c r="E339" s="92"/>
    </row>
    <row r="340" spans="1:5" ht="30">
      <c r="A340" s="82"/>
      <c r="B340" s="82"/>
      <c r="C340" s="70">
        <v>4440</v>
      </c>
      <c r="D340" s="91" t="s">
        <v>28</v>
      </c>
      <c r="E340" s="92">
        <v>18990</v>
      </c>
    </row>
    <row r="341" spans="1:5" ht="15">
      <c r="A341" s="82"/>
      <c r="B341" s="82"/>
      <c r="C341" s="70"/>
      <c r="D341" s="91"/>
      <c r="E341" s="92"/>
    </row>
    <row r="342" spans="1:5" ht="15">
      <c r="A342" s="82"/>
      <c r="B342" s="82"/>
      <c r="C342" s="70"/>
      <c r="D342" s="91"/>
      <c r="E342" s="92"/>
    </row>
    <row r="343" spans="1:5" s="110" customFormat="1" ht="15.75">
      <c r="A343" s="82"/>
      <c r="B343" s="86">
        <v>80120</v>
      </c>
      <c r="C343" s="70"/>
      <c r="D343" s="100" t="s">
        <v>122</v>
      </c>
      <c r="E343" s="145">
        <f>SUM(E345:E361)</f>
        <v>1386740</v>
      </c>
    </row>
    <row r="344" spans="1:5" ht="15">
      <c r="A344" s="82"/>
      <c r="B344" s="82"/>
      <c r="C344" s="70"/>
      <c r="D344" s="91"/>
      <c r="E344" s="92"/>
    </row>
    <row r="345" spans="1:5" ht="45">
      <c r="A345" s="82"/>
      <c r="B345" s="82"/>
      <c r="C345" s="70">
        <v>2540</v>
      </c>
      <c r="D345" s="91" t="s">
        <v>123</v>
      </c>
      <c r="E345" s="92">
        <f>E399</f>
        <v>128430</v>
      </c>
    </row>
    <row r="346" spans="1:5" ht="15">
      <c r="A346" s="82"/>
      <c r="B346" s="82"/>
      <c r="C346" s="70"/>
      <c r="D346" s="91"/>
      <c r="E346" s="92"/>
    </row>
    <row r="347" spans="1:5" ht="30">
      <c r="A347" s="82"/>
      <c r="B347" s="82"/>
      <c r="C347" s="70">
        <v>3020</v>
      </c>
      <c r="D347" s="91" t="s">
        <v>202</v>
      </c>
      <c r="E347" s="92">
        <f>E365+E380</f>
        <v>25340</v>
      </c>
    </row>
    <row r="348" spans="1:5" ht="15">
      <c r="A348" s="82"/>
      <c r="B348" s="82"/>
      <c r="C348" s="70"/>
      <c r="D348" s="91"/>
      <c r="E348" s="92"/>
    </row>
    <row r="349" spans="1:5" ht="15">
      <c r="A349" s="82"/>
      <c r="B349" s="82"/>
      <c r="C349" s="70">
        <v>4010</v>
      </c>
      <c r="D349" s="91" t="s">
        <v>20</v>
      </c>
      <c r="E349" s="92">
        <f>E368+E383</f>
        <v>896710</v>
      </c>
    </row>
    <row r="350" spans="1:5" ht="15">
      <c r="A350" s="82"/>
      <c r="B350" s="82"/>
      <c r="C350" s="70"/>
      <c r="D350" s="91"/>
      <c r="E350" s="92"/>
    </row>
    <row r="351" spans="1:5" ht="15">
      <c r="A351" s="82"/>
      <c r="B351" s="82"/>
      <c r="C351" s="70">
        <v>4040</v>
      </c>
      <c r="D351" s="91" t="s">
        <v>21</v>
      </c>
      <c r="E351" s="92">
        <f>E370+E385</f>
        <v>72070</v>
      </c>
    </row>
    <row r="352" spans="1:5" ht="15">
      <c r="A352" s="82"/>
      <c r="B352" s="82"/>
      <c r="C352" s="70"/>
      <c r="D352" s="91"/>
      <c r="E352" s="92"/>
    </row>
    <row r="353" spans="1:5" ht="15">
      <c r="A353" s="82"/>
      <c r="B353" s="82"/>
      <c r="C353" s="70">
        <v>4110</v>
      </c>
      <c r="D353" s="91" t="s">
        <v>118</v>
      </c>
      <c r="E353" s="92">
        <f>E372+E387</f>
        <v>163530</v>
      </c>
    </row>
    <row r="354" spans="1:5" ht="15">
      <c r="A354" s="82"/>
      <c r="B354" s="82"/>
      <c r="C354" s="70"/>
      <c r="D354" s="91"/>
      <c r="E354" s="92"/>
    </row>
    <row r="355" spans="1:5" ht="15">
      <c r="A355" s="82"/>
      <c r="B355" s="82"/>
      <c r="C355" s="70">
        <v>4120</v>
      </c>
      <c r="D355" s="91" t="s">
        <v>23</v>
      </c>
      <c r="E355" s="92">
        <f>E374+E389</f>
        <v>23250</v>
      </c>
    </row>
    <row r="356" spans="1:5" ht="15">
      <c r="A356" s="82"/>
      <c r="B356" s="82"/>
      <c r="C356" s="70"/>
      <c r="D356" s="91"/>
      <c r="E356" s="92"/>
    </row>
    <row r="357" spans="1:5" ht="15">
      <c r="A357" s="82"/>
      <c r="B357" s="82"/>
      <c r="C357" s="70">
        <v>4210</v>
      </c>
      <c r="D357" s="91" t="s">
        <v>14</v>
      </c>
      <c r="E357" s="92">
        <f>E391</f>
        <v>9000</v>
      </c>
    </row>
    <row r="358" spans="1:5" ht="15">
      <c r="A358" s="82"/>
      <c r="B358" s="82"/>
      <c r="C358" s="70"/>
      <c r="D358" s="91"/>
      <c r="E358" s="92"/>
    </row>
    <row r="359" spans="1:5" ht="15">
      <c r="A359" s="82"/>
      <c r="B359" s="82"/>
      <c r="C359" s="70">
        <v>4260</v>
      </c>
      <c r="D359" s="91" t="s">
        <v>24</v>
      </c>
      <c r="E359" s="92">
        <f>E393</f>
        <v>5000</v>
      </c>
    </row>
    <row r="360" spans="1:5" ht="15">
      <c r="A360" s="82"/>
      <c r="B360" s="82"/>
      <c r="C360" s="70"/>
      <c r="D360" s="91"/>
      <c r="E360" s="92"/>
    </row>
    <row r="361" spans="1:5" ht="30">
      <c r="A361" s="82"/>
      <c r="B361" s="82"/>
      <c r="C361" s="70">
        <v>4440</v>
      </c>
      <c r="D361" s="91" t="s">
        <v>28</v>
      </c>
      <c r="E361" s="92">
        <f>E376+E395</f>
        <v>63410</v>
      </c>
    </row>
    <row r="362" spans="1:5" ht="15">
      <c r="A362" s="82"/>
      <c r="B362" s="82"/>
      <c r="C362" s="70"/>
      <c r="D362" s="91"/>
      <c r="E362" s="92"/>
    </row>
    <row r="363" spans="1:5" ht="15.75">
      <c r="A363" s="82"/>
      <c r="B363" s="71" t="s">
        <v>54</v>
      </c>
      <c r="C363" s="70" t="s">
        <v>55</v>
      </c>
      <c r="D363" s="100" t="s">
        <v>214</v>
      </c>
      <c r="E363" s="92">
        <f>SUM(E365:E376)-E366</f>
        <v>662950</v>
      </c>
    </row>
    <row r="364" spans="1:5" ht="15">
      <c r="A364" s="82"/>
      <c r="B364" s="82"/>
      <c r="C364" s="70"/>
      <c r="D364" s="91"/>
      <c r="E364" s="92"/>
    </row>
    <row r="365" spans="1:5" ht="30">
      <c r="A365" s="82"/>
      <c r="B365" s="82"/>
      <c r="C365" s="70">
        <v>3020</v>
      </c>
      <c r="D365" s="91" t="s">
        <v>202</v>
      </c>
      <c r="E365" s="92">
        <v>1190</v>
      </c>
    </row>
    <row r="366" spans="1:5" ht="15">
      <c r="A366" s="82"/>
      <c r="B366" s="82"/>
      <c r="C366" s="70"/>
      <c r="D366" s="91" t="s">
        <v>124</v>
      </c>
      <c r="E366" s="92"/>
    </row>
    <row r="367" spans="1:5" ht="15">
      <c r="A367" s="82"/>
      <c r="B367" s="82"/>
      <c r="C367" s="70"/>
      <c r="D367" s="91"/>
      <c r="E367" s="92"/>
    </row>
    <row r="368" spans="1:5" ht="15">
      <c r="A368" s="82"/>
      <c r="B368" s="82"/>
      <c r="C368" s="70">
        <v>4010</v>
      </c>
      <c r="D368" s="91" t="s">
        <v>20</v>
      </c>
      <c r="E368" s="92">
        <v>488730</v>
      </c>
    </row>
    <row r="369" spans="1:5" ht="15">
      <c r="A369" s="82"/>
      <c r="B369" s="82"/>
      <c r="C369" s="70"/>
      <c r="D369" s="91"/>
      <c r="E369" s="92"/>
    </row>
    <row r="370" spans="1:5" ht="15">
      <c r="A370" s="82"/>
      <c r="B370" s="82"/>
      <c r="C370" s="70">
        <v>4040</v>
      </c>
      <c r="D370" s="91" t="s">
        <v>21</v>
      </c>
      <c r="E370" s="92">
        <v>37390</v>
      </c>
    </row>
    <row r="371" spans="1:5" ht="15">
      <c r="A371" s="82"/>
      <c r="B371" s="82"/>
      <c r="C371" s="70"/>
      <c r="D371" s="91"/>
      <c r="E371" s="92"/>
    </row>
    <row r="372" spans="1:5" ht="15">
      <c r="A372" s="82"/>
      <c r="B372" s="82"/>
      <c r="C372" s="70">
        <v>4110</v>
      </c>
      <c r="D372" s="91" t="s">
        <v>118</v>
      </c>
      <c r="E372" s="92">
        <v>88810</v>
      </c>
    </row>
    <row r="373" spans="1:5" ht="15">
      <c r="A373" s="82"/>
      <c r="B373" s="82"/>
      <c r="C373" s="70"/>
      <c r="D373" s="91"/>
      <c r="E373" s="92"/>
    </row>
    <row r="374" spans="1:5" ht="15">
      <c r="A374" s="82"/>
      <c r="B374" s="82"/>
      <c r="C374" s="70">
        <v>4120</v>
      </c>
      <c r="D374" s="91" t="s">
        <v>23</v>
      </c>
      <c r="E374" s="92">
        <v>12630</v>
      </c>
    </row>
    <row r="375" spans="1:5" ht="15">
      <c r="A375" s="82"/>
      <c r="B375" s="82"/>
      <c r="C375" s="70"/>
      <c r="D375" s="91"/>
      <c r="E375" s="92"/>
    </row>
    <row r="376" spans="1:5" ht="30">
      <c r="A376" s="82"/>
      <c r="B376" s="82"/>
      <c r="C376" s="70">
        <v>4440</v>
      </c>
      <c r="D376" s="91" t="s">
        <v>28</v>
      </c>
      <c r="E376" s="92">
        <v>34200</v>
      </c>
    </row>
    <row r="377" spans="1:5" ht="15">
      <c r="A377" s="82"/>
      <c r="B377" s="82"/>
      <c r="C377" s="70"/>
      <c r="D377" s="91"/>
      <c r="E377" s="92"/>
    </row>
    <row r="378" spans="1:5" ht="15.75">
      <c r="A378" s="82"/>
      <c r="B378" s="82"/>
      <c r="C378" s="70" t="s">
        <v>55</v>
      </c>
      <c r="D378" s="100" t="s">
        <v>126</v>
      </c>
      <c r="E378" s="92">
        <f>SUM(E380:E395)</f>
        <v>595360</v>
      </c>
    </row>
    <row r="379" spans="1:5" ht="15">
      <c r="A379" s="82"/>
      <c r="B379" s="82"/>
      <c r="C379" s="70"/>
      <c r="D379" s="91"/>
      <c r="E379" s="92"/>
    </row>
    <row r="380" spans="1:5" ht="30">
      <c r="A380" s="82"/>
      <c r="B380" s="82"/>
      <c r="C380" s="70">
        <v>3020</v>
      </c>
      <c r="D380" s="91" t="s">
        <v>117</v>
      </c>
      <c r="E380" s="92">
        <v>24150</v>
      </c>
    </row>
    <row r="381" spans="1:5" ht="15">
      <c r="A381" s="82"/>
      <c r="B381" s="82"/>
      <c r="C381" s="70"/>
      <c r="D381" s="91" t="s">
        <v>124</v>
      </c>
      <c r="E381" s="92"/>
    </row>
    <row r="382" spans="1:5" ht="15">
      <c r="A382" s="82"/>
      <c r="B382" s="82"/>
      <c r="C382" s="70"/>
      <c r="D382" s="91"/>
      <c r="E382" s="92"/>
    </row>
    <row r="383" spans="1:5" ht="15">
      <c r="A383" s="82"/>
      <c r="B383" s="82"/>
      <c r="C383" s="70">
        <v>4010</v>
      </c>
      <c r="D383" s="91" t="s">
        <v>20</v>
      </c>
      <c r="E383" s="92">
        <v>407980</v>
      </c>
    </row>
    <row r="384" spans="1:5" ht="15">
      <c r="A384" s="82"/>
      <c r="B384" s="82"/>
      <c r="C384" s="70"/>
      <c r="D384" s="91"/>
      <c r="E384" s="92"/>
    </row>
    <row r="385" spans="1:5" ht="15">
      <c r="A385" s="82"/>
      <c r="B385" s="82"/>
      <c r="C385" s="70">
        <v>4040</v>
      </c>
      <c r="D385" s="91" t="s">
        <v>21</v>
      </c>
      <c r="E385" s="92">
        <v>34680</v>
      </c>
    </row>
    <row r="386" spans="1:5" ht="15">
      <c r="A386" s="82"/>
      <c r="B386" s="82"/>
      <c r="C386" s="70"/>
      <c r="D386" s="91"/>
      <c r="E386" s="92"/>
    </row>
    <row r="387" spans="1:5" ht="15">
      <c r="A387" s="82"/>
      <c r="B387" s="82"/>
      <c r="C387" s="70">
        <v>4110</v>
      </c>
      <c r="D387" s="91" t="s">
        <v>118</v>
      </c>
      <c r="E387" s="92">
        <v>74720</v>
      </c>
    </row>
    <row r="388" spans="1:5" ht="15">
      <c r="A388" s="82"/>
      <c r="B388" s="82"/>
      <c r="C388" s="70"/>
      <c r="D388" s="91"/>
      <c r="E388" s="92"/>
    </row>
    <row r="389" spans="1:5" ht="15">
      <c r="A389" s="82"/>
      <c r="B389" s="82"/>
      <c r="C389" s="70">
        <v>4120</v>
      </c>
      <c r="D389" s="91" t="s">
        <v>23</v>
      </c>
      <c r="E389" s="92">
        <v>10620</v>
      </c>
    </row>
    <row r="390" spans="1:5" ht="15">
      <c r="A390" s="82"/>
      <c r="B390" s="82"/>
      <c r="C390" s="70"/>
      <c r="D390" s="91"/>
      <c r="E390" s="92"/>
    </row>
    <row r="391" spans="1:5" ht="15">
      <c r="A391" s="82"/>
      <c r="B391" s="82"/>
      <c r="C391" s="70">
        <v>4210</v>
      </c>
      <c r="D391" s="91" t="s">
        <v>14</v>
      </c>
      <c r="E391" s="92">
        <v>9000</v>
      </c>
    </row>
    <row r="392" spans="1:5" ht="15">
      <c r="A392" s="82"/>
      <c r="B392" s="82"/>
      <c r="C392" s="70"/>
      <c r="D392" s="91"/>
      <c r="E392" s="92"/>
    </row>
    <row r="393" spans="1:5" ht="15">
      <c r="A393" s="82"/>
      <c r="B393" s="82"/>
      <c r="C393" s="70">
        <v>4260</v>
      </c>
      <c r="D393" s="91" t="s">
        <v>24</v>
      </c>
      <c r="E393" s="92">
        <v>5000</v>
      </c>
    </row>
    <row r="394" spans="1:5" ht="15">
      <c r="A394" s="82"/>
      <c r="B394" s="82"/>
      <c r="C394" s="70"/>
      <c r="D394" s="91"/>
      <c r="E394" s="92"/>
    </row>
    <row r="395" spans="1:5" ht="30">
      <c r="A395" s="82"/>
      <c r="B395" s="82"/>
      <c r="C395" s="70">
        <v>4440</v>
      </c>
      <c r="D395" s="91" t="s">
        <v>28</v>
      </c>
      <c r="E395" s="92">
        <v>29210</v>
      </c>
    </row>
    <row r="396" spans="1:5" ht="15">
      <c r="A396" s="82"/>
      <c r="B396" s="82"/>
      <c r="C396" s="70"/>
      <c r="D396" s="91"/>
      <c r="E396" s="92"/>
    </row>
    <row r="397" spans="1:5" ht="15.75">
      <c r="A397" s="82"/>
      <c r="B397" s="82"/>
      <c r="C397" s="70" t="s">
        <v>55</v>
      </c>
      <c r="D397" s="100" t="s">
        <v>127</v>
      </c>
      <c r="E397" s="92">
        <f>SUM(E399)</f>
        <v>128430</v>
      </c>
    </row>
    <row r="398" spans="1:5" ht="15">
      <c r="A398" s="82"/>
      <c r="B398" s="82"/>
      <c r="C398" s="70"/>
      <c r="D398" s="91"/>
      <c r="E398" s="92"/>
    </row>
    <row r="399" spans="1:5" ht="45">
      <c r="A399" s="82"/>
      <c r="B399" s="82"/>
      <c r="C399" s="70">
        <v>2540</v>
      </c>
      <c r="D399" s="91" t="s">
        <v>123</v>
      </c>
      <c r="E399" s="92">
        <v>128430</v>
      </c>
    </row>
    <row r="400" spans="1:5" ht="15">
      <c r="A400" s="82"/>
      <c r="B400" s="82"/>
      <c r="C400" s="70"/>
      <c r="D400" s="91"/>
      <c r="E400" s="92"/>
    </row>
    <row r="401" spans="1:5" s="110" customFormat="1" ht="15.75">
      <c r="A401" s="82"/>
      <c r="B401" s="86">
        <v>80130</v>
      </c>
      <c r="C401" s="70"/>
      <c r="D401" s="100" t="s">
        <v>128</v>
      </c>
      <c r="E401" s="145">
        <f>SUM(E403:E438)</f>
        <v>4587380</v>
      </c>
    </row>
    <row r="402" spans="1:5" s="110" customFormat="1" ht="15.75">
      <c r="A402" s="82"/>
      <c r="B402" s="86"/>
      <c r="C402" s="70"/>
      <c r="D402" s="100"/>
      <c r="E402" s="145"/>
    </row>
    <row r="403" spans="1:5" ht="60">
      <c r="A403" s="82"/>
      <c r="B403" s="82"/>
      <c r="C403" s="70">
        <v>2310</v>
      </c>
      <c r="D403" s="138" t="s">
        <v>204</v>
      </c>
      <c r="E403" s="92">
        <f>E511</f>
        <v>33600</v>
      </c>
    </row>
    <row r="404" spans="1:5" ht="15">
      <c r="A404" s="82"/>
      <c r="B404" s="82"/>
      <c r="C404" s="70"/>
      <c r="D404" s="138"/>
      <c r="E404" s="92"/>
    </row>
    <row r="405" spans="1:5" ht="30">
      <c r="A405" s="82"/>
      <c r="B405" s="82"/>
      <c r="C405" s="70">
        <v>3020</v>
      </c>
      <c r="D405" s="91" t="s">
        <v>202</v>
      </c>
      <c r="E405" s="92">
        <f>E441+E476</f>
        <v>166730</v>
      </c>
    </row>
    <row r="406" spans="1:5" ht="15">
      <c r="A406" s="82"/>
      <c r="B406" s="82"/>
      <c r="C406" s="70">
        <v>4010</v>
      </c>
      <c r="D406" s="91" t="s">
        <v>20</v>
      </c>
      <c r="E406" s="92">
        <f>E444+E479</f>
        <v>2711550</v>
      </c>
    </row>
    <row r="407" spans="1:5" ht="15">
      <c r="A407" s="82"/>
      <c r="B407" s="82"/>
      <c r="C407" s="70"/>
      <c r="D407" s="91"/>
      <c r="E407" s="92"/>
    </row>
    <row r="408" spans="1:5" ht="15">
      <c r="A408" s="82"/>
      <c r="B408" s="82"/>
      <c r="C408" s="70">
        <v>4040</v>
      </c>
      <c r="D408" s="91" t="s">
        <v>21</v>
      </c>
      <c r="E408" s="92">
        <f>E446+E481</f>
        <v>218500</v>
      </c>
    </row>
    <row r="409" spans="1:5" ht="15">
      <c r="A409" s="82"/>
      <c r="B409" s="82"/>
      <c r="C409" s="70"/>
      <c r="D409" s="91"/>
      <c r="E409" s="92"/>
    </row>
    <row r="410" spans="1:5" ht="15">
      <c r="A410" s="82"/>
      <c r="B410" s="82"/>
      <c r="C410" s="70">
        <v>4110</v>
      </c>
      <c r="D410" s="91" t="s">
        <v>118</v>
      </c>
      <c r="E410" s="92">
        <f>E448+E483</f>
        <v>494600</v>
      </c>
    </row>
    <row r="411" spans="1:5" ht="15">
      <c r="A411" s="82"/>
      <c r="B411" s="82"/>
      <c r="C411" s="70"/>
      <c r="D411" s="91"/>
      <c r="E411" s="92"/>
    </row>
    <row r="412" spans="1:5" ht="15">
      <c r="A412" s="82"/>
      <c r="B412" s="82"/>
      <c r="C412" s="70">
        <v>4120</v>
      </c>
      <c r="D412" s="91" t="s">
        <v>23</v>
      </c>
      <c r="E412" s="92">
        <f>E450+E485</f>
        <v>69610</v>
      </c>
    </row>
    <row r="413" spans="1:5" ht="15">
      <c r="A413" s="82"/>
      <c r="B413" s="82"/>
      <c r="C413" s="70"/>
      <c r="D413" s="91"/>
      <c r="E413" s="92"/>
    </row>
    <row r="414" spans="1:5" ht="15">
      <c r="A414" s="82"/>
      <c r="B414" s="82"/>
      <c r="C414" s="70">
        <v>4170</v>
      </c>
      <c r="D414" s="91" t="s">
        <v>213</v>
      </c>
      <c r="E414" s="92">
        <f>2500+60000</f>
        <v>62500</v>
      </c>
    </row>
    <row r="415" spans="1:5" ht="15">
      <c r="A415" s="82"/>
      <c r="B415" s="82"/>
      <c r="C415" s="70"/>
      <c r="D415" s="91"/>
      <c r="E415" s="92"/>
    </row>
    <row r="416" spans="1:6" ht="15">
      <c r="A416" s="82"/>
      <c r="B416" s="82"/>
      <c r="C416" s="70">
        <v>4210</v>
      </c>
      <c r="D416" s="91" t="s">
        <v>14</v>
      </c>
      <c r="E416" s="92">
        <f>204000+10000+5000</f>
        <v>219000</v>
      </c>
      <c r="F416" s="93">
        <v>10000</v>
      </c>
    </row>
    <row r="417" spans="1:6" ht="15">
      <c r="A417" s="82"/>
      <c r="B417" s="82"/>
      <c r="C417" s="70"/>
      <c r="D417" s="91"/>
      <c r="E417" s="151"/>
      <c r="F417" s="93">
        <v>5000</v>
      </c>
    </row>
    <row r="418" spans="1:5" ht="15">
      <c r="A418" s="82"/>
      <c r="B418" s="82"/>
      <c r="C418" s="70">
        <v>4260</v>
      </c>
      <c r="D418" s="91" t="s">
        <v>24</v>
      </c>
      <c r="E418" s="92">
        <f>E458+E491</f>
        <v>118620</v>
      </c>
    </row>
    <row r="419" spans="1:5" ht="15">
      <c r="A419" s="82"/>
      <c r="B419" s="82"/>
      <c r="C419" s="70"/>
      <c r="D419" s="91"/>
      <c r="E419" s="92"/>
    </row>
    <row r="420" spans="1:6" ht="30">
      <c r="A420" s="82"/>
      <c r="B420" s="82"/>
      <c r="C420" s="70">
        <v>4240</v>
      </c>
      <c r="D420" s="91" t="s">
        <v>229</v>
      </c>
      <c r="E420" s="92">
        <v>20000</v>
      </c>
      <c r="F420" s="93">
        <v>20000</v>
      </c>
    </row>
    <row r="421" spans="1:5" ht="15">
      <c r="A421" s="82"/>
      <c r="B421" s="82"/>
      <c r="C421" s="70"/>
      <c r="D421" s="91"/>
      <c r="E421" s="92"/>
    </row>
    <row r="422" spans="1:6" ht="15">
      <c r="A422" s="82"/>
      <c r="B422" s="82"/>
      <c r="C422" s="70">
        <v>4270</v>
      </c>
      <c r="D422" s="91" t="s">
        <v>25</v>
      </c>
      <c r="E422" s="92">
        <f>7000+10000+20000+30000+10000</f>
        <v>77000</v>
      </c>
      <c r="F422" s="93">
        <v>10000</v>
      </c>
    </row>
    <row r="423" spans="1:6" ht="15">
      <c r="A423" s="82"/>
      <c r="B423" s="82"/>
      <c r="C423" s="70"/>
      <c r="D423" s="91"/>
      <c r="E423" s="151"/>
      <c r="F423" s="93">
        <v>20000</v>
      </c>
    </row>
    <row r="424" spans="1:6" ht="15">
      <c r="A424" s="82"/>
      <c r="B424" s="82"/>
      <c r="C424" s="70"/>
      <c r="D424" s="91"/>
      <c r="E424" s="151"/>
      <c r="F424" s="93">
        <f>30000+10000</f>
        <v>40000</v>
      </c>
    </row>
    <row r="425" spans="1:6" ht="15">
      <c r="A425" s="82"/>
      <c r="B425" s="82"/>
      <c r="C425" s="70">
        <v>4300</v>
      </c>
      <c r="D425" s="91" t="s">
        <v>36</v>
      </c>
      <c r="E425" s="92">
        <f>110000+7000-2500-2300-6500-60000+76000</f>
        <v>121700</v>
      </c>
      <c r="F425" s="93">
        <v>76000</v>
      </c>
    </row>
    <row r="426" spans="1:5" ht="15">
      <c r="A426" s="82"/>
      <c r="B426" s="82"/>
      <c r="C426" s="70"/>
      <c r="D426" s="91"/>
      <c r="E426" s="92"/>
    </row>
    <row r="427" spans="1:5" ht="15">
      <c r="A427" s="82"/>
      <c r="B427" s="82"/>
      <c r="C427" s="70">
        <v>4350</v>
      </c>
      <c r="D427" s="91" t="s">
        <v>212</v>
      </c>
      <c r="E427" s="92">
        <f>2300+6500</f>
        <v>8800</v>
      </c>
    </row>
    <row r="428" spans="1:3" ht="15">
      <c r="A428" s="102"/>
      <c r="B428" s="102"/>
      <c r="C428" s="102"/>
    </row>
    <row r="429" spans="1:5" ht="15">
      <c r="A429" s="82"/>
      <c r="B429" s="82"/>
      <c r="C429" s="70">
        <v>4410</v>
      </c>
      <c r="D429" s="91" t="s">
        <v>26</v>
      </c>
      <c r="E429" s="92">
        <f>E466+E499</f>
        <v>7140</v>
      </c>
    </row>
    <row r="430" spans="1:5" ht="15">
      <c r="A430" s="82"/>
      <c r="B430" s="82"/>
      <c r="C430" s="70"/>
      <c r="D430" s="91"/>
      <c r="E430" s="92"/>
    </row>
    <row r="431" spans="1:5" ht="15">
      <c r="A431" s="82"/>
      <c r="B431" s="82"/>
      <c r="C431" s="70">
        <v>4430</v>
      </c>
      <c r="D431" s="91" t="s">
        <v>27</v>
      </c>
      <c r="E431" s="92">
        <f>E468+E501</f>
        <v>19430</v>
      </c>
    </row>
    <row r="432" spans="1:5" ht="15">
      <c r="A432" s="82"/>
      <c r="B432" s="82"/>
      <c r="C432" s="70"/>
      <c r="D432" s="91"/>
      <c r="E432" s="92"/>
    </row>
    <row r="433" spans="1:5" ht="30">
      <c r="A433" s="82"/>
      <c r="B433" s="82"/>
      <c r="C433" s="70">
        <v>4440</v>
      </c>
      <c r="D433" s="91" t="s">
        <v>28</v>
      </c>
      <c r="E433" s="92">
        <f>E470+E503</f>
        <v>194300</v>
      </c>
    </row>
    <row r="434" spans="1:5" ht="15">
      <c r="A434" s="82"/>
      <c r="B434" s="82"/>
      <c r="C434" s="70"/>
      <c r="D434" s="138"/>
      <c r="E434" s="92"/>
    </row>
    <row r="435" spans="1:5" ht="15">
      <c r="A435" s="82"/>
      <c r="B435" s="82"/>
      <c r="C435" s="70">
        <v>4480</v>
      </c>
      <c r="D435" s="91" t="s">
        <v>125</v>
      </c>
      <c r="E435" s="104">
        <f>E472+E505</f>
        <v>4300</v>
      </c>
    </row>
    <row r="436" spans="1:4" ht="15">
      <c r="A436" s="82"/>
      <c r="B436" s="82"/>
      <c r="C436" s="70"/>
      <c r="D436" s="91"/>
    </row>
    <row r="437" spans="1:5" ht="30">
      <c r="A437" s="82"/>
      <c r="B437" s="82"/>
      <c r="C437" s="83">
        <v>6060</v>
      </c>
      <c r="D437" s="98" t="s">
        <v>201</v>
      </c>
      <c r="E437" s="92">
        <v>40000</v>
      </c>
    </row>
    <row r="438" spans="1:4" ht="15">
      <c r="A438" s="82"/>
      <c r="B438" s="82"/>
      <c r="C438" s="70"/>
      <c r="D438" s="91"/>
    </row>
    <row r="439" spans="1:5" ht="15.75">
      <c r="A439" s="82"/>
      <c r="B439" s="71" t="s">
        <v>54</v>
      </c>
      <c r="C439" s="70" t="s">
        <v>55</v>
      </c>
      <c r="D439" s="100" t="s">
        <v>129</v>
      </c>
      <c r="E439" s="92">
        <f>SUM(E441:E472)</f>
        <v>1168150</v>
      </c>
    </row>
    <row r="440" spans="1:5" ht="23.25" customHeight="1">
      <c r="A440" s="82"/>
      <c r="B440" s="82"/>
      <c r="C440" s="70"/>
      <c r="D440" s="100" t="s">
        <v>174</v>
      </c>
      <c r="E440" s="92"/>
    </row>
    <row r="441" spans="1:5" ht="30">
      <c r="A441" s="82"/>
      <c r="B441" s="82"/>
      <c r="C441" s="70">
        <v>3020</v>
      </c>
      <c r="D441" s="91" t="s">
        <v>202</v>
      </c>
      <c r="E441" s="92">
        <v>18730</v>
      </c>
    </row>
    <row r="442" spans="1:5" ht="15">
      <c r="A442" s="82"/>
      <c r="B442" s="82"/>
      <c r="C442" s="70"/>
      <c r="D442" s="91" t="s">
        <v>130</v>
      </c>
      <c r="E442" s="92"/>
    </row>
    <row r="443" spans="1:5" ht="15">
      <c r="A443" s="82"/>
      <c r="B443" s="82"/>
      <c r="C443" s="70"/>
      <c r="D443" s="91"/>
      <c r="E443" s="92"/>
    </row>
    <row r="444" spans="1:5" ht="15">
      <c r="A444" s="82"/>
      <c r="B444" s="82"/>
      <c r="C444" s="70">
        <v>4010</v>
      </c>
      <c r="D444" s="91" t="s">
        <v>20</v>
      </c>
      <c r="E444" s="92">
        <v>661080</v>
      </c>
    </row>
    <row r="445" spans="1:5" ht="15">
      <c r="A445" s="82"/>
      <c r="B445" s="82"/>
      <c r="C445" s="70"/>
      <c r="D445" s="91"/>
      <c r="E445" s="92"/>
    </row>
    <row r="446" spans="1:5" ht="15">
      <c r="A446" s="82"/>
      <c r="B446" s="82"/>
      <c r="C446" s="70">
        <v>4040</v>
      </c>
      <c r="D446" s="91" t="s">
        <v>21</v>
      </c>
      <c r="E446" s="92">
        <v>56130</v>
      </c>
    </row>
    <row r="447" spans="1:5" ht="15">
      <c r="A447" s="82"/>
      <c r="B447" s="82"/>
      <c r="C447" s="70"/>
      <c r="D447" s="91"/>
      <c r="E447" s="92"/>
    </row>
    <row r="448" spans="1:5" ht="15">
      <c r="A448" s="82"/>
      <c r="B448" s="82"/>
      <c r="C448" s="70">
        <v>4110</v>
      </c>
      <c r="D448" s="91" t="s">
        <v>118</v>
      </c>
      <c r="E448" s="92">
        <v>121070</v>
      </c>
    </row>
    <row r="449" spans="1:5" ht="15">
      <c r="A449" s="82"/>
      <c r="B449" s="82"/>
      <c r="C449" s="70"/>
      <c r="D449" s="91"/>
      <c r="E449" s="92"/>
    </row>
    <row r="450" spans="1:5" ht="15">
      <c r="A450" s="82"/>
      <c r="B450" s="82"/>
      <c r="C450" s="70">
        <v>4120</v>
      </c>
      <c r="D450" s="91" t="s">
        <v>23</v>
      </c>
      <c r="E450" s="92">
        <v>16500</v>
      </c>
    </row>
    <row r="451" spans="1:5" ht="15">
      <c r="A451" s="82"/>
      <c r="B451" s="82"/>
      <c r="C451" s="70"/>
      <c r="D451" s="91"/>
      <c r="E451" s="92"/>
    </row>
    <row r="452" spans="1:5" ht="15">
      <c r="A452" s="82"/>
      <c r="B452" s="82"/>
      <c r="C452" s="70">
        <v>4170</v>
      </c>
      <c r="D452" s="91" t="s">
        <v>213</v>
      </c>
      <c r="E452" s="92">
        <v>2500</v>
      </c>
    </row>
    <row r="453" spans="1:5" ht="15">
      <c r="A453" s="82"/>
      <c r="B453" s="82"/>
      <c r="C453" s="70"/>
      <c r="D453" s="91"/>
      <c r="E453" s="92"/>
    </row>
    <row r="454" spans="1:5" ht="15">
      <c r="A454" s="82"/>
      <c r="B454" s="82"/>
      <c r="C454" s="70">
        <v>4210</v>
      </c>
      <c r="D454" s="91" t="s">
        <v>14</v>
      </c>
      <c r="E454" s="92">
        <f>46900+10000+5000</f>
        <v>61900</v>
      </c>
    </row>
    <row r="455" spans="1:5" ht="15">
      <c r="A455" s="82"/>
      <c r="B455" s="82"/>
      <c r="C455" s="70"/>
      <c r="D455" s="91"/>
      <c r="E455" s="92"/>
    </row>
    <row r="456" spans="1:5" ht="30">
      <c r="A456" s="82"/>
      <c r="B456" s="82"/>
      <c r="C456" s="70">
        <v>4240</v>
      </c>
      <c r="D456" s="91" t="s">
        <v>229</v>
      </c>
      <c r="E456" s="92">
        <v>20000</v>
      </c>
    </row>
    <row r="457" spans="1:5" ht="15">
      <c r="A457" s="82"/>
      <c r="B457" s="82"/>
      <c r="C457" s="70"/>
      <c r="D457" s="91"/>
      <c r="E457" s="92"/>
    </row>
    <row r="458" spans="1:5" ht="15">
      <c r="A458" s="82"/>
      <c r="B458" s="82"/>
      <c r="C458" s="70">
        <v>4260</v>
      </c>
      <c r="D458" s="91" t="s">
        <v>24</v>
      </c>
      <c r="E458" s="92">
        <v>91700</v>
      </c>
    </row>
    <row r="459" spans="1:5" ht="15">
      <c r="A459" s="82"/>
      <c r="B459" s="82"/>
      <c r="C459" s="70"/>
      <c r="D459" s="91"/>
      <c r="E459" s="92"/>
    </row>
    <row r="460" spans="1:5" ht="15">
      <c r="A460" s="82"/>
      <c r="B460" s="82"/>
      <c r="C460" s="70">
        <v>4270</v>
      </c>
      <c r="D460" s="91" t="s">
        <v>25</v>
      </c>
      <c r="E460" s="92">
        <f>2000+10000+20000</f>
        <v>32000</v>
      </c>
    </row>
    <row r="461" spans="1:5" ht="15">
      <c r="A461" s="82"/>
      <c r="B461" s="82"/>
      <c r="C461" s="70"/>
      <c r="D461" s="91"/>
      <c r="E461" s="92"/>
    </row>
    <row r="462" spans="1:5" ht="15">
      <c r="A462" s="82"/>
      <c r="B462" s="82"/>
      <c r="C462" s="70">
        <v>4300</v>
      </c>
      <c r="D462" s="91" t="s">
        <v>36</v>
      </c>
      <c r="E462" s="92">
        <f>25300+7000-2500-2300</f>
        <v>27500</v>
      </c>
    </row>
    <row r="463" spans="1:5" ht="15">
      <c r="A463" s="82"/>
      <c r="B463" s="82"/>
      <c r="C463" s="70"/>
      <c r="D463" s="91"/>
      <c r="E463" s="92"/>
    </row>
    <row r="464" spans="1:5" ht="15">
      <c r="A464" s="82"/>
      <c r="B464" s="82"/>
      <c r="C464" s="70">
        <v>4350</v>
      </c>
      <c r="D464" s="91" t="s">
        <v>212</v>
      </c>
      <c r="E464" s="92">
        <v>2300</v>
      </c>
    </row>
    <row r="465" spans="1:5" ht="15">
      <c r="A465" s="82"/>
      <c r="B465" s="82"/>
      <c r="C465" s="70"/>
      <c r="D465" s="91"/>
      <c r="E465" s="92"/>
    </row>
    <row r="466" spans="1:5" ht="15">
      <c r="A466" s="82"/>
      <c r="B466" s="82"/>
      <c r="C466" s="70">
        <v>4410</v>
      </c>
      <c r="D466" s="91" t="s">
        <v>26</v>
      </c>
      <c r="E466" s="92">
        <v>2300</v>
      </c>
    </row>
    <row r="467" spans="1:5" ht="15">
      <c r="A467" s="82"/>
      <c r="B467" s="82"/>
      <c r="C467" s="70"/>
      <c r="D467" s="91"/>
      <c r="E467" s="92"/>
    </row>
    <row r="468" spans="1:5" ht="15">
      <c r="A468" s="82"/>
      <c r="B468" s="82"/>
      <c r="C468" s="70">
        <v>4430</v>
      </c>
      <c r="D468" s="91" t="s">
        <v>27</v>
      </c>
      <c r="E468" s="92">
        <v>1950</v>
      </c>
    </row>
    <row r="469" spans="1:5" ht="15">
      <c r="A469" s="82"/>
      <c r="B469" s="82"/>
      <c r="C469" s="70"/>
      <c r="D469" s="91"/>
      <c r="E469" s="92"/>
    </row>
    <row r="470" spans="1:5" ht="30">
      <c r="A470" s="82"/>
      <c r="B470" s="82"/>
      <c r="C470" s="70">
        <v>4440</v>
      </c>
      <c r="D470" s="91" t="s">
        <v>28</v>
      </c>
      <c r="E470" s="92">
        <v>50190</v>
      </c>
    </row>
    <row r="471" spans="1:5" ht="15">
      <c r="A471" s="82"/>
      <c r="B471" s="82"/>
      <c r="C471" s="70"/>
      <c r="D471" s="91"/>
      <c r="E471" s="92"/>
    </row>
    <row r="472" spans="1:5" ht="15">
      <c r="A472" s="82"/>
      <c r="B472" s="82"/>
      <c r="C472" s="70">
        <v>4480</v>
      </c>
      <c r="D472" s="91" t="s">
        <v>125</v>
      </c>
      <c r="E472" s="92">
        <v>2300</v>
      </c>
    </row>
    <row r="473" spans="1:5" ht="15">
      <c r="A473" s="82"/>
      <c r="B473" s="82"/>
      <c r="C473" s="70"/>
      <c r="D473" s="91"/>
      <c r="E473" s="92"/>
    </row>
    <row r="474" spans="1:5" ht="15.75">
      <c r="A474" s="82"/>
      <c r="B474" s="82"/>
      <c r="C474" s="70" t="s">
        <v>55</v>
      </c>
      <c r="D474" s="100" t="s">
        <v>131</v>
      </c>
      <c r="E474" s="92">
        <f>SUM(E476:E508)</f>
        <v>3385630</v>
      </c>
    </row>
    <row r="475" spans="1:5" ht="15">
      <c r="A475" s="82"/>
      <c r="B475" s="82"/>
      <c r="C475" s="70"/>
      <c r="D475" s="91"/>
      <c r="E475" s="92"/>
    </row>
    <row r="476" spans="1:5" ht="30">
      <c r="A476" s="82"/>
      <c r="B476" s="82"/>
      <c r="C476" s="70">
        <v>3020</v>
      </c>
      <c r="D476" s="91" t="s">
        <v>202</v>
      </c>
      <c r="E476" s="92">
        <v>148000</v>
      </c>
    </row>
    <row r="477" spans="1:5" ht="15">
      <c r="A477" s="82"/>
      <c r="B477" s="82"/>
      <c r="C477" s="70"/>
      <c r="D477" s="91" t="s">
        <v>130</v>
      </c>
      <c r="E477" s="92"/>
    </row>
    <row r="478" spans="1:5" ht="15">
      <c r="A478" s="82"/>
      <c r="B478" s="82"/>
      <c r="C478" s="70"/>
      <c r="D478" s="91"/>
      <c r="E478" s="92"/>
    </row>
    <row r="479" spans="1:5" ht="15">
      <c r="A479" s="82"/>
      <c r="B479" s="82"/>
      <c r="C479" s="70">
        <v>4010</v>
      </c>
      <c r="D479" s="91" t="s">
        <v>20</v>
      </c>
      <c r="E479" s="92">
        <v>2050470</v>
      </c>
    </row>
    <row r="480" spans="1:5" ht="15">
      <c r="A480" s="82"/>
      <c r="B480" s="82"/>
      <c r="C480" s="70"/>
      <c r="D480" s="91"/>
      <c r="E480" s="92"/>
    </row>
    <row r="481" spans="1:5" ht="15">
      <c r="A481" s="82"/>
      <c r="B481" s="82"/>
      <c r="C481" s="70">
        <v>4040</v>
      </c>
      <c r="D481" s="91" t="s">
        <v>21</v>
      </c>
      <c r="E481" s="92">
        <v>162370</v>
      </c>
    </row>
    <row r="482" spans="1:5" ht="15">
      <c r="A482" s="82"/>
      <c r="B482" s="82"/>
      <c r="C482" s="70"/>
      <c r="D482" s="91"/>
      <c r="E482" s="92"/>
    </row>
    <row r="483" spans="1:5" ht="15">
      <c r="A483" s="82"/>
      <c r="B483" s="82"/>
      <c r="C483" s="70">
        <v>4110</v>
      </c>
      <c r="D483" s="91" t="s">
        <v>118</v>
      </c>
      <c r="E483" s="92">
        <v>373530</v>
      </c>
    </row>
    <row r="484" spans="1:5" ht="15">
      <c r="A484" s="82"/>
      <c r="B484" s="82"/>
      <c r="C484" s="70"/>
      <c r="D484" s="91"/>
      <c r="E484" s="92"/>
    </row>
    <row r="485" spans="1:5" ht="15">
      <c r="A485" s="82"/>
      <c r="B485" s="82"/>
      <c r="C485" s="70">
        <v>4120</v>
      </c>
      <c r="D485" s="91" t="s">
        <v>23</v>
      </c>
      <c r="E485" s="92">
        <v>53110</v>
      </c>
    </row>
    <row r="486" spans="1:5" ht="15">
      <c r="A486" s="82"/>
      <c r="B486" s="82"/>
      <c r="C486" s="70"/>
      <c r="D486" s="91"/>
      <c r="E486" s="92"/>
    </row>
    <row r="487" spans="1:5" ht="15">
      <c r="A487" s="82"/>
      <c r="B487" s="82"/>
      <c r="C487" s="70">
        <v>4170</v>
      </c>
      <c r="D487" s="91" t="s">
        <v>220</v>
      </c>
      <c r="E487" s="92">
        <v>60000</v>
      </c>
    </row>
    <row r="488" spans="1:5" ht="15">
      <c r="A488" s="82"/>
      <c r="B488" s="82"/>
      <c r="C488" s="70"/>
      <c r="D488" s="91"/>
      <c r="E488" s="92"/>
    </row>
    <row r="489" spans="1:5" ht="15">
      <c r="A489" s="82"/>
      <c r="B489" s="82"/>
      <c r="C489" s="70">
        <v>4210</v>
      </c>
      <c r="D489" s="91" t="s">
        <v>14</v>
      </c>
      <c r="E489" s="92">
        <v>157100</v>
      </c>
    </row>
    <row r="490" spans="1:5" ht="15">
      <c r="A490" s="82"/>
      <c r="B490" s="82"/>
      <c r="C490" s="70"/>
      <c r="D490" s="91"/>
      <c r="E490" s="92"/>
    </row>
    <row r="491" spans="1:5" ht="15">
      <c r="A491" s="82"/>
      <c r="B491" s="82"/>
      <c r="C491" s="70">
        <v>4260</v>
      </c>
      <c r="D491" s="91" t="s">
        <v>24</v>
      </c>
      <c r="E491" s="92">
        <v>26920</v>
      </c>
    </row>
    <row r="492" spans="1:5" ht="15">
      <c r="A492" s="82"/>
      <c r="B492" s="82"/>
      <c r="C492" s="70"/>
      <c r="D492" s="91"/>
      <c r="E492" s="92"/>
    </row>
    <row r="493" spans="1:5" ht="15">
      <c r="A493" s="82"/>
      <c r="B493" s="82"/>
      <c r="C493" s="70">
        <v>4270</v>
      </c>
      <c r="D493" s="91" t="s">
        <v>25</v>
      </c>
      <c r="E493" s="92">
        <f>5000+30000+10000</f>
        <v>45000</v>
      </c>
    </row>
    <row r="494" spans="1:5" ht="15">
      <c r="A494" s="82"/>
      <c r="B494" s="82"/>
      <c r="C494" s="70"/>
      <c r="D494" s="91"/>
      <c r="E494" s="92"/>
    </row>
    <row r="495" spans="1:5" ht="15">
      <c r="A495" s="82"/>
      <c r="B495" s="82"/>
      <c r="C495" s="70">
        <v>4300</v>
      </c>
      <c r="D495" s="91" t="s">
        <v>36</v>
      </c>
      <c r="E495" s="92">
        <f>84700-6500-60000+76000</f>
        <v>94200</v>
      </c>
    </row>
    <row r="496" spans="1:5" ht="15">
      <c r="A496" s="82"/>
      <c r="B496" s="82"/>
      <c r="C496" s="70"/>
      <c r="D496" s="91"/>
      <c r="E496" s="92"/>
    </row>
    <row r="497" spans="1:5" ht="15">
      <c r="A497" s="82"/>
      <c r="B497" s="82"/>
      <c r="C497" s="70">
        <v>4350</v>
      </c>
      <c r="D497" s="91" t="s">
        <v>218</v>
      </c>
      <c r="E497" s="92">
        <v>6500</v>
      </c>
    </row>
    <row r="498" spans="1:5" ht="15">
      <c r="A498" s="82"/>
      <c r="B498" s="82"/>
      <c r="C498" s="70"/>
      <c r="D498" s="91"/>
      <c r="E498" s="92"/>
    </row>
    <row r="499" spans="1:5" ht="15">
      <c r="A499" s="82"/>
      <c r="B499" s="82"/>
      <c r="C499" s="70">
        <v>4410</v>
      </c>
      <c r="D499" s="91" t="s">
        <v>26</v>
      </c>
      <c r="E499" s="92">
        <v>4840</v>
      </c>
    </row>
    <row r="500" spans="1:5" ht="15">
      <c r="A500" s="82"/>
      <c r="B500" s="82"/>
      <c r="C500" s="70"/>
      <c r="D500" s="91"/>
      <c r="E500" s="92"/>
    </row>
    <row r="501" spans="1:5" ht="15">
      <c r="A501" s="82"/>
      <c r="B501" s="82"/>
      <c r="C501" s="70">
        <v>4430</v>
      </c>
      <c r="D501" s="91" t="s">
        <v>27</v>
      </c>
      <c r="E501" s="92">
        <v>17480</v>
      </c>
    </row>
    <row r="502" spans="1:5" ht="15">
      <c r="A502" s="82"/>
      <c r="B502" s="82"/>
      <c r="C502" s="70"/>
      <c r="D502" s="91"/>
      <c r="E502" s="92"/>
    </row>
    <row r="503" spans="1:5" ht="30">
      <c r="A503" s="82"/>
      <c r="B503" s="82"/>
      <c r="C503" s="70">
        <v>4440</v>
      </c>
      <c r="D503" s="91" t="s">
        <v>28</v>
      </c>
      <c r="E503" s="92">
        <v>144110</v>
      </c>
    </row>
    <row r="504" spans="1:5" ht="15">
      <c r="A504" s="82"/>
      <c r="B504" s="82"/>
      <c r="C504" s="70"/>
      <c r="D504" s="91"/>
      <c r="E504" s="92"/>
    </row>
    <row r="505" spans="1:5" ht="15">
      <c r="A505" s="82"/>
      <c r="B505" s="82"/>
      <c r="C505" s="70">
        <v>4480</v>
      </c>
      <c r="D505" s="91" t="s">
        <v>125</v>
      </c>
      <c r="E505" s="104">
        <v>2000</v>
      </c>
    </row>
    <row r="506" spans="1:4" ht="15">
      <c r="A506" s="82"/>
      <c r="B506" s="82"/>
      <c r="C506" s="70"/>
      <c r="D506" s="91"/>
    </row>
    <row r="507" spans="1:5" ht="30">
      <c r="A507" s="82"/>
      <c r="B507" s="82"/>
      <c r="C507" s="83">
        <v>6060</v>
      </c>
      <c r="D507" s="98" t="s">
        <v>201</v>
      </c>
      <c r="E507" s="92">
        <v>40000</v>
      </c>
    </row>
    <row r="508" spans="1:5" ht="15">
      <c r="A508" s="82"/>
      <c r="B508" s="82"/>
      <c r="C508" s="70"/>
      <c r="D508" s="91"/>
      <c r="E508" s="92"/>
    </row>
    <row r="509" spans="1:5" ht="15.75">
      <c r="A509" s="82"/>
      <c r="B509" s="71" t="s">
        <v>93</v>
      </c>
      <c r="C509" s="70" t="s">
        <v>55</v>
      </c>
      <c r="D509" s="100" t="s">
        <v>132</v>
      </c>
      <c r="E509" s="92">
        <f>SUM(E511:E511)</f>
        <v>33600</v>
      </c>
    </row>
    <row r="510" spans="1:5" ht="15">
      <c r="A510" s="82"/>
      <c r="B510" s="82"/>
      <c r="C510" s="70"/>
      <c r="D510" s="91"/>
      <c r="E510" s="92"/>
    </row>
    <row r="511" spans="1:5" ht="60">
      <c r="A511" s="82"/>
      <c r="B511" s="82"/>
      <c r="C511" s="70">
        <v>2310</v>
      </c>
      <c r="D511" s="91" t="s">
        <v>133</v>
      </c>
      <c r="E511" s="92">
        <v>33600</v>
      </c>
    </row>
    <row r="512" spans="1:5" ht="15">
      <c r="A512" s="82"/>
      <c r="B512" s="82"/>
      <c r="C512" s="70"/>
      <c r="D512" s="91"/>
      <c r="E512" s="92"/>
    </row>
    <row r="513" spans="1:5" s="110" customFormat="1" ht="15.75">
      <c r="A513" s="82"/>
      <c r="B513" s="86">
        <v>80132</v>
      </c>
      <c r="C513" s="70"/>
      <c r="D513" s="100" t="s">
        <v>134</v>
      </c>
      <c r="E513" s="145">
        <f>SUM(E515:E545)</f>
        <v>401660</v>
      </c>
    </row>
    <row r="514" spans="1:5" ht="15">
      <c r="A514" s="82"/>
      <c r="B514" s="82"/>
      <c r="C514" s="70"/>
      <c r="D514" s="91"/>
      <c r="E514" s="92"/>
    </row>
    <row r="515" spans="1:5" ht="31.5">
      <c r="A515" s="82"/>
      <c r="B515" s="82"/>
      <c r="C515" s="70"/>
      <c r="D515" s="100" t="s">
        <v>135</v>
      </c>
      <c r="E515" s="92"/>
    </row>
    <row r="516" spans="1:5" ht="15">
      <c r="A516" s="82"/>
      <c r="B516" s="82"/>
      <c r="C516" s="70"/>
      <c r="D516" s="91"/>
      <c r="E516" s="92"/>
    </row>
    <row r="517" spans="1:5" ht="30">
      <c r="A517" s="82"/>
      <c r="B517" s="82"/>
      <c r="C517" s="70">
        <v>3020</v>
      </c>
      <c r="D517" s="91" t="s">
        <v>202</v>
      </c>
      <c r="E517" s="92">
        <v>2190</v>
      </c>
    </row>
    <row r="518" spans="1:5" ht="15">
      <c r="A518" s="82"/>
      <c r="B518" s="82"/>
      <c r="C518" s="70"/>
      <c r="D518" s="91"/>
      <c r="E518" s="92"/>
    </row>
    <row r="519" spans="1:5" ht="15">
      <c r="A519" s="82"/>
      <c r="B519" s="82"/>
      <c r="C519" s="70">
        <v>4010</v>
      </c>
      <c r="D519" s="91" t="s">
        <v>20</v>
      </c>
      <c r="E519" s="92">
        <v>243040</v>
      </c>
    </row>
    <row r="520" spans="1:5" ht="15">
      <c r="A520" s="82"/>
      <c r="B520" s="82"/>
      <c r="C520" s="70"/>
      <c r="D520" s="91"/>
      <c r="E520" s="92"/>
    </row>
    <row r="521" spans="1:5" ht="15">
      <c r="A521" s="82"/>
      <c r="B521" s="82"/>
      <c r="C521" s="70">
        <v>4040</v>
      </c>
      <c r="D521" s="91" t="s">
        <v>21</v>
      </c>
      <c r="E521" s="92">
        <v>18650</v>
      </c>
    </row>
    <row r="522" spans="1:5" ht="15">
      <c r="A522" s="82"/>
      <c r="B522" s="82"/>
      <c r="C522" s="70"/>
      <c r="D522" s="91"/>
      <c r="E522" s="92"/>
    </row>
    <row r="523" spans="1:5" ht="15">
      <c r="A523" s="82"/>
      <c r="B523" s="82"/>
      <c r="C523" s="70">
        <v>4110</v>
      </c>
      <c r="D523" s="91" t="s">
        <v>118</v>
      </c>
      <c r="E523" s="92">
        <v>44170</v>
      </c>
    </row>
    <row r="524" spans="1:5" ht="15">
      <c r="A524" s="82"/>
      <c r="B524" s="82"/>
      <c r="C524" s="70"/>
      <c r="D524" s="91"/>
      <c r="E524" s="92"/>
    </row>
    <row r="525" spans="1:5" ht="15">
      <c r="A525" s="82"/>
      <c r="B525" s="82"/>
      <c r="C525" s="70">
        <v>4120</v>
      </c>
      <c r="D525" s="91" t="s">
        <v>23</v>
      </c>
      <c r="E525" s="92">
        <v>6280</v>
      </c>
    </row>
    <row r="526" spans="1:5" ht="15">
      <c r="A526" s="82"/>
      <c r="B526" s="82"/>
      <c r="C526" s="70"/>
      <c r="D526" s="91"/>
      <c r="E526" s="92"/>
    </row>
    <row r="527" spans="1:5" ht="15">
      <c r="A527" s="82"/>
      <c r="B527" s="82"/>
      <c r="C527" s="70">
        <v>4170</v>
      </c>
      <c r="D527" s="91" t="s">
        <v>213</v>
      </c>
      <c r="E527" s="92">
        <v>500</v>
      </c>
    </row>
    <row r="528" spans="1:5" ht="15">
      <c r="A528" s="82"/>
      <c r="B528" s="82"/>
      <c r="C528" s="70"/>
      <c r="D528" s="91"/>
      <c r="E528" s="92"/>
    </row>
    <row r="529" spans="1:5" ht="15">
      <c r="A529" s="82"/>
      <c r="B529" s="82"/>
      <c r="C529" s="70">
        <v>4210</v>
      </c>
      <c r="D529" s="91" t="s">
        <v>14</v>
      </c>
      <c r="E529" s="92">
        <v>3800</v>
      </c>
    </row>
    <row r="530" spans="1:5" ht="15">
      <c r="A530" s="82"/>
      <c r="B530" s="82"/>
      <c r="C530" s="70"/>
      <c r="D530" s="91"/>
      <c r="E530" s="92"/>
    </row>
    <row r="531" spans="1:6" ht="30">
      <c r="A531" s="82"/>
      <c r="B531" s="82"/>
      <c r="C531" s="70">
        <v>4240</v>
      </c>
      <c r="D531" s="91" t="s">
        <v>229</v>
      </c>
      <c r="E531" s="92">
        <v>15000</v>
      </c>
      <c r="F531" s="93">
        <v>15000</v>
      </c>
    </row>
    <row r="532" spans="1:5" ht="15">
      <c r="A532" s="82"/>
      <c r="B532" s="82"/>
      <c r="C532" s="70"/>
      <c r="D532" s="91"/>
      <c r="E532" s="92"/>
    </row>
    <row r="533" spans="1:5" ht="15">
      <c r="A533" s="82"/>
      <c r="B533" s="82"/>
      <c r="C533" s="70">
        <v>4260</v>
      </c>
      <c r="D533" s="91" t="s">
        <v>24</v>
      </c>
      <c r="E533" s="92">
        <v>9900</v>
      </c>
    </row>
    <row r="534" spans="1:5" ht="15">
      <c r="A534" s="82"/>
      <c r="B534" s="82"/>
      <c r="C534" s="70"/>
      <c r="D534" s="91"/>
      <c r="E534" s="92"/>
    </row>
    <row r="535" spans="1:5" ht="15">
      <c r="A535" s="82"/>
      <c r="B535" s="82"/>
      <c r="C535" s="70">
        <v>4270</v>
      </c>
      <c r="D535" s="91" t="s">
        <v>25</v>
      </c>
      <c r="E535" s="92">
        <v>1000</v>
      </c>
    </row>
    <row r="536" spans="1:5" ht="15">
      <c r="A536" s="82"/>
      <c r="B536" s="82"/>
      <c r="C536" s="70"/>
      <c r="D536" s="91"/>
      <c r="E536" s="92"/>
    </row>
    <row r="537" spans="1:6" ht="15">
      <c r="A537" s="82"/>
      <c r="B537" s="82"/>
      <c r="C537" s="70">
        <v>4300</v>
      </c>
      <c r="D537" s="91" t="s">
        <v>36</v>
      </c>
      <c r="E537" s="92">
        <f>34200-500-1000+5000</f>
        <v>37700</v>
      </c>
      <c r="F537" s="93">
        <v>5000</v>
      </c>
    </row>
    <row r="538" spans="1:5" ht="15">
      <c r="A538" s="82"/>
      <c r="B538" s="82"/>
      <c r="C538" s="70"/>
      <c r="D538" s="91"/>
      <c r="E538" s="92"/>
    </row>
    <row r="539" spans="1:5" ht="15">
      <c r="A539" s="82"/>
      <c r="B539" s="82"/>
      <c r="C539" s="70">
        <v>4350</v>
      </c>
      <c r="D539" s="91" t="s">
        <v>212</v>
      </c>
      <c r="E539" s="92">
        <v>1000</v>
      </c>
    </row>
    <row r="540" spans="1:5" ht="15">
      <c r="A540" s="82"/>
      <c r="B540" s="82"/>
      <c r="C540" s="70"/>
      <c r="D540" s="91"/>
      <c r="E540" s="92"/>
    </row>
    <row r="541" spans="1:5" ht="15">
      <c r="A541" s="82"/>
      <c r="B541" s="82"/>
      <c r="C541" s="70">
        <v>4410</v>
      </c>
      <c r="D541" s="91" t="s">
        <v>26</v>
      </c>
      <c r="E541" s="92">
        <v>1000</v>
      </c>
    </row>
    <row r="542" spans="1:5" ht="15">
      <c r="A542" s="82"/>
      <c r="B542" s="82"/>
      <c r="C542" s="70"/>
      <c r="D542" s="91"/>
      <c r="E542" s="92"/>
    </row>
    <row r="543" spans="1:5" ht="15">
      <c r="A543" s="82"/>
      <c r="B543" s="82"/>
      <c r="C543" s="70">
        <v>4430</v>
      </c>
      <c r="D543" s="91" t="s">
        <v>27</v>
      </c>
      <c r="E543" s="92">
        <v>150</v>
      </c>
    </row>
    <row r="544" spans="1:5" ht="15">
      <c r="A544" s="82"/>
      <c r="B544" s="82"/>
      <c r="C544" s="70"/>
      <c r="D544" s="91"/>
      <c r="E544" s="92"/>
    </row>
    <row r="545" spans="1:5" ht="30">
      <c r="A545" s="82"/>
      <c r="B545" s="82"/>
      <c r="C545" s="70">
        <v>4440</v>
      </c>
      <c r="D545" s="91" t="s">
        <v>28</v>
      </c>
      <c r="E545" s="92">
        <v>17280</v>
      </c>
    </row>
    <row r="546" spans="1:5" ht="15">
      <c r="A546" s="82"/>
      <c r="B546" s="82"/>
      <c r="C546" s="70"/>
      <c r="D546" s="91"/>
      <c r="E546" s="92"/>
    </row>
    <row r="547" spans="1:5" s="110" customFormat="1" ht="15.75">
      <c r="A547" s="82"/>
      <c r="B547" s="82">
        <v>80134</v>
      </c>
      <c r="C547" s="70"/>
      <c r="D547" s="100" t="s">
        <v>136</v>
      </c>
      <c r="E547" s="145">
        <f>SUM(E549:E561)</f>
        <v>486860</v>
      </c>
    </row>
    <row r="548" spans="1:5" ht="15">
      <c r="A548" s="82"/>
      <c r="B548" s="82"/>
      <c r="C548" s="70"/>
      <c r="D548" s="91"/>
      <c r="E548" s="92"/>
    </row>
    <row r="549" spans="1:5" ht="31.5">
      <c r="A549" s="82"/>
      <c r="B549" s="82"/>
      <c r="C549" s="70"/>
      <c r="D549" s="100" t="s">
        <v>137</v>
      </c>
      <c r="E549" s="92"/>
    </row>
    <row r="550" spans="1:5" ht="15">
      <c r="A550" s="82"/>
      <c r="B550" s="82"/>
      <c r="C550" s="70"/>
      <c r="D550" s="91"/>
      <c r="E550" s="92"/>
    </row>
    <row r="551" spans="1:5" ht="30">
      <c r="A551" s="82"/>
      <c r="B551" s="82"/>
      <c r="C551" s="70">
        <v>3020</v>
      </c>
      <c r="D551" s="91" t="s">
        <v>202</v>
      </c>
      <c r="E551" s="92">
        <v>890</v>
      </c>
    </row>
    <row r="552" spans="1:5" ht="15">
      <c r="A552" s="82"/>
      <c r="B552" s="82"/>
      <c r="C552" s="70"/>
      <c r="D552" s="91"/>
      <c r="E552" s="92"/>
    </row>
    <row r="553" spans="1:5" ht="15">
      <c r="A553" s="82"/>
      <c r="B553" s="82"/>
      <c r="C553" s="70">
        <v>4010</v>
      </c>
      <c r="D553" s="91" t="s">
        <v>20</v>
      </c>
      <c r="E553" s="92">
        <v>363630</v>
      </c>
    </row>
    <row r="554" spans="1:5" ht="15">
      <c r="A554" s="82"/>
      <c r="B554" s="82"/>
      <c r="C554" s="70"/>
      <c r="D554" s="91"/>
      <c r="E554" s="92"/>
    </row>
    <row r="555" spans="1:5" ht="15">
      <c r="A555" s="82"/>
      <c r="B555" s="82"/>
      <c r="C555" s="70">
        <v>4040</v>
      </c>
      <c r="D555" s="91" t="s">
        <v>21</v>
      </c>
      <c r="E555" s="92">
        <v>24920</v>
      </c>
    </row>
    <row r="556" spans="1:5" ht="15">
      <c r="A556" s="82"/>
      <c r="B556" s="82"/>
      <c r="C556" s="70"/>
      <c r="D556" s="91"/>
      <c r="E556" s="92"/>
    </row>
    <row r="557" spans="1:5" ht="15">
      <c r="A557" s="82"/>
      <c r="B557" s="82"/>
      <c r="C557" s="70">
        <v>4110</v>
      </c>
      <c r="D557" s="91" t="s">
        <v>118</v>
      </c>
      <c r="E557" s="92">
        <v>65590</v>
      </c>
    </row>
    <row r="558" spans="1:5" ht="15">
      <c r="A558" s="82"/>
      <c r="B558" s="82"/>
      <c r="C558" s="70"/>
      <c r="D558" s="91"/>
      <c r="E558" s="92"/>
    </row>
    <row r="559" spans="1:5" ht="15">
      <c r="A559" s="82"/>
      <c r="B559" s="82"/>
      <c r="C559" s="70">
        <v>4120</v>
      </c>
      <c r="D559" s="91" t="s">
        <v>23</v>
      </c>
      <c r="E559" s="92">
        <v>9330</v>
      </c>
    </row>
    <row r="560" spans="1:5" ht="15">
      <c r="A560" s="82"/>
      <c r="B560" s="82"/>
      <c r="C560" s="70"/>
      <c r="D560" s="91"/>
      <c r="E560" s="92"/>
    </row>
    <row r="561" spans="1:5" ht="30">
      <c r="A561" s="82"/>
      <c r="B561" s="82"/>
      <c r="C561" s="70">
        <v>4440</v>
      </c>
      <c r="D561" s="91" t="s">
        <v>28</v>
      </c>
      <c r="E561" s="92">
        <v>22500</v>
      </c>
    </row>
    <row r="562" spans="1:5" ht="15">
      <c r="A562" s="82"/>
      <c r="B562" s="82"/>
      <c r="C562" s="70"/>
      <c r="D562" s="91"/>
      <c r="E562" s="92"/>
    </row>
    <row r="563" spans="1:5" s="110" customFormat="1" ht="31.5">
      <c r="A563" s="82"/>
      <c r="B563" s="82">
        <v>80146</v>
      </c>
      <c r="C563" s="70"/>
      <c r="D563" s="100" t="s">
        <v>138</v>
      </c>
      <c r="E563" s="152">
        <f>SUM(E565:E569)</f>
        <v>43590</v>
      </c>
    </row>
    <row r="564" spans="1:5" ht="15">
      <c r="A564" s="82"/>
      <c r="B564" s="82"/>
      <c r="C564" s="70"/>
      <c r="D564" s="91"/>
      <c r="E564" s="151"/>
    </row>
    <row r="565" spans="1:5" ht="75">
      <c r="A565" s="82"/>
      <c r="B565" s="82"/>
      <c r="C565" s="70">
        <v>2310</v>
      </c>
      <c r="D565" s="91" t="s">
        <v>139</v>
      </c>
      <c r="E565" s="151">
        <v>5200</v>
      </c>
    </row>
    <row r="566" spans="1:5" ht="15">
      <c r="A566" s="82"/>
      <c r="B566" s="82"/>
      <c r="C566" s="70"/>
      <c r="D566" s="91"/>
      <c r="E566" s="151"/>
    </row>
    <row r="567" spans="1:5" ht="15">
      <c r="A567" s="82"/>
      <c r="B567" s="82"/>
      <c r="C567" s="70">
        <v>4300</v>
      </c>
      <c r="D567" s="91" t="s">
        <v>36</v>
      </c>
      <c r="E567" s="153">
        <v>29386</v>
      </c>
    </row>
    <row r="568" spans="1:5" ht="15">
      <c r="A568" s="82"/>
      <c r="B568" s="82"/>
      <c r="C568" s="70"/>
      <c r="D568" s="91"/>
      <c r="E568" s="151"/>
    </row>
    <row r="569" spans="1:5" ht="15">
      <c r="A569" s="82"/>
      <c r="B569" s="82"/>
      <c r="C569" s="70">
        <v>4410</v>
      </c>
      <c r="D569" s="91" t="s">
        <v>26</v>
      </c>
      <c r="E569" s="151">
        <v>9004</v>
      </c>
    </row>
    <row r="570" spans="1:5" ht="15">
      <c r="A570" s="82"/>
      <c r="B570" s="82"/>
      <c r="C570" s="70" t="s">
        <v>9</v>
      </c>
      <c r="D570" s="91"/>
      <c r="E570" s="151"/>
    </row>
    <row r="571" spans="1:5" ht="15">
      <c r="A571" s="82"/>
      <c r="B571" s="82" t="s">
        <v>37</v>
      </c>
      <c r="C571" s="70"/>
      <c r="D571" s="91"/>
      <c r="E571" s="151"/>
    </row>
    <row r="572" spans="1:5" ht="15.75">
      <c r="A572" s="82"/>
      <c r="B572" s="82"/>
      <c r="C572" s="70" t="s">
        <v>55</v>
      </c>
      <c r="D572" s="100" t="s">
        <v>140</v>
      </c>
      <c r="E572" s="154">
        <f>SUM(E574)</f>
        <v>5200</v>
      </c>
    </row>
    <row r="573" spans="1:5" ht="15">
      <c r="A573" s="82"/>
      <c r="B573" s="82"/>
      <c r="C573" s="70"/>
      <c r="D573" s="91"/>
      <c r="E573" s="151"/>
    </row>
    <row r="574" spans="1:5" ht="75">
      <c r="A574" s="82"/>
      <c r="B574" s="82"/>
      <c r="C574" s="70">
        <v>2310</v>
      </c>
      <c r="D574" s="91" t="s">
        <v>139</v>
      </c>
      <c r="E574" s="155">
        <v>5200</v>
      </c>
    </row>
    <row r="575" spans="1:5" ht="15">
      <c r="A575" s="82"/>
      <c r="B575" s="82"/>
      <c r="C575" s="70"/>
      <c r="D575" s="91"/>
      <c r="E575" s="151"/>
    </row>
    <row r="576" spans="1:5" ht="15.75">
      <c r="A576" s="82"/>
      <c r="B576" s="82"/>
      <c r="C576" s="70" t="s">
        <v>55</v>
      </c>
      <c r="D576" s="100" t="s">
        <v>238</v>
      </c>
      <c r="E576" s="155">
        <f>SUM(E578:E580)</f>
        <v>12458</v>
      </c>
    </row>
    <row r="577" spans="1:5" ht="15">
      <c r="A577" s="82"/>
      <c r="B577" s="82"/>
      <c r="C577" s="70"/>
      <c r="D577" s="91"/>
      <c r="E577" s="151"/>
    </row>
    <row r="578" spans="1:5" ht="15">
      <c r="A578" s="82"/>
      <c r="B578" s="82"/>
      <c r="C578" s="70">
        <v>4300</v>
      </c>
      <c r="D578" s="91" t="s">
        <v>36</v>
      </c>
      <c r="E578" s="155">
        <v>10026</v>
      </c>
    </row>
    <row r="579" spans="1:5" ht="15">
      <c r="A579" s="82"/>
      <c r="B579" s="82"/>
      <c r="C579" s="70"/>
      <c r="D579" s="91"/>
      <c r="E579" s="155"/>
    </row>
    <row r="580" spans="1:5" ht="15">
      <c r="A580" s="82"/>
      <c r="B580" s="82"/>
      <c r="C580" s="70">
        <v>4410</v>
      </c>
      <c r="D580" s="91" t="s">
        <v>26</v>
      </c>
      <c r="E580" s="155">
        <v>2432</v>
      </c>
    </row>
    <row r="581" spans="1:5" ht="15">
      <c r="A581" s="82"/>
      <c r="B581" s="82"/>
      <c r="C581" s="70"/>
      <c r="D581" s="91"/>
      <c r="E581" s="155"/>
    </row>
    <row r="582" spans="1:5" ht="15.75">
      <c r="A582" s="82"/>
      <c r="B582" s="82"/>
      <c r="C582" s="70" t="s">
        <v>55</v>
      </c>
      <c r="D582" s="100" t="s">
        <v>240</v>
      </c>
      <c r="E582" s="155">
        <f>SUM(E584:E586)</f>
        <v>12270</v>
      </c>
    </row>
    <row r="583" spans="1:5" ht="15">
      <c r="A583" s="82"/>
      <c r="B583" s="82"/>
      <c r="C583" s="70"/>
      <c r="D583" s="91"/>
      <c r="E583" s="155"/>
    </row>
    <row r="584" spans="1:5" ht="15">
      <c r="A584" s="82"/>
      <c r="B584" s="82"/>
      <c r="C584" s="70">
        <v>4300</v>
      </c>
      <c r="D584" s="91" t="s">
        <v>36</v>
      </c>
      <c r="E584" s="155">
        <v>11940</v>
      </c>
    </row>
    <row r="585" spans="1:5" ht="15">
      <c r="A585" s="82"/>
      <c r="B585" s="82"/>
      <c r="C585" s="70"/>
      <c r="D585" s="91"/>
      <c r="E585" s="155"/>
    </row>
    <row r="586" spans="1:5" ht="15">
      <c r="A586" s="82"/>
      <c r="B586" s="82"/>
      <c r="C586" s="70">
        <v>4410</v>
      </c>
      <c r="D586" s="91" t="s">
        <v>26</v>
      </c>
      <c r="E586" s="155">
        <v>330</v>
      </c>
    </row>
    <row r="587" spans="1:5" ht="15">
      <c r="A587" s="82"/>
      <c r="B587" s="82"/>
      <c r="C587" s="70"/>
      <c r="D587" s="91"/>
      <c r="E587" s="155"/>
    </row>
    <row r="588" spans="1:5" ht="15.75">
      <c r="A588" s="82"/>
      <c r="B588" s="82"/>
      <c r="C588" s="70" t="s">
        <v>55</v>
      </c>
      <c r="D588" s="100" t="s">
        <v>241</v>
      </c>
      <c r="E588" s="155">
        <f>SUM(E590:E592)</f>
        <v>11420</v>
      </c>
    </row>
    <row r="589" spans="1:5" ht="15">
      <c r="A589" s="82"/>
      <c r="B589" s="82"/>
      <c r="C589" s="70"/>
      <c r="D589" s="91"/>
      <c r="E589" s="155"/>
    </row>
    <row r="590" spans="1:5" ht="15">
      <c r="A590" s="82"/>
      <c r="B590" s="82"/>
      <c r="C590" s="70">
        <v>4300</v>
      </c>
      <c r="D590" s="91" t="s">
        <v>36</v>
      </c>
      <c r="E590" s="155">
        <v>7420</v>
      </c>
    </row>
    <row r="591" spans="1:5" ht="15">
      <c r="A591" s="82"/>
      <c r="B591" s="82"/>
      <c r="C591" s="70"/>
      <c r="D591" s="91"/>
      <c r="E591" s="155"/>
    </row>
    <row r="592" spans="1:5" ht="15">
      <c r="A592" s="82"/>
      <c r="B592" s="82"/>
      <c r="C592" s="70">
        <v>4410</v>
      </c>
      <c r="D592" s="91" t="s">
        <v>26</v>
      </c>
      <c r="E592" s="155">
        <v>4000</v>
      </c>
    </row>
    <row r="593" spans="1:5" ht="15">
      <c r="A593" s="82"/>
      <c r="B593" s="82"/>
      <c r="C593" s="70"/>
      <c r="D593" s="91"/>
      <c r="E593" s="155"/>
    </row>
    <row r="594" spans="1:5" ht="15.75">
      <c r="A594" s="82"/>
      <c r="B594" s="82"/>
      <c r="C594" s="70" t="s">
        <v>55</v>
      </c>
      <c r="D594" s="100" t="s">
        <v>242</v>
      </c>
      <c r="E594" s="155">
        <f>SUM(E596)</f>
        <v>2242</v>
      </c>
    </row>
    <row r="595" spans="1:5" ht="15">
      <c r="A595" s="82"/>
      <c r="B595" s="82"/>
      <c r="C595" s="70"/>
      <c r="D595" s="91"/>
      <c r="E595" s="155"/>
    </row>
    <row r="596" spans="1:5" ht="15">
      <c r="A596" s="82"/>
      <c r="B596" s="82"/>
      <c r="C596" s="70">
        <v>4410</v>
      </c>
      <c r="D596" s="91" t="s">
        <v>26</v>
      </c>
      <c r="E596" s="155">
        <v>2242</v>
      </c>
    </row>
    <row r="597" spans="1:5" ht="15">
      <c r="A597" s="82"/>
      <c r="B597" s="82"/>
      <c r="C597" s="70"/>
      <c r="D597" s="91"/>
      <c r="E597" s="151"/>
    </row>
    <row r="598" spans="1:5" s="110" customFormat="1" ht="15.75">
      <c r="A598" s="82"/>
      <c r="B598" s="86">
        <v>80195</v>
      </c>
      <c r="C598" s="70"/>
      <c r="D598" s="100" t="s">
        <v>48</v>
      </c>
      <c r="E598" s="145">
        <f>SUM(E599:E626)</f>
        <v>238760</v>
      </c>
    </row>
    <row r="599" spans="1:5" ht="15">
      <c r="A599" s="82"/>
      <c r="B599" s="82"/>
      <c r="C599" s="70"/>
      <c r="D599" s="91"/>
      <c r="E599" s="92"/>
    </row>
    <row r="600" spans="1:5" ht="30">
      <c r="A600" s="82"/>
      <c r="B600" s="82"/>
      <c r="C600" s="70">
        <v>3020</v>
      </c>
      <c r="D600" s="91" t="s">
        <v>202</v>
      </c>
      <c r="E600" s="92">
        <f>E651</f>
        <v>1200</v>
      </c>
    </row>
    <row r="601" spans="1:5" ht="15">
      <c r="A601" s="82"/>
      <c r="B601" s="82"/>
      <c r="C601" s="70"/>
      <c r="D601" s="91"/>
      <c r="E601" s="92"/>
    </row>
    <row r="602" spans="1:5" ht="15">
      <c r="A602" s="82"/>
      <c r="B602" s="82"/>
      <c r="C602" s="70">
        <v>4010</v>
      </c>
      <c r="D602" s="91" t="s">
        <v>20</v>
      </c>
      <c r="E602" s="92">
        <f>E630+E638+E653</f>
        <v>126100</v>
      </c>
    </row>
    <row r="603" spans="1:5" ht="15">
      <c r="A603" s="82"/>
      <c r="B603" s="82"/>
      <c r="C603" s="70"/>
      <c r="D603" s="91"/>
      <c r="E603" s="92"/>
    </row>
    <row r="604" spans="1:5" ht="15">
      <c r="A604" s="82"/>
      <c r="B604" s="82"/>
      <c r="C604" s="70">
        <v>4040</v>
      </c>
      <c r="D604" s="91" t="s">
        <v>21</v>
      </c>
      <c r="E604" s="92">
        <f>E640+E655</f>
        <v>9150</v>
      </c>
    </row>
    <row r="605" spans="1:5" ht="15">
      <c r="A605" s="82"/>
      <c r="B605" s="82"/>
      <c r="C605" s="70"/>
      <c r="D605" s="91"/>
      <c r="E605" s="92"/>
    </row>
    <row r="606" spans="1:5" ht="15">
      <c r="A606" s="82"/>
      <c r="B606" s="82"/>
      <c r="C606" s="70">
        <v>4110</v>
      </c>
      <c r="D606" s="91" t="s">
        <v>118</v>
      </c>
      <c r="E606" s="92">
        <f>E632+E642+E657</f>
        <v>23320</v>
      </c>
    </row>
    <row r="607" spans="1:5" ht="15">
      <c r="A607" s="82"/>
      <c r="B607" s="82"/>
      <c r="C607" s="70"/>
      <c r="D607" s="91"/>
      <c r="E607" s="92"/>
    </row>
    <row r="608" spans="1:5" ht="15">
      <c r="A608" s="82"/>
      <c r="B608" s="82"/>
      <c r="C608" s="70">
        <v>4120</v>
      </c>
      <c r="D608" s="91" t="s">
        <v>23</v>
      </c>
      <c r="E608" s="92">
        <f>E634+E644+E659</f>
        <v>3270</v>
      </c>
    </row>
    <row r="609" spans="1:5" ht="15">
      <c r="A609" s="82"/>
      <c r="B609" s="82"/>
      <c r="C609" s="70"/>
      <c r="D609" s="91"/>
      <c r="E609" s="92"/>
    </row>
    <row r="610" spans="1:5" ht="15">
      <c r="A610" s="82"/>
      <c r="B610" s="82"/>
      <c r="C610" s="70">
        <v>4170</v>
      </c>
      <c r="D610" s="91" t="s">
        <v>213</v>
      </c>
      <c r="E610" s="92">
        <v>2000</v>
      </c>
    </row>
    <row r="611" spans="1:5" ht="15">
      <c r="A611" s="82"/>
      <c r="B611" s="82"/>
      <c r="C611" s="70"/>
      <c r="D611" s="91"/>
      <c r="E611" s="92"/>
    </row>
    <row r="612" spans="1:6" ht="15">
      <c r="A612" s="82"/>
      <c r="B612" s="82"/>
      <c r="C612" s="70">
        <v>4210</v>
      </c>
      <c r="D612" s="91" t="s">
        <v>14</v>
      </c>
      <c r="E612" s="92">
        <f>9000+2500</f>
        <v>11500</v>
      </c>
      <c r="F612" s="93">
        <v>2500</v>
      </c>
    </row>
    <row r="613" spans="1:5" ht="15">
      <c r="A613" s="82"/>
      <c r="B613" s="82"/>
      <c r="C613" s="70"/>
      <c r="D613" s="91"/>
      <c r="E613" s="92"/>
    </row>
    <row r="614" spans="1:5" ht="15">
      <c r="A614" s="82"/>
      <c r="B614" s="82"/>
      <c r="C614" s="70">
        <v>4260</v>
      </c>
      <c r="D614" s="91" t="s">
        <v>24</v>
      </c>
      <c r="E614" s="92">
        <v>3150</v>
      </c>
    </row>
    <row r="615" spans="1:5" ht="15">
      <c r="A615" s="82"/>
      <c r="B615" s="82"/>
      <c r="C615" s="70"/>
      <c r="D615" s="91"/>
      <c r="E615" s="92"/>
    </row>
    <row r="616" spans="1:5" ht="15">
      <c r="A616" s="82"/>
      <c r="B616" s="82"/>
      <c r="C616" s="70">
        <v>4270</v>
      </c>
      <c r="D616" s="91" t="s">
        <v>32</v>
      </c>
      <c r="E616" s="92">
        <v>300</v>
      </c>
    </row>
    <row r="617" spans="1:5" ht="15">
      <c r="A617" s="82"/>
      <c r="B617" s="82"/>
      <c r="C617" s="70"/>
      <c r="D617" s="91"/>
      <c r="E617" s="92"/>
    </row>
    <row r="618" spans="1:5" ht="15">
      <c r="A618" s="82"/>
      <c r="B618" s="82"/>
      <c r="C618" s="70">
        <v>4300</v>
      </c>
      <c r="D618" s="91" t="s">
        <v>141</v>
      </c>
      <c r="E618" s="92">
        <f>10900-2000-1000</f>
        <v>7900</v>
      </c>
    </row>
    <row r="619" spans="1:5" ht="15">
      <c r="A619" s="82"/>
      <c r="B619" s="82"/>
      <c r="C619" s="70"/>
      <c r="D619" s="91"/>
      <c r="E619" s="92"/>
    </row>
    <row r="620" spans="1:5" ht="15">
      <c r="A620" s="82"/>
      <c r="B620" s="82"/>
      <c r="C620" s="70">
        <v>4350</v>
      </c>
      <c r="D620" s="91" t="s">
        <v>212</v>
      </c>
      <c r="E620" s="92">
        <v>1000</v>
      </c>
    </row>
    <row r="621" spans="1:5" ht="15">
      <c r="A621" s="82"/>
      <c r="B621" s="82"/>
      <c r="C621" s="70"/>
      <c r="D621" s="91"/>
      <c r="E621" s="92"/>
    </row>
    <row r="622" spans="1:5" ht="15">
      <c r="A622" s="82"/>
      <c r="B622" s="82"/>
      <c r="C622" s="70">
        <v>4410</v>
      </c>
      <c r="D622" s="91" t="s">
        <v>26</v>
      </c>
      <c r="E622" s="92">
        <v>530</v>
      </c>
    </row>
    <row r="623" spans="1:5" ht="15">
      <c r="A623" s="82"/>
      <c r="B623" s="82"/>
      <c r="C623" s="70"/>
      <c r="D623" s="91"/>
      <c r="E623" s="92"/>
    </row>
    <row r="624" spans="1:5" ht="15">
      <c r="A624" s="82"/>
      <c r="B624" s="82"/>
      <c r="C624" s="70">
        <v>4430</v>
      </c>
      <c r="D624" s="91" t="s">
        <v>27</v>
      </c>
      <c r="E624" s="92">
        <v>240</v>
      </c>
    </row>
    <row r="625" spans="1:5" ht="15">
      <c r="A625" s="82"/>
      <c r="B625" s="82"/>
      <c r="C625" s="70"/>
      <c r="D625" s="91"/>
      <c r="E625" s="92"/>
    </row>
    <row r="626" spans="1:5" ht="30">
      <c r="A626" s="82"/>
      <c r="B626" s="82"/>
      <c r="C626" s="70">
        <v>4440</v>
      </c>
      <c r="D626" s="91" t="s">
        <v>28</v>
      </c>
      <c r="E626" s="92">
        <f>E646+E677</f>
        <v>49100</v>
      </c>
    </row>
    <row r="627" spans="1:5" ht="15">
      <c r="A627" s="82"/>
      <c r="B627" s="82" t="s">
        <v>142</v>
      </c>
      <c r="C627" s="70"/>
      <c r="D627" s="91"/>
      <c r="E627" s="92"/>
    </row>
    <row r="628" spans="1:5" ht="31.5">
      <c r="A628" s="82"/>
      <c r="B628" s="82"/>
      <c r="C628" s="70" t="s">
        <v>55</v>
      </c>
      <c r="D628" s="100" t="s">
        <v>143</v>
      </c>
      <c r="E628" s="92">
        <f>SUM(E630:E634)</f>
        <v>14600</v>
      </c>
    </row>
    <row r="629" spans="1:5" ht="15">
      <c r="A629" s="82"/>
      <c r="B629" s="82"/>
      <c r="C629" s="70"/>
      <c r="D629" s="91"/>
      <c r="E629" s="92"/>
    </row>
    <row r="630" spans="1:5" ht="15">
      <c r="A630" s="82"/>
      <c r="B630" s="82"/>
      <c r="C630" s="70">
        <v>4010</v>
      </c>
      <c r="D630" s="91" t="s">
        <v>20</v>
      </c>
      <c r="E630" s="92">
        <v>12130</v>
      </c>
    </row>
    <row r="631" spans="1:5" ht="15">
      <c r="A631" s="82"/>
      <c r="B631" s="82"/>
      <c r="C631" s="70"/>
      <c r="D631" s="91"/>
      <c r="E631" s="92"/>
    </row>
    <row r="632" spans="1:5" ht="15">
      <c r="A632" s="82"/>
      <c r="B632" s="82"/>
      <c r="C632" s="70">
        <v>4110</v>
      </c>
      <c r="D632" s="91" t="s">
        <v>118</v>
      </c>
      <c r="E632" s="92">
        <v>2170</v>
      </c>
    </row>
    <row r="633" spans="1:5" ht="15">
      <c r="A633" s="82"/>
      <c r="B633" s="82"/>
      <c r="C633" s="70"/>
      <c r="D633" s="91"/>
      <c r="E633" s="92"/>
    </row>
    <row r="634" spans="1:5" ht="15">
      <c r="A634" s="82"/>
      <c r="B634" s="82"/>
      <c r="C634" s="70">
        <v>4120</v>
      </c>
      <c r="D634" s="91" t="s">
        <v>23</v>
      </c>
      <c r="E634" s="92">
        <v>300</v>
      </c>
    </row>
    <row r="635" spans="1:5" ht="15">
      <c r="A635" s="82"/>
      <c r="B635" s="82"/>
      <c r="C635" s="70"/>
      <c r="D635" s="91"/>
      <c r="E635" s="92"/>
    </row>
    <row r="636" spans="1:5" ht="31.5">
      <c r="A636" s="82"/>
      <c r="B636" s="82"/>
      <c r="C636" s="70" t="s">
        <v>55</v>
      </c>
      <c r="D636" s="100" t="s">
        <v>144</v>
      </c>
      <c r="E636" s="92">
        <f>SUM(E638:E646)</f>
        <v>90040</v>
      </c>
    </row>
    <row r="637" spans="1:5" ht="15">
      <c r="A637" s="82"/>
      <c r="B637" s="82"/>
      <c r="C637" s="70"/>
      <c r="D637" s="91"/>
      <c r="E637" s="92"/>
    </row>
    <row r="638" spans="1:5" ht="15">
      <c r="A638" s="82"/>
      <c r="B638" s="82"/>
      <c r="C638" s="70">
        <v>4010</v>
      </c>
      <c r="D638" s="91" t="s">
        <v>20</v>
      </c>
      <c r="E638" s="92">
        <v>34000</v>
      </c>
    </row>
    <row r="639" spans="1:5" ht="15">
      <c r="A639" s="82"/>
      <c r="B639" s="82"/>
      <c r="C639" s="70"/>
      <c r="D639" s="91"/>
      <c r="E639" s="92"/>
    </row>
    <row r="640" spans="1:5" ht="15">
      <c r="A640" s="82"/>
      <c r="B640" s="82"/>
      <c r="C640" s="70">
        <v>4040</v>
      </c>
      <c r="D640" s="91" t="s">
        <v>21</v>
      </c>
      <c r="E640" s="92">
        <v>2350</v>
      </c>
    </row>
    <row r="641" spans="1:5" ht="15">
      <c r="A641" s="82"/>
      <c r="B641" s="82"/>
      <c r="C641" s="70"/>
      <c r="D641" s="91"/>
      <c r="E641" s="92"/>
    </row>
    <row r="642" spans="1:5" ht="15">
      <c r="A642" s="82"/>
      <c r="B642" s="82"/>
      <c r="C642" s="70">
        <v>4110</v>
      </c>
      <c r="D642" s="91" t="s">
        <v>118</v>
      </c>
      <c r="E642" s="92">
        <v>6500</v>
      </c>
    </row>
    <row r="643" spans="1:5" ht="15">
      <c r="A643" s="82"/>
      <c r="B643" s="82"/>
      <c r="C643" s="70"/>
      <c r="D643" s="91"/>
      <c r="E643" s="92"/>
    </row>
    <row r="644" spans="1:5" ht="15">
      <c r="A644" s="82"/>
      <c r="B644" s="82"/>
      <c r="C644" s="70">
        <v>4120</v>
      </c>
      <c r="D644" s="91" t="s">
        <v>23</v>
      </c>
      <c r="E644" s="92">
        <v>890</v>
      </c>
    </row>
    <row r="645" spans="1:5" ht="15">
      <c r="A645" s="82"/>
      <c r="B645" s="82"/>
      <c r="C645" s="70"/>
      <c r="D645" s="91"/>
      <c r="E645" s="92"/>
    </row>
    <row r="646" spans="1:5" ht="30">
      <c r="A646" s="82"/>
      <c r="B646" s="82"/>
      <c r="C646" s="70">
        <v>4440</v>
      </c>
      <c r="D646" s="91" t="s">
        <v>28</v>
      </c>
      <c r="E646" s="92">
        <v>46300</v>
      </c>
    </row>
    <row r="647" spans="1:5" ht="15">
      <c r="A647" s="82"/>
      <c r="B647" s="82"/>
      <c r="C647" s="70"/>
      <c r="D647" s="91"/>
      <c r="E647" s="92"/>
    </row>
    <row r="648" spans="1:5" ht="15">
      <c r="A648" s="82"/>
      <c r="B648" s="82"/>
      <c r="C648" s="70"/>
      <c r="D648" s="91"/>
      <c r="E648" s="92"/>
    </row>
    <row r="649" spans="1:5" ht="15.75">
      <c r="A649" s="82"/>
      <c r="B649" s="82"/>
      <c r="C649" s="70" t="s">
        <v>55</v>
      </c>
      <c r="D649" s="100" t="s">
        <v>145</v>
      </c>
      <c r="E649" s="92">
        <f>SUM(E650:E677)</f>
        <v>134120</v>
      </c>
    </row>
    <row r="650" spans="1:5" ht="15">
      <c r="A650" s="82"/>
      <c r="B650" s="82"/>
      <c r="C650" s="70"/>
      <c r="D650" s="91"/>
      <c r="E650" s="92"/>
    </row>
    <row r="651" spans="1:5" ht="30">
      <c r="A651" s="82"/>
      <c r="B651" s="82"/>
      <c r="C651" s="70">
        <v>3020</v>
      </c>
      <c r="D651" s="91" t="s">
        <v>202</v>
      </c>
      <c r="E651" s="92">
        <v>1200</v>
      </c>
    </row>
    <row r="652" spans="1:5" ht="15">
      <c r="A652" s="82"/>
      <c r="B652" s="82"/>
      <c r="C652" s="70"/>
      <c r="D652" s="91"/>
      <c r="E652" s="92"/>
    </row>
    <row r="653" spans="1:5" ht="15">
      <c r="A653" s="82"/>
      <c r="B653" s="82"/>
      <c r="C653" s="70">
        <v>4010</v>
      </c>
      <c r="D653" s="91" t="s">
        <v>20</v>
      </c>
      <c r="E653" s="92">
        <v>79970</v>
      </c>
    </row>
    <row r="654" spans="1:5" ht="15">
      <c r="A654" s="82"/>
      <c r="B654" s="82"/>
      <c r="C654" s="70"/>
      <c r="D654" s="91"/>
      <c r="E654" s="92"/>
    </row>
    <row r="655" spans="1:5" ht="15">
      <c r="A655" s="82"/>
      <c r="B655" s="82"/>
      <c r="C655" s="70">
        <v>4040</v>
      </c>
      <c r="D655" s="91" t="s">
        <v>21</v>
      </c>
      <c r="E655" s="92">
        <v>6800</v>
      </c>
    </row>
    <row r="656" spans="1:5" ht="15">
      <c r="A656" s="82"/>
      <c r="B656" s="82"/>
      <c r="C656" s="70"/>
      <c r="D656" s="91"/>
      <c r="E656" s="92"/>
    </row>
    <row r="657" spans="1:5" ht="15">
      <c r="A657" s="82"/>
      <c r="B657" s="82"/>
      <c r="C657" s="70">
        <v>4110</v>
      </c>
      <c r="D657" s="91" t="s">
        <v>118</v>
      </c>
      <c r="E657" s="92">
        <v>14650</v>
      </c>
    </row>
    <row r="658" spans="1:5" ht="15">
      <c r="A658" s="82"/>
      <c r="B658" s="82"/>
      <c r="C658" s="70"/>
      <c r="D658" s="91"/>
      <c r="E658" s="92"/>
    </row>
    <row r="659" spans="1:5" ht="15">
      <c r="A659" s="82"/>
      <c r="B659" s="82"/>
      <c r="C659" s="70">
        <v>4120</v>
      </c>
      <c r="D659" s="91" t="s">
        <v>23</v>
      </c>
      <c r="E659" s="92">
        <v>2080</v>
      </c>
    </row>
    <row r="660" spans="1:5" ht="15">
      <c r="A660" s="82"/>
      <c r="B660" s="82"/>
      <c r="C660" s="70"/>
      <c r="D660" s="91"/>
      <c r="E660" s="92"/>
    </row>
    <row r="661" spans="1:5" ht="15">
      <c r="A661" s="82"/>
      <c r="B661" s="82"/>
      <c r="C661" s="70">
        <v>4170</v>
      </c>
      <c r="D661" s="91" t="s">
        <v>213</v>
      </c>
      <c r="E661" s="92">
        <v>2000</v>
      </c>
    </row>
    <row r="662" spans="1:5" ht="15">
      <c r="A662" s="82"/>
      <c r="B662" s="82"/>
      <c r="C662" s="70"/>
      <c r="D662" s="91"/>
      <c r="E662" s="92"/>
    </row>
    <row r="663" spans="1:5" ht="15">
      <c r="A663" s="82"/>
      <c r="B663" s="82"/>
      <c r="C663" s="70">
        <v>4210</v>
      </c>
      <c r="D663" s="91" t="s">
        <v>14</v>
      </c>
      <c r="E663" s="92">
        <f>9000+2500</f>
        <v>11500</v>
      </c>
    </row>
    <row r="664" spans="1:5" ht="15">
      <c r="A664" s="82"/>
      <c r="B664" s="82"/>
      <c r="C664" s="70"/>
      <c r="D664" s="91"/>
      <c r="E664" s="92"/>
    </row>
    <row r="665" spans="1:5" ht="15">
      <c r="A665" s="82"/>
      <c r="B665" s="82"/>
      <c r="C665" s="70">
        <v>4260</v>
      </c>
      <c r="D665" s="91" t="s">
        <v>24</v>
      </c>
      <c r="E665" s="92">
        <v>3150</v>
      </c>
    </row>
    <row r="666" spans="1:5" ht="15">
      <c r="A666" s="82"/>
      <c r="B666" s="82"/>
      <c r="C666" s="70"/>
      <c r="D666" s="91"/>
      <c r="E666" s="92"/>
    </row>
    <row r="667" spans="1:5" ht="15">
      <c r="A667" s="82"/>
      <c r="B667" s="82"/>
      <c r="C667" s="70">
        <v>4270</v>
      </c>
      <c r="D667" s="91" t="s">
        <v>32</v>
      </c>
      <c r="E667" s="92">
        <v>300</v>
      </c>
    </row>
    <row r="668" spans="1:5" ht="15">
      <c r="A668" s="82"/>
      <c r="B668" s="82"/>
      <c r="C668" s="70"/>
      <c r="D668" s="91"/>
      <c r="E668" s="92"/>
    </row>
    <row r="669" spans="1:5" ht="15">
      <c r="A669" s="82"/>
      <c r="B669" s="82"/>
      <c r="C669" s="70">
        <v>4300</v>
      </c>
      <c r="D669" s="91" t="s">
        <v>141</v>
      </c>
      <c r="E669" s="92">
        <f>10900-2000-1000</f>
        <v>7900</v>
      </c>
    </row>
    <row r="670" spans="1:5" ht="15">
      <c r="A670" s="82"/>
      <c r="B670" s="82"/>
      <c r="C670" s="70"/>
      <c r="D670" s="91"/>
      <c r="E670" s="92"/>
    </row>
    <row r="671" spans="1:5" ht="15">
      <c r="A671" s="82"/>
      <c r="B671" s="82"/>
      <c r="C671" s="70">
        <v>4350</v>
      </c>
      <c r="D671" s="91" t="s">
        <v>212</v>
      </c>
      <c r="E671" s="92">
        <v>1000</v>
      </c>
    </row>
    <row r="672" spans="1:5" ht="15">
      <c r="A672" s="82"/>
      <c r="B672" s="82"/>
      <c r="C672" s="70"/>
      <c r="D672" s="91"/>
      <c r="E672" s="92"/>
    </row>
    <row r="673" spans="1:5" ht="15">
      <c r="A673" s="82"/>
      <c r="B673" s="82"/>
      <c r="C673" s="70">
        <v>4410</v>
      </c>
      <c r="D673" s="91" t="s">
        <v>26</v>
      </c>
      <c r="E673" s="92">
        <v>530</v>
      </c>
    </row>
    <row r="674" spans="1:5" ht="15">
      <c r="A674" s="82"/>
      <c r="B674" s="82"/>
      <c r="C674" s="70"/>
      <c r="D674" s="91"/>
      <c r="E674" s="92"/>
    </row>
    <row r="675" spans="1:5" ht="15">
      <c r="A675" s="82"/>
      <c r="B675" s="82"/>
      <c r="C675" s="70">
        <v>4430</v>
      </c>
      <c r="D675" s="91" t="s">
        <v>27</v>
      </c>
      <c r="E675" s="92">
        <v>240</v>
      </c>
    </row>
    <row r="676" spans="1:5" ht="15">
      <c r="A676" s="82"/>
      <c r="B676" s="82"/>
      <c r="C676" s="70"/>
      <c r="D676" s="91"/>
      <c r="E676" s="92"/>
    </row>
    <row r="677" spans="1:5" ht="30">
      <c r="A677" s="82"/>
      <c r="B677" s="82"/>
      <c r="C677" s="70">
        <v>4440</v>
      </c>
      <c r="D677" s="91" t="s">
        <v>28</v>
      </c>
      <c r="E677" s="92">
        <v>2800</v>
      </c>
    </row>
    <row r="678" spans="1:5" ht="15">
      <c r="A678" s="82"/>
      <c r="B678" s="82"/>
      <c r="C678" s="70"/>
      <c r="D678" s="91"/>
      <c r="E678" s="92"/>
    </row>
    <row r="679" spans="1:5" s="117" customFormat="1" ht="15.75">
      <c r="A679" s="74">
        <v>803</v>
      </c>
      <c r="B679" s="74"/>
      <c r="C679" s="75"/>
      <c r="D679" s="139" t="s">
        <v>187</v>
      </c>
      <c r="E679" s="116">
        <f>E681</f>
        <v>38936</v>
      </c>
    </row>
    <row r="680" spans="1:5" ht="15">
      <c r="A680" s="118"/>
      <c r="B680" s="118"/>
      <c r="C680" s="119"/>
      <c r="D680" s="138"/>
      <c r="E680" s="132"/>
    </row>
    <row r="681" spans="1:5" s="110" customFormat="1" ht="15.75">
      <c r="A681" s="78"/>
      <c r="B681" s="78">
        <v>80309</v>
      </c>
      <c r="C681" s="79"/>
      <c r="D681" s="137" t="s">
        <v>188</v>
      </c>
      <c r="E681" s="131">
        <f>SUM(E682:E697)</f>
        <v>38936</v>
      </c>
    </row>
    <row r="682" spans="1:5" ht="15">
      <c r="A682" s="82"/>
      <c r="B682" s="82"/>
      <c r="C682" s="70"/>
      <c r="D682" s="91"/>
      <c r="E682" s="92"/>
    </row>
    <row r="683" spans="1:5" ht="15">
      <c r="A683" s="82"/>
      <c r="B683" s="82"/>
      <c r="C683" s="70">
        <v>3218</v>
      </c>
      <c r="D683" s="91" t="s">
        <v>189</v>
      </c>
      <c r="E683" s="92">
        <v>28350</v>
      </c>
    </row>
    <row r="684" spans="1:5" ht="15">
      <c r="A684" s="82"/>
      <c r="B684" s="82"/>
      <c r="C684" s="70"/>
      <c r="D684" s="91"/>
      <c r="E684" s="92"/>
    </row>
    <row r="685" spans="1:5" ht="15">
      <c r="A685" s="82"/>
      <c r="B685" s="82"/>
      <c r="C685" s="70">
        <v>3219</v>
      </c>
      <c r="D685" s="91" t="s">
        <v>189</v>
      </c>
      <c r="E685" s="92">
        <v>9450</v>
      </c>
    </row>
    <row r="686" spans="1:5" ht="15">
      <c r="A686" s="82"/>
      <c r="B686" s="82"/>
      <c r="C686" s="70"/>
      <c r="D686" s="91"/>
      <c r="E686" s="92"/>
    </row>
    <row r="687" spans="1:5" ht="15">
      <c r="A687" s="82"/>
      <c r="B687" s="82"/>
      <c r="C687" s="70">
        <v>4308</v>
      </c>
      <c r="D687" s="91" t="s">
        <v>141</v>
      </c>
      <c r="E687" s="92">
        <v>710</v>
      </c>
    </row>
    <row r="688" spans="1:5" ht="15">
      <c r="A688" s="82"/>
      <c r="B688" s="82"/>
      <c r="C688" s="70"/>
      <c r="D688" s="91"/>
      <c r="E688" s="92"/>
    </row>
    <row r="689" spans="1:5" ht="15">
      <c r="A689" s="82"/>
      <c r="B689" s="82"/>
      <c r="C689" s="70">
        <v>4309</v>
      </c>
      <c r="D689" s="91" t="s">
        <v>141</v>
      </c>
      <c r="E689" s="92">
        <v>237</v>
      </c>
    </row>
    <row r="690" spans="1:5" ht="15">
      <c r="A690" s="82"/>
      <c r="B690" s="82"/>
      <c r="C690" s="70"/>
      <c r="D690" s="91"/>
      <c r="E690" s="92"/>
    </row>
    <row r="691" spans="1:5" ht="15">
      <c r="A691" s="82"/>
      <c r="B691" s="82"/>
      <c r="C691" s="70">
        <v>4118</v>
      </c>
      <c r="D691" s="91" t="s">
        <v>118</v>
      </c>
      <c r="E691" s="92">
        <v>124</v>
      </c>
    </row>
    <row r="692" spans="1:5" ht="15">
      <c r="A692" s="82"/>
      <c r="B692" s="82"/>
      <c r="C692" s="70"/>
      <c r="D692" s="91"/>
      <c r="E692" s="92"/>
    </row>
    <row r="693" spans="1:5" ht="15">
      <c r="A693" s="82"/>
      <c r="B693" s="82"/>
      <c r="C693" s="70">
        <v>4119</v>
      </c>
      <c r="D693" s="91" t="s">
        <v>118</v>
      </c>
      <c r="E693" s="92">
        <v>41</v>
      </c>
    </row>
    <row r="694" spans="1:5" ht="15">
      <c r="A694" s="82"/>
      <c r="B694" s="82"/>
      <c r="C694" s="70"/>
      <c r="D694" s="91"/>
      <c r="E694" s="92"/>
    </row>
    <row r="695" spans="1:5" ht="15">
      <c r="A695" s="82"/>
      <c r="B695" s="82"/>
      <c r="C695" s="70">
        <v>4128</v>
      </c>
      <c r="D695" s="91" t="s">
        <v>23</v>
      </c>
      <c r="E695" s="92">
        <v>18</v>
      </c>
    </row>
    <row r="696" spans="1:5" ht="15">
      <c r="A696" s="82"/>
      <c r="B696" s="82"/>
      <c r="C696" s="70"/>
      <c r="D696" s="91"/>
      <c r="E696" s="92"/>
    </row>
    <row r="697" spans="1:5" ht="15">
      <c r="A697" s="82"/>
      <c r="B697" s="82"/>
      <c r="C697" s="70">
        <v>4129</v>
      </c>
      <c r="D697" s="91" t="s">
        <v>23</v>
      </c>
      <c r="E697" s="92">
        <v>6</v>
      </c>
    </row>
    <row r="698" spans="1:5" ht="15">
      <c r="A698" s="82"/>
      <c r="B698" s="82"/>
      <c r="C698" s="70"/>
      <c r="D698" s="91"/>
      <c r="E698" s="92"/>
    </row>
    <row r="699" spans="1:5" s="117" customFormat="1" ht="15.75">
      <c r="A699" s="74">
        <v>851</v>
      </c>
      <c r="B699" s="74"/>
      <c r="C699" s="75"/>
      <c r="D699" s="139" t="s">
        <v>56</v>
      </c>
      <c r="E699" s="116">
        <f>E701+E718+E714</f>
        <v>1397000</v>
      </c>
    </row>
    <row r="700" spans="1:5" ht="15">
      <c r="A700" s="118"/>
      <c r="B700" s="118"/>
      <c r="C700" s="119"/>
      <c r="D700" s="138"/>
      <c r="E700" s="132"/>
    </row>
    <row r="701" spans="1:5" s="110" customFormat="1" ht="63">
      <c r="A701" s="78"/>
      <c r="B701" s="78">
        <v>85156</v>
      </c>
      <c r="C701" s="79"/>
      <c r="D701" s="137" t="s">
        <v>92</v>
      </c>
      <c r="E701" s="131">
        <f>SUM(E702:E703)</f>
        <v>1355000</v>
      </c>
    </row>
    <row r="702" spans="1:5" ht="15">
      <c r="A702" s="125"/>
      <c r="B702" s="125"/>
      <c r="C702" s="126"/>
      <c r="D702" s="138"/>
      <c r="E702" s="132"/>
    </row>
    <row r="703" spans="1:5" ht="15">
      <c r="A703" s="122"/>
      <c r="B703" s="122"/>
      <c r="C703" s="127">
        <v>4130</v>
      </c>
      <c r="D703" s="138" t="s">
        <v>57</v>
      </c>
      <c r="E703" s="132">
        <v>1355000</v>
      </c>
    </row>
    <row r="704" spans="1:5" ht="15">
      <c r="A704" s="122"/>
      <c r="B704" s="122"/>
      <c r="C704" s="127"/>
      <c r="D704" s="138"/>
      <c r="E704" s="132"/>
    </row>
    <row r="705" spans="1:5" ht="15">
      <c r="A705" s="122"/>
      <c r="B705" s="122"/>
      <c r="C705" s="127" t="s">
        <v>93</v>
      </c>
      <c r="D705" s="138"/>
      <c r="E705" s="132"/>
    </row>
    <row r="706" spans="1:5" ht="31.5">
      <c r="A706" s="122"/>
      <c r="B706" s="122"/>
      <c r="C706" s="127"/>
      <c r="D706" s="137" t="s">
        <v>94</v>
      </c>
      <c r="E706" s="132">
        <f>SUM(E708)</f>
        <v>9500</v>
      </c>
    </row>
    <row r="707" spans="1:5" ht="15">
      <c r="A707" s="122"/>
      <c r="B707" s="122"/>
      <c r="C707" s="127"/>
      <c r="D707" s="138"/>
      <c r="E707" s="132"/>
    </row>
    <row r="708" spans="1:5" ht="15">
      <c r="A708" s="122"/>
      <c r="B708" s="122"/>
      <c r="C708" s="127">
        <v>4130</v>
      </c>
      <c r="D708" s="138" t="s">
        <v>57</v>
      </c>
      <c r="E708" s="132">
        <v>9500</v>
      </c>
    </row>
    <row r="709" spans="1:5" ht="15">
      <c r="A709" s="122"/>
      <c r="B709" s="122"/>
      <c r="C709" s="127"/>
      <c r="D709" s="138"/>
      <c r="E709" s="132"/>
    </row>
    <row r="710" spans="1:5" ht="15.75">
      <c r="A710" s="122"/>
      <c r="B710" s="122"/>
      <c r="C710" s="127"/>
      <c r="D710" s="137" t="s">
        <v>113</v>
      </c>
      <c r="E710" s="132">
        <f>SUM(E712)</f>
        <v>1345500</v>
      </c>
    </row>
    <row r="711" spans="1:5" ht="15">
      <c r="A711" s="122"/>
      <c r="B711" s="122"/>
      <c r="C711" s="127"/>
      <c r="D711" s="138"/>
      <c r="E711" s="132"/>
    </row>
    <row r="712" spans="1:5" ht="18" customHeight="1">
      <c r="A712" s="122"/>
      <c r="B712" s="122"/>
      <c r="C712" s="127">
        <v>4130</v>
      </c>
      <c r="D712" s="138" t="s">
        <v>57</v>
      </c>
      <c r="E712" s="132">
        <v>1345500</v>
      </c>
    </row>
    <row r="713" spans="1:5" ht="18" customHeight="1">
      <c r="A713" s="122"/>
      <c r="B713" s="122"/>
      <c r="C713" s="127"/>
      <c r="D713" s="138"/>
      <c r="E713" s="132"/>
    </row>
    <row r="714" spans="1:5" s="110" customFormat="1" ht="15.75">
      <c r="A714" s="78"/>
      <c r="B714" s="78">
        <v>85149</v>
      </c>
      <c r="C714" s="79"/>
      <c r="D714" s="137" t="s">
        <v>227</v>
      </c>
      <c r="E714" s="131">
        <f>SUM(E715:E716)</f>
        <v>40000</v>
      </c>
    </row>
    <row r="715" spans="1:5" ht="15">
      <c r="A715" s="125"/>
      <c r="B715" s="125"/>
      <c r="C715" s="126"/>
      <c r="D715" s="138"/>
      <c r="E715" s="132"/>
    </row>
    <row r="716" spans="1:6" ht="15">
      <c r="A716" s="122"/>
      <c r="B716" s="122"/>
      <c r="C716" s="127">
        <v>4280</v>
      </c>
      <c r="D716" s="91" t="s">
        <v>228</v>
      </c>
      <c r="E716" s="132">
        <v>40000</v>
      </c>
      <c r="F716" s="93">
        <v>40000</v>
      </c>
    </row>
    <row r="717" spans="1:5" ht="18" customHeight="1">
      <c r="A717" s="122"/>
      <c r="B717" s="122"/>
      <c r="C717" s="127"/>
      <c r="D717" s="138"/>
      <c r="E717" s="132"/>
    </row>
    <row r="718" spans="1:5" s="66" customFormat="1" ht="15.75">
      <c r="A718" s="78"/>
      <c r="B718" s="78">
        <v>85195</v>
      </c>
      <c r="C718" s="79"/>
      <c r="D718" s="137" t="s">
        <v>48</v>
      </c>
      <c r="E718" s="131">
        <f>E720</f>
        <v>2000</v>
      </c>
    </row>
    <row r="719" spans="1:5" s="66" customFormat="1" ht="15.75">
      <c r="A719" s="78"/>
      <c r="B719" s="78"/>
      <c r="C719" s="79"/>
      <c r="D719" s="137"/>
      <c r="E719" s="131"/>
    </row>
    <row r="720" spans="1:5" s="66" customFormat="1" ht="60">
      <c r="A720" s="78"/>
      <c r="B720" s="78"/>
      <c r="C720" s="77">
        <v>2820</v>
      </c>
      <c r="D720" s="138" t="s">
        <v>168</v>
      </c>
      <c r="E720" s="132">
        <v>2000</v>
      </c>
    </row>
    <row r="721" spans="1:5" s="66" customFormat="1" ht="15">
      <c r="A721" s="78"/>
      <c r="B721" s="78"/>
      <c r="C721" s="77"/>
      <c r="D721" s="138"/>
      <c r="E721" s="132"/>
    </row>
    <row r="722" spans="1:5" s="65" customFormat="1" ht="15.75">
      <c r="A722" s="74">
        <v>852</v>
      </c>
      <c r="B722" s="74"/>
      <c r="C722" s="75"/>
      <c r="D722" s="139" t="s">
        <v>95</v>
      </c>
      <c r="E722" s="116">
        <f>E724+E810+E1029+E1062+E1003+E1081</f>
        <v>12252110</v>
      </c>
    </row>
    <row r="723" spans="1:5" ht="15">
      <c r="A723" s="76"/>
      <c r="B723" s="76"/>
      <c r="C723" s="77"/>
      <c r="D723" s="138"/>
      <c r="E723" s="132"/>
    </row>
    <row r="724" spans="1:5" s="66" customFormat="1" ht="31.5">
      <c r="A724" s="78"/>
      <c r="B724" s="78">
        <v>85201</v>
      </c>
      <c r="C724" s="79"/>
      <c r="D724" s="137" t="s">
        <v>96</v>
      </c>
      <c r="E724" s="131">
        <f>SUM(E726:E762)</f>
        <v>1406800</v>
      </c>
    </row>
    <row r="725" spans="1:5" ht="15">
      <c r="A725" s="76"/>
      <c r="B725" s="76"/>
      <c r="C725" s="77"/>
      <c r="D725" s="138"/>
      <c r="E725" s="132"/>
    </row>
    <row r="726" spans="1:6" ht="30">
      <c r="A726" s="122"/>
      <c r="B726" s="122"/>
      <c r="C726" s="127">
        <v>3020</v>
      </c>
      <c r="D726" s="91" t="s">
        <v>202</v>
      </c>
      <c r="E726" s="132">
        <f>26700+2700</f>
        <v>29400</v>
      </c>
      <c r="F726" s="93">
        <v>2700</v>
      </c>
    </row>
    <row r="727" spans="1:5" ht="15">
      <c r="A727" s="122"/>
      <c r="B727" s="122"/>
      <c r="C727" s="127"/>
      <c r="D727" s="138"/>
      <c r="E727" s="132"/>
    </row>
    <row r="728" spans="1:6" ht="15">
      <c r="A728" s="122"/>
      <c r="B728" s="122"/>
      <c r="C728" s="127">
        <v>3110</v>
      </c>
      <c r="D728" s="138" t="s">
        <v>97</v>
      </c>
      <c r="E728" s="132">
        <f>134000-3500</f>
        <v>130500</v>
      </c>
      <c r="F728" s="93">
        <v>-3500</v>
      </c>
    </row>
    <row r="729" spans="1:5" ht="15">
      <c r="A729" s="122"/>
      <c r="B729" s="122"/>
      <c r="C729" s="127"/>
      <c r="D729" s="138"/>
      <c r="E729" s="132"/>
    </row>
    <row r="730" spans="1:6" ht="15">
      <c r="A730" s="122"/>
      <c r="B730" s="122"/>
      <c r="C730" s="127">
        <v>4010</v>
      </c>
      <c r="D730" s="138" t="s">
        <v>20</v>
      </c>
      <c r="E730" s="132">
        <f>606700-85000</f>
        <v>521700</v>
      </c>
      <c r="F730" s="93">
        <v>-85000</v>
      </c>
    </row>
    <row r="731" spans="1:5" ht="15">
      <c r="A731" s="122"/>
      <c r="B731" s="122"/>
      <c r="C731" s="127"/>
      <c r="D731" s="138"/>
      <c r="E731" s="132"/>
    </row>
    <row r="732" spans="1:6" ht="15">
      <c r="A732" s="122"/>
      <c r="B732" s="122"/>
      <c r="C732" s="127">
        <v>4040</v>
      </c>
      <c r="D732" s="138" t="s">
        <v>21</v>
      </c>
      <c r="E732" s="132">
        <f>48700-2700</f>
        <v>46000</v>
      </c>
      <c r="F732" s="93">
        <v>-2700</v>
      </c>
    </row>
    <row r="733" spans="1:5" ht="15">
      <c r="A733" s="122"/>
      <c r="B733" s="122"/>
      <c r="C733" s="127"/>
      <c r="D733" s="138"/>
      <c r="E733" s="132"/>
    </row>
    <row r="734" spans="1:6" ht="15">
      <c r="A734" s="122"/>
      <c r="B734" s="122"/>
      <c r="C734" s="127">
        <v>4110</v>
      </c>
      <c r="D734" s="138" t="s">
        <v>22</v>
      </c>
      <c r="E734" s="132">
        <f>111400-4700</f>
        <v>106700</v>
      </c>
      <c r="F734" s="93">
        <v>-4700</v>
      </c>
    </row>
    <row r="735" spans="1:5" ht="15">
      <c r="A735" s="122"/>
      <c r="B735" s="122"/>
      <c r="C735" s="127"/>
      <c r="D735" s="138"/>
      <c r="E735" s="132"/>
    </row>
    <row r="736" spans="1:6" ht="15">
      <c r="A736" s="122"/>
      <c r="B736" s="122"/>
      <c r="C736" s="127">
        <v>4120</v>
      </c>
      <c r="D736" s="138" t="s">
        <v>23</v>
      </c>
      <c r="E736" s="132">
        <f>16100-2200</f>
        <v>13900</v>
      </c>
      <c r="F736" s="93">
        <v>-2200</v>
      </c>
    </row>
    <row r="737" spans="1:5" ht="15">
      <c r="A737" s="122"/>
      <c r="B737" s="122"/>
      <c r="C737" s="127"/>
      <c r="D737" s="138"/>
      <c r="E737" s="132"/>
    </row>
    <row r="738" spans="1:5" ht="15">
      <c r="A738" s="122"/>
      <c r="B738" s="122"/>
      <c r="C738" s="127">
        <v>4210</v>
      </c>
      <c r="D738" s="138" t="s">
        <v>14</v>
      </c>
      <c r="E738" s="132">
        <v>30000</v>
      </c>
    </row>
    <row r="739" spans="1:5" ht="15">
      <c r="A739" s="122"/>
      <c r="B739" s="122"/>
      <c r="C739" s="127"/>
      <c r="D739" s="138"/>
      <c r="E739" s="132"/>
    </row>
    <row r="740" spans="1:6" ht="15">
      <c r="A740" s="122"/>
      <c r="B740" s="122"/>
      <c r="C740" s="127">
        <v>4220</v>
      </c>
      <c r="D740" s="138" t="s">
        <v>98</v>
      </c>
      <c r="E740" s="132">
        <f>60000-15000</f>
        <v>45000</v>
      </c>
      <c r="F740" s="93">
        <v>-15000</v>
      </c>
    </row>
    <row r="741" spans="1:5" ht="15">
      <c r="A741" s="122"/>
      <c r="B741" s="122"/>
      <c r="C741" s="127"/>
      <c r="D741" s="138"/>
      <c r="E741" s="132"/>
    </row>
    <row r="742" spans="1:6" ht="15">
      <c r="A742" s="122"/>
      <c r="B742" s="122"/>
      <c r="C742" s="127">
        <v>4230</v>
      </c>
      <c r="D742" s="138" t="s">
        <v>99</v>
      </c>
      <c r="E742" s="132">
        <f>3000-1000</f>
        <v>2000</v>
      </c>
      <c r="F742" s="93">
        <v>-1000</v>
      </c>
    </row>
    <row r="743" spans="1:5" ht="15">
      <c r="A743" s="122"/>
      <c r="B743" s="122"/>
      <c r="C743" s="127"/>
      <c r="D743" s="138"/>
      <c r="E743" s="132"/>
    </row>
    <row r="744" spans="1:6" ht="30">
      <c r="A744" s="122"/>
      <c r="B744" s="122"/>
      <c r="C744" s="127">
        <v>4240</v>
      </c>
      <c r="D744" s="138" t="s">
        <v>100</v>
      </c>
      <c r="E744" s="132">
        <f>2500-500</f>
        <v>2000</v>
      </c>
      <c r="F744" s="93">
        <v>-500</v>
      </c>
    </row>
    <row r="745" spans="1:5" ht="15">
      <c r="A745" s="122"/>
      <c r="B745" s="122"/>
      <c r="C745" s="127"/>
      <c r="D745" s="138"/>
      <c r="E745" s="132"/>
    </row>
    <row r="746" spans="1:5" ht="15">
      <c r="A746" s="122"/>
      <c r="B746" s="122"/>
      <c r="C746" s="127">
        <v>4260</v>
      </c>
      <c r="D746" s="138" t="s">
        <v>24</v>
      </c>
      <c r="E746" s="132">
        <v>18000</v>
      </c>
    </row>
    <row r="747" spans="1:5" ht="15">
      <c r="A747" s="122"/>
      <c r="B747" s="122"/>
      <c r="C747" s="127"/>
      <c r="D747" s="138"/>
      <c r="E747" s="132"/>
    </row>
    <row r="748" spans="1:5" ht="15">
      <c r="A748" s="122"/>
      <c r="B748" s="122"/>
      <c r="C748" s="127">
        <v>4270</v>
      </c>
      <c r="D748" s="138" t="s">
        <v>32</v>
      </c>
      <c r="E748" s="132">
        <v>1000</v>
      </c>
    </row>
    <row r="749" spans="1:5" ht="15">
      <c r="A749" s="122"/>
      <c r="B749" s="122"/>
      <c r="C749" s="127"/>
      <c r="D749" s="138"/>
      <c r="E749" s="132"/>
    </row>
    <row r="750" spans="1:5" ht="15">
      <c r="A750" s="122"/>
      <c r="B750" s="122"/>
      <c r="C750" s="127">
        <v>4300</v>
      </c>
      <c r="D750" s="138" t="s">
        <v>36</v>
      </c>
      <c r="E750" s="132">
        <f>360000-345000+10800-700</f>
        <v>25100</v>
      </c>
    </row>
    <row r="751" spans="1:5" ht="15">
      <c r="A751" s="122"/>
      <c r="B751" s="122"/>
      <c r="C751" s="127"/>
      <c r="D751" s="138"/>
      <c r="E751" s="132"/>
    </row>
    <row r="752" spans="1:6" ht="45">
      <c r="A752" s="122"/>
      <c r="B752" s="122"/>
      <c r="C752" s="127">
        <v>4330</v>
      </c>
      <c r="D752" s="138" t="s">
        <v>207</v>
      </c>
      <c r="E752" s="132">
        <f>345000+45500</f>
        <v>390500</v>
      </c>
      <c r="F752" s="93">
        <v>45500</v>
      </c>
    </row>
    <row r="753" spans="1:5" ht="15">
      <c r="A753" s="122"/>
      <c r="B753" s="122"/>
      <c r="C753" s="127"/>
      <c r="D753" s="138"/>
      <c r="E753" s="132"/>
    </row>
    <row r="754" spans="1:5" ht="15">
      <c r="A754" s="122"/>
      <c r="B754" s="122"/>
      <c r="C754" s="127">
        <v>4350</v>
      </c>
      <c r="D754" s="138" t="s">
        <v>218</v>
      </c>
      <c r="E754" s="132">
        <v>700</v>
      </c>
    </row>
    <row r="755" spans="1:5" ht="15">
      <c r="A755" s="122"/>
      <c r="B755" s="122"/>
      <c r="C755" s="127"/>
      <c r="D755" s="138"/>
      <c r="E755" s="132"/>
    </row>
    <row r="756" spans="1:5" ht="15">
      <c r="A756" s="122"/>
      <c r="B756" s="122"/>
      <c r="C756" s="127">
        <v>4410</v>
      </c>
      <c r="D756" s="138" t="s">
        <v>26</v>
      </c>
      <c r="E756" s="132">
        <v>3000</v>
      </c>
    </row>
    <row r="757" spans="1:5" ht="15">
      <c r="A757" s="122"/>
      <c r="B757" s="122"/>
      <c r="C757" s="127"/>
      <c r="D757" s="138"/>
      <c r="E757" s="132"/>
    </row>
    <row r="758" spans="1:5" ht="15">
      <c r="A758" s="122"/>
      <c r="B758" s="122"/>
      <c r="C758" s="127">
        <v>4430</v>
      </c>
      <c r="D758" s="138" t="s">
        <v>27</v>
      </c>
      <c r="E758" s="132">
        <v>4000</v>
      </c>
    </row>
    <row r="759" spans="1:5" ht="15">
      <c r="A759" s="122"/>
      <c r="B759" s="122"/>
      <c r="C759" s="127"/>
      <c r="D759" s="138"/>
      <c r="E759" s="132"/>
    </row>
    <row r="760" spans="1:5" ht="30">
      <c r="A760" s="122"/>
      <c r="B760" s="122"/>
      <c r="C760" s="127">
        <v>4440</v>
      </c>
      <c r="D760" s="138" t="s">
        <v>28</v>
      </c>
      <c r="E760" s="132">
        <v>31300</v>
      </c>
    </row>
    <row r="761" spans="1:5" ht="15">
      <c r="A761" s="122"/>
      <c r="B761" s="122"/>
      <c r="C761" s="127"/>
      <c r="D761" s="138"/>
      <c r="E761" s="132"/>
    </row>
    <row r="762" spans="1:5" ht="15">
      <c r="A762" s="122"/>
      <c r="B762" s="122"/>
      <c r="C762" s="127">
        <v>4480</v>
      </c>
      <c r="D762" s="138" t="s">
        <v>29</v>
      </c>
      <c r="E762" s="132">
        <v>6000</v>
      </c>
    </row>
    <row r="763" spans="1:5" ht="15">
      <c r="A763" s="122"/>
      <c r="B763" s="122"/>
      <c r="C763" s="127"/>
      <c r="D763" s="138"/>
      <c r="E763" s="132"/>
    </row>
    <row r="764" spans="1:5" s="66" customFormat="1" ht="31.5">
      <c r="A764" s="78"/>
      <c r="B764" s="78" t="s">
        <v>54</v>
      </c>
      <c r="C764" s="79" t="s">
        <v>55</v>
      </c>
      <c r="D764" s="137" t="s">
        <v>94</v>
      </c>
      <c r="E764" s="131">
        <f>SUM(E766:E800)</f>
        <v>880500</v>
      </c>
    </row>
    <row r="765" spans="1:5" ht="15">
      <c r="A765" s="76"/>
      <c r="B765" s="76"/>
      <c r="C765" s="77"/>
      <c r="D765" s="138"/>
      <c r="E765" s="132"/>
    </row>
    <row r="766" spans="1:5" ht="30">
      <c r="A766" s="122"/>
      <c r="B766" s="122"/>
      <c r="C766" s="127">
        <v>3020</v>
      </c>
      <c r="D766" s="91" t="s">
        <v>202</v>
      </c>
      <c r="E766" s="132">
        <v>29400</v>
      </c>
    </row>
    <row r="767" spans="1:5" ht="15">
      <c r="A767" s="122"/>
      <c r="B767" s="122"/>
      <c r="C767" s="127"/>
      <c r="D767" s="138"/>
      <c r="E767" s="132"/>
    </row>
    <row r="768" spans="1:5" ht="15">
      <c r="A768" s="122"/>
      <c r="B768" s="122"/>
      <c r="C768" s="127">
        <v>3110</v>
      </c>
      <c r="D768" s="138" t="s">
        <v>97</v>
      </c>
      <c r="E768" s="132">
        <v>5500</v>
      </c>
    </row>
    <row r="769" spans="1:5" ht="15">
      <c r="A769" s="122"/>
      <c r="B769" s="122"/>
      <c r="C769" s="127"/>
      <c r="D769" s="138"/>
      <c r="E769" s="132"/>
    </row>
    <row r="770" spans="1:5" ht="15">
      <c r="A770" s="122"/>
      <c r="B770" s="122"/>
      <c r="C770" s="127">
        <v>4010</v>
      </c>
      <c r="D770" s="138" t="s">
        <v>20</v>
      </c>
      <c r="E770" s="132">
        <v>521700</v>
      </c>
    </row>
    <row r="771" spans="1:5" ht="15">
      <c r="A771" s="122"/>
      <c r="B771" s="122"/>
      <c r="C771" s="127"/>
      <c r="D771" s="138"/>
      <c r="E771" s="132"/>
    </row>
    <row r="772" spans="1:5" ht="15">
      <c r="A772" s="122"/>
      <c r="B772" s="122"/>
      <c r="C772" s="127">
        <v>4040</v>
      </c>
      <c r="D772" s="138" t="s">
        <v>21</v>
      </c>
      <c r="E772" s="132">
        <v>46000</v>
      </c>
    </row>
    <row r="773" spans="1:5" ht="15">
      <c r="A773" s="122"/>
      <c r="B773" s="122"/>
      <c r="C773" s="127"/>
      <c r="D773" s="138"/>
      <c r="E773" s="132"/>
    </row>
    <row r="774" spans="1:5" ht="15">
      <c r="A774" s="122"/>
      <c r="B774" s="122"/>
      <c r="C774" s="127">
        <v>4110</v>
      </c>
      <c r="D774" s="138" t="s">
        <v>22</v>
      </c>
      <c r="E774" s="132">
        <v>106700</v>
      </c>
    </row>
    <row r="775" spans="1:5" ht="15">
      <c r="A775" s="122"/>
      <c r="B775" s="122"/>
      <c r="C775" s="127"/>
      <c r="D775" s="138"/>
      <c r="E775" s="132"/>
    </row>
    <row r="776" spans="1:5" ht="15">
      <c r="A776" s="122"/>
      <c r="B776" s="122"/>
      <c r="C776" s="127">
        <v>4120</v>
      </c>
      <c r="D776" s="138" t="s">
        <v>23</v>
      </c>
      <c r="E776" s="132">
        <v>13900</v>
      </c>
    </row>
    <row r="777" spans="1:5" ht="15">
      <c r="A777" s="122"/>
      <c r="B777" s="122"/>
      <c r="C777" s="127"/>
      <c r="D777" s="138"/>
      <c r="E777" s="132"/>
    </row>
    <row r="778" spans="1:5" ht="15">
      <c r="A778" s="122"/>
      <c r="B778" s="122"/>
      <c r="C778" s="127">
        <v>4210</v>
      </c>
      <c r="D778" s="138" t="s">
        <v>14</v>
      </c>
      <c r="E778" s="132">
        <v>30000</v>
      </c>
    </row>
    <row r="779" spans="1:5" ht="15">
      <c r="A779" s="122"/>
      <c r="B779" s="122"/>
      <c r="C779" s="127"/>
      <c r="D779" s="138"/>
      <c r="E779" s="132"/>
    </row>
    <row r="780" spans="1:5" ht="15">
      <c r="A780" s="122"/>
      <c r="B780" s="122"/>
      <c r="C780" s="127">
        <v>4220</v>
      </c>
      <c r="D780" s="138" t="s">
        <v>98</v>
      </c>
      <c r="E780" s="132">
        <v>45000</v>
      </c>
    </row>
    <row r="781" spans="1:5" ht="15">
      <c r="A781" s="122"/>
      <c r="B781" s="122"/>
      <c r="C781" s="127"/>
      <c r="D781" s="138"/>
      <c r="E781" s="132"/>
    </row>
    <row r="782" spans="1:5" ht="15">
      <c r="A782" s="122"/>
      <c r="B782" s="122"/>
      <c r="C782" s="127">
        <v>4230</v>
      </c>
      <c r="D782" s="138" t="s">
        <v>99</v>
      </c>
      <c r="E782" s="132">
        <v>2000</v>
      </c>
    </row>
    <row r="783" spans="1:5" ht="15">
      <c r="A783" s="122"/>
      <c r="B783" s="122"/>
      <c r="C783" s="127"/>
      <c r="D783" s="138"/>
      <c r="E783" s="132"/>
    </row>
    <row r="784" spans="1:5" ht="30">
      <c r="A784" s="122"/>
      <c r="B784" s="122"/>
      <c r="C784" s="127">
        <v>4240</v>
      </c>
      <c r="D784" s="138" t="s">
        <v>101</v>
      </c>
      <c r="E784" s="132">
        <v>2000</v>
      </c>
    </row>
    <row r="785" spans="1:5" ht="15">
      <c r="A785" s="122"/>
      <c r="B785" s="122"/>
      <c r="C785" s="127"/>
      <c r="D785" s="138"/>
      <c r="E785" s="132"/>
    </row>
    <row r="786" spans="1:5" ht="15">
      <c r="A786" s="122"/>
      <c r="B786" s="122"/>
      <c r="C786" s="127">
        <v>4260</v>
      </c>
      <c r="D786" s="138" t="s">
        <v>24</v>
      </c>
      <c r="E786" s="132">
        <v>18000</v>
      </c>
    </row>
    <row r="787" spans="1:5" ht="15">
      <c r="A787" s="122"/>
      <c r="B787" s="122"/>
      <c r="C787" s="127"/>
      <c r="D787" s="138"/>
      <c r="E787" s="132"/>
    </row>
    <row r="788" spans="1:5" ht="15">
      <c r="A788" s="122"/>
      <c r="B788" s="122"/>
      <c r="C788" s="127">
        <v>4270</v>
      </c>
      <c r="D788" s="138" t="s">
        <v>32</v>
      </c>
      <c r="E788" s="132">
        <v>1000</v>
      </c>
    </row>
    <row r="789" spans="1:5" ht="15">
      <c r="A789" s="122"/>
      <c r="B789" s="122"/>
      <c r="C789" s="127"/>
      <c r="D789" s="138"/>
      <c r="E789" s="132"/>
    </row>
    <row r="790" spans="1:5" ht="15">
      <c r="A790" s="122"/>
      <c r="B790" s="122"/>
      <c r="C790" s="127">
        <v>4300</v>
      </c>
      <c r="D790" s="138" t="s">
        <v>219</v>
      </c>
      <c r="E790" s="132">
        <f>15000-700</f>
        <v>14300</v>
      </c>
    </row>
    <row r="791" spans="1:5" ht="15">
      <c r="A791" s="122"/>
      <c r="B791" s="122"/>
      <c r="C791" s="127"/>
      <c r="D791" s="138"/>
      <c r="E791" s="132"/>
    </row>
    <row r="792" spans="1:5" ht="15">
      <c r="A792" s="122"/>
      <c r="B792" s="122"/>
      <c r="C792" s="127">
        <v>4350</v>
      </c>
      <c r="D792" s="138" t="s">
        <v>218</v>
      </c>
      <c r="E792" s="132">
        <v>700</v>
      </c>
    </row>
    <row r="793" spans="1:5" ht="15">
      <c r="A793" s="122"/>
      <c r="B793" s="122"/>
      <c r="C793" s="127"/>
      <c r="D793" s="138"/>
      <c r="E793" s="132"/>
    </row>
    <row r="794" spans="1:5" ht="15">
      <c r="A794" s="122"/>
      <c r="B794" s="122"/>
      <c r="C794" s="127">
        <v>4410</v>
      </c>
      <c r="D794" s="138" t="s">
        <v>26</v>
      </c>
      <c r="E794" s="132">
        <v>3000</v>
      </c>
    </row>
    <row r="795" spans="1:5" ht="15">
      <c r="A795" s="122"/>
      <c r="B795" s="122"/>
      <c r="C795" s="127"/>
      <c r="D795" s="138"/>
      <c r="E795" s="132"/>
    </row>
    <row r="796" spans="1:5" ht="15">
      <c r="A796" s="122"/>
      <c r="B796" s="122"/>
      <c r="C796" s="127">
        <v>4430</v>
      </c>
      <c r="D796" s="138" t="s">
        <v>27</v>
      </c>
      <c r="E796" s="132">
        <v>4000</v>
      </c>
    </row>
    <row r="797" spans="1:5" ht="15">
      <c r="A797" s="122"/>
      <c r="B797" s="122"/>
      <c r="C797" s="127"/>
      <c r="D797" s="138"/>
      <c r="E797" s="132"/>
    </row>
    <row r="798" spans="1:5" ht="30">
      <c r="A798" s="122"/>
      <c r="B798" s="122"/>
      <c r="C798" s="127">
        <v>4440</v>
      </c>
      <c r="D798" s="138" t="s">
        <v>28</v>
      </c>
      <c r="E798" s="132">
        <v>31300</v>
      </c>
    </row>
    <row r="799" spans="1:5" ht="15">
      <c r="A799" s="122"/>
      <c r="B799" s="122"/>
      <c r="C799" s="127"/>
      <c r="D799" s="138"/>
      <c r="E799" s="132"/>
    </row>
    <row r="800" spans="1:5" ht="15">
      <c r="A800" s="122"/>
      <c r="B800" s="122"/>
      <c r="C800" s="127">
        <v>4480</v>
      </c>
      <c r="D800" s="138" t="s">
        <v>29</v>
      </c>
      <c r="E800" s="132">
        <v>6000</v>
      </c>
    </row>
    <row r="801" spans="1:5" ht="15">
      <c r="A801" s="122"/>
      <c r="B801" s="122"/>
      <c r="C801" s="127"/>
      <c r="D801" s="138"/>
      <c r="E801" s="132"/>
    </row>
    <row r="802" spans="1:5" s="66" customFormat="1" ht="15.75">
      <c r="A802" s="78"/>
      <c r="B802" s="78"/>
      <c r="C802" s="79" t="s">
        <v>55</v>
      </c>
      <c r="D802" s="137" t="s">
        <v>102</v>
      </c>
      <c r="E802" s="131">
        <f>SUM(E804:E808)</f>
        <v>526300</v>
      </c>
    </row>
    <row r="803" spans="1:5" ht="15">
      <c r="A803" s="76"/>
      <c r="B803" s="76"/>
      <c r="C803" s="77"/>
      <c r="D803" s="138"/>
      <c r="E803" s="132"/>
    </row>
    <row r="804" spans="1:5" ht="15">
      <c r="A804" s="122"/>
      <c r="B804" s="122"/>
      <c r="C804" s="127">
        <v>3110</v>
      </c>
      <c r="D804" s="138" t="s">
        <v>97</v>
      </c>
      <c r="E804" s="132">
        <v>125000</v>
      </c>
    </row>
    <row r="805" spans="1:5" ht="15">
      <c r="A805" s="122"/>
      <c r="B805" s="122"/>
      <c r="C805" s="127"/>
      <c r="D805" s="138"/>
      <c r="E805" s="132"/>
    </row>
    <row r="806" spans="1:5" ht="15">
      <c r="A806" s="122"/>
      <c r="B806" s="122"/>
      <c r="C806" s="127">
        <v>4300</v>
      </c>
      <c r="D806" s="138" t="s">
        <v>219</v>
      </c>
      <c r="E806" s="132">
        <v>10800</v>
      </c>
    </row>
    <row r="807" spans="1:5" ht="15">
      <c r="A807" s="122"/>
      <c r="B807" s="122"/>
      <c r="C807" s="127"/>
      <c r="D807" s="138"/>
      <c r="E807" s="132"/>
    </row>
    <row r="808" spans="1:5" ht="45">
      <c r="A808" s="122"/>
      <c r="B808" s="122"/>
      <c r="C808" s="127">
        <v>4330</v>
      </c>
      <c r="D808" s="138" t="s">
        <v>207</v>
      </c>
      <c r="E808" s="132">
        <f>345000+45500</f>
        <v>390500</v>
      </c>
    </row>
    <row r="809" spans="1:5" ht="15">
      <c r="A809" s="122"/>
      <c r="B809" s="122"/>
      <c r="C809" s="127"/>
      <c r="D809" s="138"/>
      <c r="E809" s="132"/>
    </row>
    <row r="810" spans="1:5" s="66" customFormat="1" ht="15.75">
      <c r="A810" s="78"/>
      <c r="B810" s="78">
        <v>85202</v>
      </c>
      <c r="C810" s="79"/>
      <c r="D810" s="137" t="s">
        <v>103</v>
      </c>
      <c r="E810" s="131">
        <f>SUM(E812:E850)</f>
        <v>8811190</v>
      </c>
    </row>
    <row r="811" spans="1:5" ht="15">
      <c r="A811" s="76"/>
      <c r="B811" s="76"/>
      <c r="C811" s="77"/>
      <c r="D811" s="138"/>
      <c r="E811" s="132"/>
    </row>
    <row r="812" spans="1:5" ht="30">
      <c r="A812" s="122"/>
      <c r="B812" s="122"/>
      <c r="C812" s="127">
        <v>3020</v>
      </c>
      <c r="D812" s="138" t="s">
        <v>19</v>
      </c>
      <c r="E812" s="132">
        <v>57100</v>
      </c>
    </row>
    <row r="813" spans="1:5" ht="15">
      <c r="A813" s="122"/>
      <c r="B813" s="122"/>
      <c r="C813" s="127"/>
      <c r="D813" s="138"/>
      <c r="E813" s="132" t="s">
        <v>9</v>
      </c>
    </row>
    <row r="814" spans="1:6" ht="15">
      <c r="A814" s="122"/>
      <c r="B814" s="122"/>
      <c r="C814" s="127">
        <v>4010</v>
      </c>
      <c r="D814" s="138" t="s">
        <v>20</v>
      </c>
      <c r="E814" s="132">
        <f>4328900-8600+55400+42800</f>
        <v>4418500</v>
      </c>
      <c r="F814" s="93">
        <v>89600</v>
      </c>
    </row>
    <row r="815" spans="1:5" ht="15">
      <c r="A815" s="122"/>
      <c r="B815" s="122"/>
      <c r="C815" s="127"/>
      <c r="D815" s="138"/>
      <c r="E815" s="132"/>
    </row>
    <row r="816" spans="1:5" ht="15">
      <c r="A816" s="122"/>
      <c r="B816" s="122"/>
      <c r="C816" s="127">
        <v>4040</v>
      </c>
      <c r="D816" s="138" t="s">
        <v>21</v>
      </c>
      <c r="E816" s="132">
        <v>379000</v>
      </c>
    </row>
    <row r="817" spans="1:5" ht="15">
      <c r="A817" s="122"/>
      <c r="B817" s="122"/>
      <c r="C817" s="127"/>
      <c r="D817" s="138"/>
      <c r="E817" s="132"/>
    </row>
    <row r="818" spans="1:6" ht="15">
      <c r="A818" s="122"/>
      <c r="B818" s="122"/>
      <c r="C818" s="127">
        <v>4110</v>
      </c>
      <c r="D818" s="138" t="s">
        <v>22</v>
      </c>
      <c r="E818" s="132">
        <f>800300-1400+16100+7300</f>
        <v>822300</v>
      </c>
      <c r="F818" s="93">
        <v>22000</v>
      </c>
    </row>
    <row r="819" spans="1:5" ht="15">
      <c r="A819" s="122"/>
      <c r="B819" s="122"/>
      <c r="C819" s="127"/>
      <c r="D819" s="138"/>
      <c r="E819" s="132"/>
    </row>
    <row r="820" spans="1:6" ht="15">
      <c r="A820" s="122"/>
      <c r="B820" s="122"/>
      <c r="C820" s="127">
        <v>4120</v>
      </c>
      <c r="D820" s="138" t="s">
        <v>23</v>
      </c>
      <c r="E820" s="132">
        <f>115400-200+2300+1000</f>
        <v>118500</v>
      </c>
      <c r="F820" s="93">
        <v>3100</v>
      </c>
    </row>
    <row r="821" spans="1:5" ht="15">
      <c r="A821" s="122"/>
      <c r="B821" s="122"/>
      <c r="C821" s="127"/>
      <c r="D821" s="138"/>
      <c r="E821" s="132"/>
    </row>
    <row r="822" spans="1:5" ht="15">
      <c r="A822" s="122"/>
      <c r="B822" s="122"/>
      <c r="C822" s="127">
        <v>4170</v>
      </c>
      <c r="D822" s="138" t="s">
        <v>220</v>
      </c>
      <c r="E822" s="132">
        <f>15000+2000+5500+1000</f>
        <v>23500</v>
      </c>
    </row>
    <row r="823" spans="1:5" ht="15">
      <c r="A823" s="122"/>
      <c r="B823" s="122"/>
      <c r="C823" s="127"/>
      <c r="D823" s="138"/>
      <c r="E823" s="132"/>
    </row>
    <row r="824" spans="1:6" ht="15">
      <c r="A824" s="122"/>
      <c r="B824" s="122"/>
      <c r="C824" s="127">
        <v>4210</v>
      </c>
      <c r="D824" s="138" t="s">
        <v>14</v>
      </c>
      <c r="E824" s="132">
        <f>909900+60000+10000</f>
        <v>979900</v>
      </c>
      <c r="F824" s="93">
        <v>60000</v>
      </c>
    </row>
    <row r="825" spans="1:6" ht="15">
      <c r="A825" s="122"/>
      <c r="B825" s="122"/>
      <c r="C825" s="127"/>
      <c r="D825" s="138"/>
      <c r="E825" s="132"/>
      <c r="F825" s="93">
        <v>10000</v>
      </c>
    </row>
    <row r="826" spans="1:6" ht="15">
      <c r="A826" s="122"/>
      <c r="B826" s="122"/>
      <c r="C826" s="127">
        <v>4220</v>
      </c>
      <c r="D826" s="138" t="s">
        <v>98</v>
      </c>
      <c r="E826" s="132">
        <f>904750+45450</f>
        <v>950200</v>
      </c>
      <c r="F826" s="93">
        <v>45450</v>
      </c>
    </row>
    <row r="827" spans="1:5" ht="15">
      <c r="A827" s="122"/>
      <c r="B827" s="122"/>
      <c r="C827" s="127"/>
      <c r="D827" s="138"/>
      <c r="E827" s="132"/>
    </row>
    <row r="828" spans="1:5" ht="15">
      <c r="A828" s="122"/>
      <c r="B828" s="122"/>
      <c r="C828" s="127">
        <v>4230</v>
      </c>
      <c r="D828" s="138" t="s">
        <v>99</v>
      </c>
      <c r="E828" s="132">
        <v>111500</v>
      </c>
    </row>
    <row r="829" spans="1:5" ht="15">
      <c r="A829" s="122"/>
      <c r="B829" s="122"/>
      <c r="C829" s="127"/>
      <c r="D829" s="138"/>
      <c r="E829" s="132"/>
    </row>
    <row r="830" spans="1:5" ht="15">
      <c r="A830" s="122"/>
      <c r="B830" s="122"/>
      <c r="C830" s="127">
        <v>4260</v>
      </c>
      <c r="D830" s="138" t="s">
        <v>24</v>
      </c>
      <c r="E830" s="132">
        <v>262290</v>
      </c>
    </row>
    <row r="831" spans="1:5" ht="15">
      <c r="A831" s="122"/>
      <c r="B831" s="122"/>
      <c r="C831" s="127"/>
      <c r="D831" s="138"/>
      <c r="E831" s="132"/>
    </row>
    <row r="832" spans="1:5" ht="15">
      <c r="A832" s="122"/>
      <c r="B832" s="122"/>
      <c r="C832" s="127">
        <v>4270</v>
      </c>
      <c r="D832" s="138" t="s">
        <v>25</v>
      </c>
      <c r="E832" s="132">
        <v>8400</v>
      </c>
    </row>
    <row r="833" spans="1:5" ht="15">
      <c r="A833" s="122"/>
      <c r="B833" s="122"/>
      <c r="C833" s="127"/>
      <c r="D833" s="138"/>
      <c r="E833" s="132"/>
    </row>
    <row r="834" spans="1:5" ht="15">
      <c r="A834" s="122"/>
      <c r="B834" s="122"/>
      <c r="C834" s="127">
        <v>4280</v>
      </c>
      <c r="D834" s="138" t="s">
        <v>104</v>
      </c>
      <c r="E834" s="132">
        <v>4000</v>
      </c>
    </row>
    <row r="835" spans="1:5" ht="15">
      <c r="A835" s="122"/>
      <c r="B835" s="122"/>
      <c r="C835" s="127"/>
      <c r="D835" s="138"/>
      <c r="E835" s="132"/>
    </row>
    <row r="836" spans="1:5" ht="15">
      <c r="A836" s="122"/>
      <c r="B836" s="122"/>
      <c r="C836" s="127">
        <v>4300</v>
      </c>
      <c r="D836" s="138" t="s">
        <v>90</v>
      </c>
      <c r="E836" s="132">
        <f>423800-23500-7900</f>
        <v>392400</v>
      </c>
    </row>
    <row r="837" spans="1:5" ht="15">
      <c r="A837" s="122"/>
      <c r="B837" s="122"/>
      <c r="C837" s="127"/>
      <c r="D837" s="138"/>
      <c r="E837" s="132"/>
    </row>
    <row r="838" spans="1:5" ht="15">
      <c r="A838" s="122"/>
      <c r="B838" s="122"/>
      <c r="C838" s="127">
        <v>4350</v>
      </c>
      <c r="D838" s="138" t="s">
        <v>218</v>
      </c>
      <c r="E838" s="132">
        <f>3000+1900+1500+1500</f>
        <v>7900</v>
      </c>
    </row>
    <row r="839" spans="1:5" ht="15">
      <c r="A839" s="122"/>
      <c r="B839" s="122"/>
      <c r="C839" s="127"/>
      <c r="D839" s="138"/>
      <c r="E839" s="132"/>
    </row>
    <row r="840" spans="1:6" ht="15">
      <c r="A840" s="122"/>
      <c r="B840" s="122"/>
      <c r="C840" s="127">
        <v>4410</v>
      </c>
      <c r="D840" s="138" t="s">
        <v>26</v>
      </c>
      <c r="E840" s="132">
        <f>8500+4000</f>
        <v>12500</v>
      </c>
      <c r="F840" s="93">
        <v>4000</v>
      </c>
    </row>
    <row r="841" spans="1:5" ht="15">
      <c r="A841" s="122"/>
      <c r="B841" s="122"/>
      <c r="C841" s="127"/>
      <c r="D841" s="138"/>
      <c r="E841" s="132"/>
    </row>
    <row r="842" spans="1:5" ht="15">
      <c r="A842" s="122"/>
      <c r="B842" s="122"/>
      <c r="C842" s="127">
        <v>4430</v>
      </c>
      <c r="D842" s="138" t="s">
        <v>27</v>
      </c>
      <c r="E842" s="132">
        <v>25800</v>
      </c>
    </row>
    <row r="843" spans="1:5" ht="15">
      <c r="A843" s="122"/>
      <c r="B843" s="122"/>
      <c r="C843" s="127"/>
      <c r="D843" s="138"/>
      <c r="E843" s="132"/>
    </row>
    <row r="844" spans="1:6" ht="30">
      <c r="A844" s="122"/>
      <c r="B844" s="122"/>
      <c r="C844" s="127">
        <v>4440</v>
      </c>
      <c r="D844" s="138" t="s">
        <v>28</v>
      </c>
      <c r="E844" s="132">
        <f>170500-300+3800+1800</f>
        <v>175800</v>
      </c>
      <c r="F844" s="93">
        <v>5300</v>
      </c>
    </row>
    <row r="845" spans="1:5" ht="15">
      <c r="A845" s="122"/>
      <c r="B845" s="122"/>
      <c r="C845" s="127"/>
      <c r="D845" s="138"/>
      <c r="E845" s="132"/>
    </row>
    <row r="846" spans="1:5" ht="15">
      <c r="A846" s="122"/>
      <c r="B846" s="122"/>
      <c r="C846" s="127">
        <v>4480</v>
      </c>
      <c r="D846" s="138" t="s">
        <v>29</v>
      </c>
      <c r="E846" s="132">
        <v>27000</v>
      </c>
    </row>
    <row r="847" spans="1:5" ht="15">
      <c r="A847" s="122"/>
      <c r="B847" s="122"/>
      <c r="C847" s="127"/>
      <c r="D847" s="138"/>
      <c r="E847" s="132"/>
    </row>
    <row r="848" spans="1:5" ht="30">
      <c r="A848" s="122"/>
      <c r="B848" s="122"/>
      <c r="C848" s="127">
        <v>4520</v>
      </c>
      <c r="D848" s="138" t="s">
        <v>106</v>
      </c>
      <c r="E848" s="132">
        <v>4600</v>
      </c>
    </row>
    <row r="849" spans="1:5" ht="15">
      <c r="A849" s="122"/>
      <c r="B849" s="122"/>
      <c r="C849" s="127"/>
      <c r="D849" s="138"/>
      <c r="E849" s="132"/>
    </row>
    <row r="850" spans="1:6" ht="30">
      <c r="A850" s="82"/>
      <c r="B850" s="82"/>
      <c r="C850" s="83">
        <v>6050</v>
      </c>
      <c r="D850" s="98" t="s">
        <v>203</v>
      </c>
      <c r="E850" s="92">
        <v>30000</v>
      </c>
      <c r="F850" s="93">
        <v>30000</v>
      </c>
    </row>
    <row r="851" spans="1:5" ht="15">
      <c r="A851" s="122"/>
      <c r="B851" s="122"/>
      <c r="C851" s="127"/>
      <c r="D851" s="138"/>
      <c r="E851" s="132"/>
    </row>
    <row r="852" spans="1:5" ht="15">
      <c r="A852" s="122"/>
      <c r="B852" s="122"/>
      <c r="C852" s="127" t="s">
        <v>54</v>
      </c>
      <c r="D852" s="138"/>
      <c r="E852" s="132"/>
    </row>
    <row r="853" spans="1:5" s="110" customFormat="1" ht="15.75">
      <c r="A853" s="122"/>
      <c r="B853" s="122"/>
      <c r="C853" s="79" t="s">
        <v>55</v>
      </c>
      <c r="D853" s="137" t="s">
        <v>208</v>
      </c>
      <c r="E853" s="131">
        <f>SUM(E855:E890)</f>
        <v>1353400</v>
      </c>
    </row>
    <row r="854" spans="1:5" ht="15">
      <c r="A854" s="125"/>
      <c r="B854" s="125"/>
      <c r="C854" s="126"/>
      <c r="D854" s="138"/>
      <c r="E854" s="132"/>
    </row>
    <row r="855" spans="1:5" ht="30">
      <c r="A855" s="122"/>
      <c r="B855" s="122"/>
      <c r="C855" s="127">
        <v>3020</v>
      </c>
      <c r="D855" s="138" t="s">
        <v>19</v>
      </c>
      <c r="E855" s="132">
        <v>5800</v>
      </c>
    </row>
    <row r="856" spans="1:5" ht="15">
      <c r="A856" s="122"/>
      <c r="B856" s="122"/>
      <c r="C856" s="127"/>
      <c r="D856" s="138"/>
      <c r="E856" s="132"/>
    </row>
    <row r="857" spans="1:5" ht="15">
      <c r="A857" s="122"/>
      <c r="B857" s="122"/>
      <c r="C857" s="127">
        <v>4010</v>
      </c>
      <c r="D857" s="138" t="s">
        <v>20</v>
      </c>
      <c r="E857" s="132">
        <f>686900+42800</f>
        <v>729700</v>
      </c>
    </row>
    <row r="858" spans="1:5" ht="15">
      <c r="A858" s="122"/>
      <c r="B858" s="122"/>
      <c r="C858" s="127"/>
      <c r="D858" s="138"/>
      <c r="E858" s="132"/>
    </row>
    <row r="859" spans="1:5" ht="15">
      <c r="A859" s="122"/>
      <c r="B859" s="122"/>
      <c r="C859" s="127">
        <v>4040</v>
      </c>
      <c r="D859" s="138" t="s">
        <v>21</v>
      </c>
      <c r="E859" s="132">
        <v>64700</v>
      </c>
    </row>
    <row r="860" spans="1:5" ht="15">
      <c r="A860" s="122"/>
      <c r="B860" s="122"/>
      <c r="C860" s="127"/>
      <c r="D860" s="138"/>
      <c r="E860" s="132"/>
    </row>
    <row r="861" spans="1:5" ht="15">
      <c r="A861" s="122"/>
      <c r="B861" s="122"/>
      <c r="C861" s="127">
        <v>4110</v>
      </c>
      <c r="D861" s="138" t="s">
        <v>22</v>
      </c>
      <c r="E861" s="132">
        <f>127900+7300</f>
        <v>135200</v>
      </c>
    </row>
    <row r="862" spans="1:5" ht="15">
      <c r="A862" s="122"/>
      <c r="B862" s="122"/>
      <c r="C862" s="127"/>
      <c r="D862" s="138"/>
      <c r="E862" s="132"/>
    </row>
    <row r="863" spans="1:5" ht="15">
      <c r="A863" s="122"/>
      <c r="B863" s="122"/>
      <c r="C863" s="127">
        <v>4120</v>
      </c>
      <c r="D863" s="138" t="s">
        <v>23</v>
      </c>
      <c r="E863" s="132">
        <f>18400+1000</f>
        <v>19400</v>
      </c>
    </row>
    <row r="864" spans="1:5" ht="15">
      <c r="A864" s="122"/>
      <c r="B864" s="122"/>
      <c r="C864" s="127"/>
      <c r="D864" s="138"/>
      <c r="E864" s="132"/>
    </row>
    <row r="865" spans="1:5" ht="15">
      <c r="A865" s="122"/>
      <c r="B865" s="122"/>
      <c r="C865" s="127">
        <v>4170</v>
      </c>
      <c r="D865" s="138" t="s">
        <v>217</v>
      </c>
      <c r="E865" s="132">
        <v>1000</v>
      </c>
    </row>
    <row r="866" spans="1:5" ht="15">
      <c r="A866" s="122"/>
      <c r="B866" s="122"/>
      <c r="C866" s="127"/>
      <c r="D866" s="138"/>
      <c r="E866" s="132"/>
    </row>
    <row r="867" spans="1:5" ht="15">
      <c r="A867" s="122"/>
      <c r="B867" s="122"/>
      <c r="C867" s="127">
        <v>4210</v>
      </c>
      <c r="D867" s="138" t="s">
        <v>14</v>
      </c>
      <c r="E867" s="132">
        <f>103400+5000</f>
        <v>108400</v>
      </c>
    </row>
    <row r="868" spans="1:5" ht="15">
      <c r="A868" s="122"/>
      <c r="B868" s="122"/>
      <c r="C868" s="127"/>
      <c r="D868" s="138"/>
      <c r="E868" s="132"/>
    </row>
    <row r="869" spans="1:5" ht="15">
      <c r="A869" s="122"/>
      <c r="B869" s="122"/>
      <c r="C869" s="127">
        <v>4220</v>
      </c>
      <c r="D869" s="138" t="s">
        <v>98</v>
      </c>
      <c r="E869" s="132">
        <v>149400</v>
      </c>
    </row>
    <row r="870" spans="1:5" ht="15">
      <c r="A870" s="122"/>
      <c r="B870" s="122"/>
      <c r="C870" s="127"/>
      <c r="D870" s="138"/>
      <c r="E870" s="132"/>
    </row>
    <row r="871" spans="1:5" ht="15">
      <c r="A871" s="122"/>
      <c r="B871" s="122"/>
      <c r="C871" s="127">
        <v>4230</v>
      </c>
      <c r="D871" s="138" t="s">
        <v>99</v>
      </c>
      <c r="E871" s="132">
        <v>17500</v>
      </c>
    </row>
    <row r="872" spans="1:5" ht="15">
      <c r="A872" s="122"/>
      <c r="B872" s="122"/>
      <c r="C872" s="127"/>
      <c r="D872" s="138"/>
      <c r="E872" s="132"/>
    </row>
    <row r="873" spans="1:5" ht="15">
      <c r="A873" s="122"/>
      <c r="B873" s="122"/>
      <c r="C873" s="127">
        <v>4260</v>
      </c>
      <c r="D873" s="138" t="s">
        <v>24</v>
      </c>
      <c r="E873" s="132">
        <v>12700</v>
      </c>
    </row>
    <row r="874" spans="1:5" ht="15">
      <c r="A874" s="122"/>
      <c r="B874" s="122"/>
      <c r="C874" s="127"/>
      <c r="D874" s="138"/>
      <c r="E874" s="132"/>
    </row>
    <row r="875" spans="1:5" ht="15">
      <c r="A875" s="122"/>
      <c r="B875" s="122"/>
      <c r="C875" s="127">
        <v>4270</v>
      </c>
      <c r="D875" s="138" t="s">
        <v>25</v>
      </c>
      <c r="E875" s="132">
        <v>1200</v>
      </c>
    </row>
    <row r="876" spans="1:5" ht="15">
      <c r="A876" s="122"/>
      <c r="B876" s="122"/>
      <c r="C876" s="127"/>
      <c r="D876" s="138"/>
      <c r="E876" s="132"/>
    </row>
    <row r="877" spans="1:5" ht="15">
      <c r="A877" s="122"/>
      <c r="B877" s="122"/>
      <c r="C877" s="127">
        <v>4300</v>
      </c>
      <c r="D877" s="138" t="s">
        <v>90</v>
      </c>
      <c r="E877" s="132">
        <f>66100-1000-1900</f>
        <v>63200</v>
      </c>
    </row>
    <row r="878" spans="1:5" ht="15">
      <c r="A878" s="122"/>
      <c r="B878" s="122"/>
      <c r="C878" s="127"/>
      <c r="D878" s="138"/>
      <c r="E878" s="132"/>
    </row>
    <row r="879" spans="1:5" ht="15">
      <c r="A879" s="122"/>
      <c r="B879" s="122"/>
      <c r="C879" s="127">
        <v>4350</v>
      </c>
      <c r="D879" s="138" t="s">
        <v>221</v>
      </c>
      <c r="E879" s="132">
        <v>1900</v>
      </c>
    </row>
    <row r="880" spans="1:5" ht="15">
      <c r="A880" s="122"/>
      <c r="B880" s="122"/>
      <c r="C880" s="127"/>
      <c r="D880" s="138"/>
      <c r="E880" s="132"/>
    </row>
    <row r="881" spans="1:5" ht="15">
      <c r="A881" s="122"/>
      <c r="B881" s="122"/>
      <c r="C881" s="127">
        <v>4410</v>
      </c>
      <c r="D881" s="138" t="s">
        <v>26</v>
      </c>
      <c r="E881" s="132">
        <v>2000</v>
      </c>
    </row>
    <row r="882" spans="1:5" ht="15">
      <c r="A882" s="122"/>
      <c r="B882" s="122"/>
      <c r="C882" s="127"/>
      <c r="D882" s="138"/>
      <c r="E882" s="132"/>
    </row>
    <row r="883" spans="1:5" ht="15">
      <c r="A883" s="122"/>
      <c r="B883" s="122"/>
      <c r="C883" s="127">
        <v>4430</v>
      </c>
      <c r="D883" s="138" t="s">
        <v>27</v>
      </c>
      <c r="E883" s="132">
        <v>6300</v>
      </c>
    </row>
    <row r="884" spans="1:5" ht="15">
      <c r="A884" s="122"/>
      <c r="B884" s="122"/>
      <c r="C884" s="127"/>
      <c r="D884" s="138"/>
      <c r="E884" s="132"/>
    </row>
    <row r="885" spans="1:5" ht="30">
      <c r="A885" s="122"/>
      <c r="B885" s="122"/>
      <c r="C885" s="127">
        <v>4440</v>
      </c>
      <c r="D885" s="138" t="s">
        <v>28</v>
      </c>
      <c r="E885" s="132">
        <f>27300+1800</f>
        <v>29100</v>
      </c>
    </row>
    <row r="886" spans="1:5" ht="15">
      <c r="A886" s="122"/>
      <c r="B886" s="122"/>
      <c r="C886" s="127"/>
      <c r="D886" s="138"/>
      <c r="E886" s="132"/>
    </row>
    <row r="887" spans="1:5" ht="15">
      <c r="A887" s="122"/>
      <c r="B887" s="122"/>
      <c r="C887" s="127">
        <v>4480</v>
      </c>
      <c r="D887" s="138" t="s">
        <v>29</v>
      </c>
      <c r="E887" s="132">
        <v>1300</v>
      </c>
    </row>
    <row r="888" spans="1:5" ht="15">
      <c r="A888" s="122"/>
      <c r="B888" s="122"/>
      <c r="C888" s="127"/>
      <c r="D888" s="138"/>
      <c r="E888" s="132"/>
    </row>
    <row r="889" spans="1:5" ht="30">
      <c r="A889" s="122"/>
      <c r="B889" s="122"/>
      <c r="C889" s="127">
        <v>4520</v>
      </c>
      <c r="D889" s="138" t="s">
        <v>182</v>
      </c>
      <c r="E889" s="132">
        <v>4600</v>
      </c>
    </row>
    <row r="890" spans="1:5" ht="15">
      <c r="A890" s="122"/>
      <c r="B890" s="122"/>
      <c r="C890" s="127"/>
      <c r="D890" s="138"/>
      <c r="E890" s="132"/>
    </row>
    <row r="891" spans="1:5" s="110" customFormat="1" ht="15.75">
      <c r="A891" s="78"/>
      <c r="B891" s="78"/>
      <c r="C891" s="79" t="s">
        <v>55</v>
      </c>
      <c r="D891" s="137" t="s">
        <v>209</v>
      </c>
      <c r="E891" s="131">
        <f>SUM(E893:E927)</f>
        <v>4312590</v>
      </c>
    </row>
    <row r="892" spans="1:5" ht="15">
      <c r="A892" s="125"/>
      <c r="B892" s="125"/>
      <c r="C892" s="126"/>
      <c r="D892" s="138"/>
      <c r="E892" s="132"/>
    </row>
    <row r="893" spans="1:5" ht="30">
      <c r="A893" s="122"/>
      <c r="B893" s="122"/>
      <c r="C893" s="127">
        <v>3020</v>
      </c>
      <c r="D893" s="138" t="s">
        <v>19</v>
      </c>
      <c r="E893" s="132">
        <v>34100</v>
      </c>
    </row>
    <row r="894" spans="1:5" ht="15">
      <c r="A894" s="122"/>
      <c r="B894" s="122"/>
      <c r="C894" s="127"/>
      <c r="D894" s="138"/>
      <c r="E894" s="132"/>
    </row>
    <row r="895" spans="1:5" ht="15">
      <c r="A895" s="122"/>
      <c r="B895" s="122"/>
      <c r="C895" s="127">
        <v>4010</v>
      </c>
      <c r="D895" s="138" t="s">
        <v>20</v>
      </c>
      <c r="E895" s="132">
        <v>2100500</v>
      </c>
    </row>
    <row r="896" spans="1:5" ht="15">
      <c r="A896" s="122"/>
      <c r="B896" s="122"/>
      <c r="C896" s="127"/>
      <c r="D896" s="138"/>
      <c r="E896" s="132"/>
    </row>
    <row r="897" spans="1:5" ht="15">
      <c r="A897" s="122"/>
      <c r="B897" s="122"/>
      <c r="C897" s="127">
        <v>4040</v>
      </c>
      <c r="D897" s="138" t="s">
        <v>21</v>
      </c>
      <c r="E897" s="132">
        <v>176100</v>
      </c>
    </row>
    <row r="898" spans="1:5" ht="15">
      <c r="A898" s="122"/>
      <c r="B898" s="122"/>
      <c r="C898" s="127"/>
      <c r="D898" s="138"/>
      <c r="E898" s="132"/>
    </row>
    <row r="899" spans="1:5" ht="15">
      <c r="A899" s="122"/>
      <c r="B899" s="122"/>
      <c r="C899" s="127">
        <v>4110</v>
      </c>
      <c r="D899" s="138" t="s">
        <v>22</v>
      </c>
      <c r="E899" s="132">
        <v>386900</v>
      </c>
    </row>
    <row r="900" spans="1:5" ht="15">
      <c r="A900" s="122"/>
      <c r="B900" s="122"/>
      <c r="C900" s="127"/>
      <c r="D900" s="138"/>
      <c r="E900" s="132"/>
    </row>
    <row r="901" spans="1:5" ht="15">
      <c r="A901" s="122"/>
      <c r="B901" s="122"/>
      <c r="C901" s="127">
        <v>4120</v>
      </c>
      <c r="D901" s="138" t="s">
        <v>23</v>
      </c>
      <c r="E901" s="132">
        <v>55800</v>
      </c>
    </row>
    <row r="902" spans="1:5" ht="15">
      <c r="A902" s="122"/>
      <c r="B902" s="122"/>
      <c r="C902" s="127"/>
      <c r="D902" s="138"/>
      <c r="E902" s="132"/>
    </row>
    <row r="903" spans="1:5" ht="15">
      <c r="A903" s="122"/>
      <c r="B903" s="122"/>
      <c r="C903" s="127">
        <v>4170</v>
      </c>
      <c r="D903" s="138" t="s">
        <v>220</v>
      </c>
      <c r="E903" s="132">
        <v>5500</v>
      </c>
    </row>
    <row r="904" spans="1:5" ht="15">
      <c r="A904" s="122"/>
      <c r="B904" s="122"/>
      <c r="C904" s="127"/>
      <c r="D904" s="138"/>
      <c r="E904" s="132"/>
    </row>
    <row r="905" spans="1:5" ht="15">
      <c r="A905" s="122"/>
      <c r="B905" s="122"/>
      <c r="C905" s="127">
        <v>4210</v>
      </c>
      <c r="D905" s="138" t="s">
        <v>14</v>
      </c>
      <c r="E905" s="132">
        <f>493500+60000</f>
        <v>553500</v>
      </c>
    </row>
    <row r="906" spans="1:5" ht="15">
      <c r="A906" s="122"/>
      <c r="B906" s="122"/>
      <c r="C906" s="127"/>
      <c r="D906" s="138"/>
      <c r="E906" s="132"/>
    </row>
    <row r="907" spans="1:5" ht="15">
      <c r="A907" s="122"/>
      <c r="B907" s="122"/>
      <c r="C907" s="127">
        <v>4220</v>
      </c>
      <c r="D907" s="138" t="s">
        <v>98</v>
      </c>
      <c r="E907" s="132">
        <f>409050+45450</f>
        <v>454500</v>
      </c>
    </row>
    <row r="908" spans="1:5" ht="15">
      <c r="A908" s="122"/>
      <c r="B908" s="122"/>
      <c r="C908" s="127"/>
      <c r="D908" s="138"/>
      <c r="E908" s="132"/>
    </row>
    <row r="909" spans="1:5" ht="15">
      <c r="A909" s="122"/>
      <c r="B909" s="122"/>
      <c r="C909" s="127">
        <v>4230</v>
      </c>
      <c r="D909" s="138" t="s">
        <v>99</v>
      </c>
      <c r="E909" s="132">
        <v>53300</v>
      </c>
    </row>
    <row r="910" spans="1:5" ht="15">
      <c r="A910" s="122"/>
      <c r="B910" s="122"/>
      <c r="C910" s="127"/>
      <c r="D910" s="138"/>
      <c r="E910" s="132"/>
    </row>
    <row r="911" spans="1:5" ht="15">
      <c r="A911" s="122"/>
      <c r="B911" s="122"/>
      <c r="C911" s="127">
        <v>4260</v>
      </c>
      <c r="D911" s="138" t="s">
        <v>24</v>
      </c>
      <c r="E911" s="132">
        <v>139590</v>
      </c>
    </row>
    <row r="912" spans="1:5" ht="15">
      <c r="A912" s="122"/>
      <c r="B912" s="122"/>
      <c r="C912" s="127"/>
      <c r="D912" s="138"/>
      <c r="E912" s="132"/>
    </row>
    <row r="913" spans="1:5" ht="15">
      <c r="A913" s="122"/>
      <c r="B913" s="122"/>
      <c r="C913" s="127">
        <v>4270</v>
      </c>
      <c r="D913" s="138" t="s">
        <v>25</v>
      </c>
      <c r="E913" s="132">
        <v>4200</v>
      </c>
    </row>
    <row r="914" spans="1:5" ht="15">
      <c r="A914" s="122"/>
      <c r="B914" s="122"/>
      <c r="C914" s="127"/>
      <c r="D914" s="138"/>
      <c r="E914" s="132"/>
    </row>
    <row r="915" spans="1:5" ht="15">
      <c r="A915" s="122"/>
      <c r="B915" s="122"/>
      <c r="C915" s="127">
        <v>4280</v>
      </c>
      <c r="D915" s="138" t="s">
        <v>104</v>
      </c>
      <c r="E915" s="132">
        <v>4000</v>
      </c>
    </row>
    <row r="916" spans="1:5" ht="15">
      <c r="A916" s="122"/>
      <c r="B916" s="122"/>
      <c r="C916" s="127"/>
      <c r="D916" s="138"/>
      <c r="E916" s="132"/>
    </row>
    <row r="917" spans="1:5" ht="15">
      <c r="A917" s="122"/>
      <c r="B917" s="122"/>
      <c r="C917" s="127">
        <v>4300</v>
      </c>
      <c r="D917" s="138" t="s">
        <v>90</v>
      </c>
      <c r="E917" s="132">
        <f>240600-5500-3000</f>
        <v>232100</v>
      </c>
    </row>
    <row r="918" spans="1:5" ht="15">
      <c r="A918" s="122"/>
      <c r="B918" s="122"/>
      <c r="C918" s="127"/>
      <c r="D918" s="138"/>
      <c r="E918" s="132"/>
    </row>
    <row r="919" spans="1:5" ht="15">
      <c r="A919" s="122"/>
      <c r="B919" s="122"/>
      <c r="C919" s="127">
        <v>4350</v>
      </c>
      <c r="D919" s="138" t="s">
        <v>218</v>
      </c>
      <c r="E919" s="132">
        <v>3000</v>
      </c>
    </row>
    <row r="920" spans="1:5" ht="15">
      <c r="A920" s="122"/>
      <c r="B920" s="122"/>
      <c r="C920" s="127"/>
      <c r="D920" s="138"/>
      <c r="E920" s="132"/>
    </row>
    <row r="921" spans="1:5" ht="15">
      <c r="A921" s="122"/>
      <c r="B921" s="122"/>
      <c r="C921" s="127">
        <v>4410</v>
      </c>
      <c r="D921" s="138" t="s">
        <v>26</v>
      </c>
      <c r="E921" s="132">
        <v>6000</v>
      </c>
    </row>
    <row r="922" spans="1:5" ht="15">
      <c r="A922" s="122"/>
      <c r="B922" s="122"/>
      <c r="C922" s="127"/>
      <c r="D922" s="138"/>
      <c r="E922" s="132"/>
    </row>
    <row r="923" spans="1:5" ht="15">
      <c r="A923" s="122"/>
      <c r="B923" s="122"/>
      <c r="C923" s="127">
        <v>4430</v>
      </c>
      <c r="D923" s="138" t="s">
        <v>27</v>
      </c>
      <c r="E923" s="132">
        <v>8500</v>
      </c>
    </row>
    <row r="924" spans="1:5" ht="15">
      <c r="A924" s="122"/>
      <c r="B924" s="122"/>
      <c r="C924" s="127"/>
      <c r="D924" s="138"/>
      <c r="E924" s="132"/>
    </row>
    <row r="925" spans="1:5" ht="30">
      <c r="A925" s="122"/>
      <c r="B925" s="122"/>
      <c r="C925" s="127">
        <v>4440</v>
      </c>
      <c r="D925" s="138" t="s">
        <v>28</v>
      </c>
      <c r="E925" s="132">
        <v>83300</v>
      </c>
    </row>
    <row r="926" spans="1:5" ht="15">
      <c r="A926" s="122"/>
      <c r="B926" s="122"/>
      <c r="C926" s="127"/>
      <c r="D926" s="138"/>
      <c r="E926" s="132"/>
    </row>
    <row r="927" spans="1:5" ht="15">
      <c r="A927" s="122"/>
      <c r="B927" s="122"/>
      <c r="C927" s="127">
        <v>4480</v>
      </c>
      <c r="D927" s="138" t="s">
        <v>29</v>
      </c>
      <c r="E927" s="132">
        <v>11700</v>
      </c>
    </row>
    <row r="928" spans="1:5" s="66" customFormat="1" ht="15">
      <c r="A928" s="102"/>
      <c r="B928" s="102"/>
      <c r="C928" s="102"/>
      <c r="D928" s="103"/>
      <c r="E928" s="104"/>
    </row>
    <row r="929" spans="1:5" s="110" customFormat="1" ht="15.75">
      <c r="A929" s="76"/>
      <c r="B929" s="76"/>
      <c r="C929" s="79" t="s">
        <v>55</v>
      </c>
      <c r="D929" s="137" t="s">
        <v>210</v>
      </c>
      <c r="E929" s="131">
        <f>SUM(E931:E963)</f>
        <v>1594300</v>
      </c>
    </row>
    <row r="930" spans="1:5" ht="15">
      <c r="A930" s="125"/>
      <c r="B930" s="125"/>
      <c r="C930" s="126"/>
      <c r="D930" s="138"/>
      <c r="E930" s="132"/>
    </row>
    <row r="931" spans="1:5" ht="30">
      <c r="A931" s="122"/>
      <c r="B931" s="122"/>
      <c r="C931" s="127">
        <v>3020</v>
      </c>
      <c r="D931" s="138" t="s">
        <v>19</v>
      </c>
      <c r="E931" s="132">
        <v>6000</v>
      </c>
    </row>
    <row r="932" spans="1:5" ht="15">
      <c r="A932" s="122"/>
      <c r="B932" s="122"/>
      <c r="C932" s="127"/>
      <c r="D932" s="138"/>
      <c r="E932" s="132"/>
    </row>
    <row r="933" spans="1:5" ht="15">
      <c r="A933" s="122"/>
      <c r="B933" s="122"/>
      <c r="C933" s="127">
        <v>4010</v>
      </c>
      <c r="D933" s="138" t="s">
        <v>20</v>
      </c>
      <c r="E933" s="132">
        <f>766100+55400</f>
        <v>821500</v>
      </c>
    </row>
    <row r="934" spans="1:5" ht="15">
      <c r="A934" s="122"/>
      <c r="B934" s="122"/>
      <c r="C934" s="127"/>
      <c r="D934" s="138"/>
      <c r="E934" s="132"/>
    </row>
    <row r="935" spans="1:5" ht="15">
      <c r="A935" s="122"/>
      <c r="B935" s="122"/>
      <c r="C935" s="127">
        <v>4040</v>
      </c>
      <c r="D935" s="138" t="s">
        <v>21</v>
      </c>
      <c r="E935" s="132">
        <v>67800</v>
      </c>
    </row>
    <row r="936" spans="1:5" ht="15">
      <c r="A936" s="122"/>
      <c r="B936" s="122"/>
      <c r="C936" s="127"/>
      <c r="D936" s="138"/>
      <c r="E936" s="132"/>
    </row>
    <row r="937" spans="1:5" ht="15">
      <c r="A937" s="122"/>
      <c r="B937" s="122"/>
      <c r="C937" s="127">
        <v>4110</v>
      </c>
      <c r="D937" s="138" t="s">
        <v>22</v>
      </c>
      <c r="E937" s="132">
        <f>141700+16100</f>
        <v>157800</v>
      </c>
    </row>
    <row r="938" spans="1:5" ht="15">
      <c r="A938" s="122"/>
      <c r="B938" s="122"/>
      <c r="C938" s="127"/>
      <c r="D938" s="138"/>
      <c r="E938" s="132"/>
    </row>
    <row r="939" spans="1:5" ht="15">
      <c r="A939" s="122"/>
      <c r="B939" s="122"/>
      <c r="C939" s="127">
        <v>4120</v>
      </c>
      <c r="D939" s="138" t="s">
        <v>23</v>
      </c>
      <c r="E939" s="132">
        <f>20400+2300</f>
        <v>22700</v>
      </c>
    </row>
    <row r="940" spans="1:5" ht="15">
      <c r="A940" s="122"/>
      <c r="B940" s="122"/>
      <c r="C940" s="127"/>
      <c r="D940" s="138"/>
      <c r="E940" s="132"/>
    </row>
    <row r="941" spans="1:5" ht="15">
      <c r="A941" s="122"/>
      <c r="B941" s="122"/>
      <c r="C941" s="127">
        <v>4170</v>
      </c>
      <c r="D941" s="138" t="s">
        <v>222</v>
      </c>
      <c r="E941" s="132">
        <v>2000</v>
      </c>
    </row>
    <row r="942" spans="1:5" ht="15">
      <c r="A942" s="122"/>
      <c r="B942" s="122"/>
      <c r="C942" s="127"/>
      <c r="D942" s="138"/>
      <c r="E942" s="132"/>
    </row>
    <row r="943" spans="1:5" ht="15">
      <c r="A943" s="122"/>
      <c r="B943" s="122"/>
      <c r="C943" s="127">
        <v>4210</v>
      </c>
      <c r="D943" s="138" t="s">
        <v>14</v>
      </c>
      <c r="E943" s="132">
        <f>139000+5000</f>
        <v>144000</v>
      </c>
    </row>
    <row r="944" spans="1:5" ht="15">
      <c r="A944" s="122"/>
      <c r="B944" s="122"/>
      <c r="C944" s="127"/>
      <c r="D944" s="138"/>
      <c r="E944" s="132"/>
    </row>
    <row r="945" spans="1:5" ht="15">
      <c r="A945" s="122"/>
      <c r="B945" s="122"/>
      <c r="C945" s="127">
        <v>4220</v>
      </c>
      <c r="D945" s="138" t="s">
        <v>98</v>
      </c>
      <c r="E945" s="132">
        <v>194800</v>
      </c>
    </row>
    <row r="946" spans="1:5" ht="15">
      <c r="A946" s="122"/>
      <c r="B946" s="122"/>
      <c r="C946" s="127"/>
      <c r="D946" s="138"/>
      <c r="E946" s="132"/>
    </row>
    <row r="947" spans="1:5" ht="15">
      <c r="A947" s="122"/>
      <c r="B947" s="122"/>
      <c r="C947" s="127">
        <v>4230</v>
      </c>
      <c r="D947" s="138" t="s">
        <v>99</v>
      </c>
      <c r="E947" s="132">
        <v>22900</v>
      </c>
    </row>
    <row r="948" spans="1:5" ht="15">
      <c r="A948" s="122"/>
      <c r="B948" s="122"/>
      <c r="C948" s="127"/>
      <c r="D948" s="138"/>
      <c r="E948" s="132"/>
    </row>
    <row r="949" spans="1:5" ht="15">
      <c r="A949" s="122"/>
      <c r="B949" s="122"/>
      <c r="C949" s="127">
        <v>4260</v>
      </c>
      <c r="D949" s="138" t="s">
        <v>24</v>
      </c>
      <c r="E949" s="132">
        <v>61900</v>
      </c>
    </row>
    <row r="950" spans="1:5" ht="15">
      <c r="A950" s="122"/>
      <c r="B950" s="122"/>
      <c r="C950" s="127"/>
      <c r="D950" s="138"/>
      <c r="E950" s="132"/>
    </row>
    <row r="951" spans="1:5" ht="15">
      <c r="A951" s="122"/>
      <c r="B951" s="122"/>
      <c r="C951" s="127">
        <v>4270</v>
      </c>
      <c r="D951" s="138" t="s">
        <v>25</v>
      </c>
      <c r="E951" s="132">
        <v>1500</v>
      </c>
    </row>
    <row r="952" spans="1:5" ht="15">
      <c r="A952" s="122"/>
      <c r="B952" s="122"/>
      <c r="C952" s="127"/>
      <c r="D952" s="138"/>
      <c r="E952" s="132"/>
    </row>
    <row r="953" spans="1:5" ht="15">
      <c r="A953" s="122"/>
      <c r="B953" s="122"/>
      <c r="C953" s="127">
        <v>4300</v>
      </c>
      <c r="D953" s="138" t="s">
        <v>90</v>
      </c>
      <c r="E953" s="132">
        <f>45500-1500-2000</f>
        <v>42000</v>
      </c>
    </row>
    <row r="954" spans="1:5" ht="15">
      <c r="A954" s="122"/>
      <c r="B954" s="122"/>
      <c r="C954" s="127"/>
      <c r="D954" s="138"/>
      <c r="E954" s="132"/>
    </row>
    <row r="955" spans="1:5" ht="15">
      <c r="A955" s="122"/>
      <c r="B955" s="122"/>
      <c r="C955" s="127">
        <v>4350</v>
      </c>
      <c r="D955" s="138" t="s">
        <v>218</v>
      </c>
      <c r="E955" s="132">
        <v>1500</v>
      </c>
    </row>
    <row r="956" spans="1:5" ht="15">
      <c r="A956" s="122"/>
      <c r="B956" s="122"/>
      <c r="C956" s="127"/>
      <c r="D956" s="138"/>
      <c r="E956" s="132"/>
    </row>
    <row r="957" spans="1:5" ht="15">
      <c r="A957" s="122"/>
      <c r="B957" s="122"/>
      <c r="C957" s="127">
        <v>4410</v>
      </c>
      <c r="D957" s="138" t="s">
        <v>26</v>
      </c>
      <c r="E957" s="132">
        <v>2000</v>
      </c>
    </row>
    <row r="958" spans="1:5" ht="15">
      <c r="A958" s="122"/>
      <c r="B958" s="122"/>
      <c r="C958" s="127"/>
      <c r="D958" s="138"/>
      <c r="E958" s="132"/>
    </row>
    <row r="959" spans="1:5" ht="15">
      <c r="A959" s="122"/>
      <c r="B959" s="122"/>
      <c r="C959" s="127">
        <v>4430</v>
      </c>
      <c r="D959" s="138" t="s">
        <v>27</v>
      </c>
      <c r="E959" s="132">
        <v>3000</v>
      </c>
    </row>
    <row r="960" spans="1:5" ht="15">
      <c r="A960" s="122"/>
      <c r="B960" s="122"/>
      <c r="C960" s="127"/>
      <c r="D960" s="138"/>
      <c r="E960" s="132"/>
    </row>
    <row r="961" spans="1:5" ht="30">
      <c r="A961" s="122"/>
      <c r="B961" s="122"/>
      <c r="C961" s="127">
        <v>4440</v>
      </c>
      <c r="D961" s="138" t="s">
        <v>28</v>
      </c>
      <c r="E961" s="132">
        <f>29100+3800</f>
        <v>32900</v>
      </c>
    </row>
    <row r="962" spans="1:5" ht="15">
      <c r="A962" s="122"/>
      <c r="B962" s="122"/>
      <c r="C962" s="127"/>
      <c r="D962" s="138"/>
      <c r="E962" s="132"/>
    </row>
    <row r="963" spans="1:5" ht="15">
      <c r="A963" s="122"/>
      <c r="B963" s="122"/>
      <c r="C963" s="127">
        <v>4480</v>
      </c>
      <c r="D963" s="138" t="s">
        <v>29</v>
      </c>
      <c r="E963" s="132">
        <v>10000</v>
      </c>
    </row>
    <row r="964" spans="1:5" ht="15">
      <c r="A964" s="122"/>
      <c r="B964" s="122"/>
      <c r="C964" s="127"/>
      <c r="D964" s="138"/>
      <c r="E964" s="132"/>
    </row>
    <row r="965" spans="1:5" s="110" customFormat="1" ht="15.75">
      <c r="A965" s="78"/>
      <c r="B965" s="78"/>
      <c r="C965" s="79" t="s">
        <v>55</v>
      </c>
      <c r="D965" s="137" t="s">
        <v>211</v>
      </c>
      <c r="E965" s="131">
        <f>SUM(E967:E1001)</f>
        <v>1550900</v>
      </c>
    </row>
    <row r="966" spans="1:5" ht="15">
      <c r="A966" s="125"/>
      <c r="B966" s="125"/>
      <c r="C966" s="126"/>
      <c r="D966" s="138"/>
      <c r="E966" s="132"/>
    </row>
    <row r="967" spans="1:5" ht="30">
      <c r="A967" s="122"/>
      <c r="B967" s="122"/>
      <c r="C967" s="127">
        <v>3020</v>
      </c>
      <c r="D967" s="138" t="s">
        <v>19</v>
      </c>
      <c r="E967" s="132">
        <v>11200</v>
      </c>
    </row>
    <row r="968" spans="1:5" ht="15">
      <c r="A968" s="122"/>
      <c r="B968" s="122"/>
      <c r="C968" s="127"/>
      <c r="D968" s="138"/>
      <c r="E968" s="132"/>
    </row>
    <row r="969" spans="1:5" ht="15">
      <c r="A969" s="122"/>
      <c r="B969" s="122"/>
      <c r="C969" s="127">
        <v>4010</v>
      </c>
      <c r="D969" s="138" t="s">
        <v>20</v>
      </c>
      <c r="E969" s="132">
        <f>775400-8600</f>
        <v>766800</v>
      </c>
    </row>
    <row r="970" spans="1:5" s="66" customFormat="1" ht="15">
      <c r="A970" s="122"/>
      <c r="B970" s="122"/>
      <c r="C970" s="127"/>
      <c r="D970" s="138"/>
      <c r="E970" s="132"/>
    </row>
    <row r="971" spans="1:5" ht="15">
      <c r="A971" s="76"/>
      <c r="B971" s="76"/>
      <c r="C971" s="77">
        <v>4040</v>
      </c>
      <c r="D971" s="138" t="s">
        <v>21</v>
      </c>
      <c r="E971" s="132">
        <v>70400</v>
      </c>
    </row>
    <row r="972" spans="1:5" ht="15">
      <c r="A972" s="122"/>
      <c r="B972" s="122"/>
      <c r="C972" s="127"/>
      <c r="D972" s="138"/>
      <c r="E972" s="132"/>
    </row>
    <row r="973" spans="1:5" ht="15">
      <c r="A973" s="122"/>
      <c r="B973" s="122"/>
      <c r="C973" s="127">
        <v>4110</v>
      </c>
      <c r="D973" s="138" t="s">
        <v>22</v>
      </c>
      <c r="E973" s="132">
        <f>143800-1400</f>
        <v>142400</v>
      </c>
    </row>
    <row r="974" spans="1:5" ht="15">
      <c r="A974" s="122"/>
      <c r="B974" s="122"/>
      <c r="C974" s="127"/>
      <c r="D974" s="138"/>
      <c r="E974" s="132"/>
    </row>
    <row r="975" spans="1:5" ht="15">
      <c r="A975" s="122"/>
      <c r="B975" s="122"/>
      <c r="C975" s="127">
        <v>4120</v>
      </c>
      <c r="D975" s="138" t="s">
        <v>23</v>
      </c>
      <c r="E975" s="132">
        <f>20800-200</f>
        <v>20600</v>
      </c>
    </row>
    <row r="976" spans="1:5" ht="15">
      <c r="A976" s="122"/>
      <c r="B976" s="122"/>
      <c r="C976" s="127"/>
      <c r="D976" s="138"/>
      <c r="E976" s="132"/>
    </row>
    <row r="977" spans="1:5" ht="15">
      <c r="A977" s="122"/>
      <c r="B977" s="122"/>
      <c r="C977" s="127">
        <v>4170</v>
      </c>
      <c r="D977" s="138" t="s">
        <v>217</v>
      </c>
      <c r="E977" s="132">
        <v>15000</v>
      </c>
    </row>
    <row r="978" spans="1:5" ht="15">
      <c r="A978" s="122"/>
      <c r="B978" s="122"/>
      <c r="C978" s="127"/>
      <c r="D978" s="138"/>
      <c r="E978" s="132"/>
    </row>
    <row r="979" spans="1:5" ht="15">
      <c r="A979" s="122"/>
      <c r="B979" s="122"/>
      <c r="C979" s="127">
        <v>4210</v>
      </c>
      <c r="D979" s="138" t="s">
        <v>14</v>
      </c>
      <c r="E979" s="132">
        <v>174000</v>
      </c>
    </row>
    <row r="980" spans="1:5" ht="15">
      <c r="A980" s="122"/>
      <c r="B980" s="122"/>
      <c r="C980" s="127"/>
      <c r="D980" s="138"/>
      <c r="E980" s="132"/>
    </row>
    <row r="981" spans="1:5" ht="15">
      <c r="A981" s="122"/>
      <c r="B981" s="122"/>
      <c r="C981" s="127">
        <v>4220</v>
      </c>
      <c r="D981" s="138" t="s">
        <v>98</v>
      </c>
      <c r="E981" s="132">
        <v>151500</v>
      </c>
    </row>
    <row r="982" spans="1:5" ht="15">
      <c r="A982" s="122"/>
      <c r="B982" s="122"/>
      <c r="C982" s="127"/>
      <c r="D982" s="138"/>
      <c r="E982" s="132"/>
    </row>
    <row r="983" spans="1:5" ht="15">
      <c r="A983" s="122"/>
      <c r="B983" s="122"/>
      <c r="C983" s="127">
        <v>4230</v>
      </c>
      <c r="D983" s="138" t="s">
        <v>99</v>
      </c>
      <c r="E983" s="132">
        <v>17800</v>
      </c>
    </row>
    <row r="984" spans="1:5" ht="15">
      <c r="A984" s="122"/>
      <c r="B984" s="122"/>
      <c r="C984" s="127"/>
      <c r="D984" s="138"/>
      <c r="E984" s="132"/>
    </row>
    <row r="985" spans="1:5" ht="15">
      <c r="A985" s="122"/>
      <c r="B985" s="122"/>
      <c r="C985" s="127">
        <v>4260</v>
      </c>
      <c r="D985" s="138" t="s">
        <v>24</v>
      </c>
      <c r="E985" s="132">
        <v>48100</v>
      </c>
    </row>
    <row r="986" spans="1:5" ht="15">
      <c r="A986" s="122"/>
      <c r="B986" s="122"/>
      <c r="C986" s="127"/>
      <c r="D986" s="138"/>
      <c r="E986" s="132"/>
    </row>
    <row r="987" spans="1:5" ht="15">
      <c r="A987" s="122"/>
      <c r="B987" s="122"/>
      <c r="C987" s="127">
        <v>4270</v>
      </c>
      <c r="D987" s="138" t="s">
        <v>25</v>
      </c>
      <c r="E987" s="132">
        <v>1500</v>
      </c>
    </row>
    <row r="988" spans="1:5" ht="15">
      <c r="A988" s="122"/>
      <c r="B988" s="122"/>
      <c r="C988" s="127"/>
      <c r="D988" s="138"/>
      <c r="E988" s="132"/>
    </row>
    <row r="989" spans="1:5" ht="15">
      <c r="A989" s="122"/>
      <c r="B989" s="122"/>
      <c r="C989" s="127">
        <v>4300</v>
      </c>
      <c r="D989" s="138" t="s">
        <v>90</v>
      </c>
      <c r="E989" s="132">
        <f>71600-1500-15000</f>
        <v>55100</v>
      </c>
    </row>
    <row r="990" spans="1:5" ht="15">
      <c r="A990" s="122"/>
      <c r="B990" s="122"/>
      <c r="C990" s="127"/>
      <c r="D990" s="138"/>
      <c r="E990" s="132"/>
    </row>
    <row r="991" spans="1:5" ht="15">
      <c r="A991" s="122"/>
      <c r="B991" s="122"/>
      <c r="C991" s="127">
        <v>4350</v>
      </c>
      <c r="D991" s="138" t="s">
        <v>223</v>
      </c>
      <c r="E991" s="132">
        <v>1500</v>
      </c>
    </row>
    <row r="992" spans="1:5" ht="15">
      <c r="A992" s="122"/>
      <c r="B992" s="122"/>
      <c r="C992" s="127"/>
      <c r="D992" s="138"/>
      <c r="E992" s="132"/>
    </row>
    <row r="993" spans="1:5" ht="15">
      <c r="A993" s="122"/>
      <c r="B993" s="122"/>
      <c r="C993" s="127">
        <v>4410</v>
      </c>
      <c r="D993" s="138" t="s">
        <v>26</v>
      </c>
      <c r="E993" s="132">
        <v>2500</v>
      </c>
    </row>
    <row r="994" spans="1:5" ht="15">
      <c r="A994" s="122"/>
      <c r="B994" s="122"/>
      <c r="C994" s="127"/>
      <c r="D994" s="138"/>
      <c r="E994" s="132"/>
    </row>
    <row r="995" spans="1:5" ht="15">
      <c r="A995" s="122"/>
      <c r="B995" s="122"/>
      <c r="C995" s="127">
        <v>4430</v>
      </c>
      <c r="D995" s="138" t="s">
        <v>27</v>
      </c>
      <c r="E995" s="132">
        <v>8000</v>
      </c>
    </row>
    <row r="996" spans="1:5" ht="15">
      <c r="A996" s="122"/>
      <c r="B996" s="122"/>
      <c r="C996" s="127"/>
      <c r="D996" s="138"/>
      <c r="E996" s="132"/>
    </row>
    <row r="997" spans="1:5" ht="30">
      <c r="A997" s="122"/>
      <c r="B997" s="122"/>
      <c r="C997" s="127">
        <v>4440</v>
      </c>
      <c r="D997" s="138" t="s">
        <v>28</v>
      </c>
      <c r="E997" s="132">
        <f>30800-300</f>
        <v>30500</v>
      </c>
    </row>
    <row r="998" spans="1:5" ht="15">
      <c r="A998" s="122"/>
      <c r="B998" s="122"/>
      <c r="C998" s="127"/>
      <c r="D998" s="138"/>
      <c r="E998" s="132"/>
    </row>
    <row r="999" spans="1:5" ht="15">
      <c r="A999" s="122"/>
      <c r="B999" s="122"/>
      <c r="C999" s="127">
        <v>4480</v>
      </c>
      <c r="D999" s="138" t="s">
        <v>29</v>
      </c>
      <c r="E999" s="132">
        <v>4000</v>
      </c>
    </row>
    <row r="1000" spans="1:5" ht="15">
      <c r="A1000" s="122"/>
      <c r="B1000" s="122"/>
      <c r="C1000" s="127"/>
      <c r="D1000" s="138"/>
      <c r="E1000" s="132"/>
    </row>
    <row r="1001" spans="1:5" ht="15">
      <c r="A1001" s="122"/>
      <c r="B1001" s="122"/>
      <c r="C1001" s="127">
        <v>6050</v>
      </c>
      <c r="D1001" s="138" t="s">
        <v>183</v>
      </c>
      <c r="E1001" s="132">
        <v>30000</v>
      </c>
    </row>
    <row r="1002" spans="1:5" ht="15">
      <c r="A1002" s="122"/>
      <c r="B1002" s="122"/>
      <c r="C1002" s="127"/>
      <c r="D1002" s="138"/>
      <c r="E1002" s="132"/>
    </row>
    <row r="1003" spans="1:5" s="66" customFormat="1" ht="15.75">
      <c r="A1003" s="78"/>
      <c r="B1003" s="78">
        <v>85204</v>
      </c>
      <c r="C1003" s="79"/>
      <c r="D1003" s="137" t="s">
        <v>110</v>
      </c>
      <c r="E1003" s="131">
        <f>SUM(E1004:E1013)</f>
        <v>1571500</v>
      </c>
    </row>
    <row r="1004" spans="1:5" ht="15">
      <c r="A1004" s="76"/>
      <c r="B1004" s="76"/>
      <c r="C1004" s="77"/>
      <c r="D1004" s="138"/>
      <c r="E1004" s="132"/>
    </row>
    <row r="1005" spans="1:5" ht="15">
      <c r="A1005" s="122"/>
      <c r="B1005" s="122"/>
      <c r="C1005" s="127">
        <v>3110</v>
      </c>
      <c r="D1005" s="138" t="s">
        <v>97</v>
      </c>
      <c r="E1005" s="132">
        <f>1516000-10800</f>
        <v>1505200</v>
      </c>
    </row>
    <row r="1006" spans="1:5" ht="15">
      <c r="A1006" s="122"/>
      <c r="B1006" s="122"/>
      <c r="C1006" s="127"/>
      <c r="D1006" s="138"/>
      <c r="E1006" s="132"/>
    </row>
    <row r="1007" spans="1:5" ht="15">
      <c r="A1007" s="122"/>
      <c r="B1007" s="122"/>
      <c r="C1007" s="127">
        <v>4170</v>
      </c>
      <c r="D1007" s="138" t="s">
        <v>217</v>
      </c>
      <c r="E1007" s="132">
        <f>53400-26100</f>
        <v>27300</v>
      </c>
    </row>
    <row r="1008" spans="1:5" ht="15">
      <c r="A1008" s="122"/>
      <c r="B1008" s="122"/>
      <c r="C1008" s="127"/>
      <c r="D1008" s="138"/>
      <c r="E1008" s="132"/>
    </row>
    <row r="1009" spans="1:6" ht="45">
      <c r="A1009" s="122"/>
      <c r="B1009" s="122"/>
      <c r="C1009" s="127">
        <v>4330</v>
      </c>
      <c r="D1009" s="138" t="s">
        <v>207</v>
      </c>
      <c r="E1009" s="132">
        <f>26100+7800</f>
        <v>33900</v>
      </c>
      <c r="F1009" s="93">
        <v>7800</v>
      </c>
    </row>
    <row r="1010" spans="1:5" ht="15">
      <c r="A1010" s="122"/>
      <c r="B1010" s="122"/>
      <c r="C1010" s="127"/>
      <c r="D1010" s="138"/>
      <c r="E1010" s="132"/>
    </row>
    <row r="1011" spans="1:5" ht="15">
      <c r="A1011" s="122"/>
      <c r="B1011" s="122"/>
      <c r="C1011" s="127">
        <v>4110</v>
      </c>
      <c r="D1011" s="138" t="s">
        <v>118</v>
      </c>
      <c r="E1011" s="132">
        <v>4400</v>
      </c>
    </row>
    <row r="1012" spans="1:5" ht="15">
      <c r="A1012" s="122"/>
      <c r="B1012" s="122"/>
      <c r="C1012" s="127"/>
      <c r="D1012" s="138"/>
      <c r="E1012" s="132"/>
    </row>
    <row r="1013" spans="1:5" ht="15">
      <c r="A1013" s="122"/>
      <c r="B1013" s="122"/>
      <c r="C1013" s="127">
        <v>4120</v>
      </c>
      <c r="D1013" s="138" t="s">
        <v>23</v>
      </c>
      <c r="E1013" s="132">
        <v>700</v>
      </c>
    </row>
    <row r="1014" spans="1:5" ht="15">
      <c r="A1014" s="122"/>
      <c r="B1014" s="122"/>
      <c r="C1014" s="127"/>
      <c r="D1014" s="138"/>
      <c r="E1014" s="132"/>
    </row>
    <row r="1015" spans="1:5" ht="15">
      <c r="A1015" s="122"/>
      <c r="B1015" s="122"/>
      <c r="C1015" s="127"/>
      <c r="D1015" s="138" t="s">
        <v>54</v>
      </c>
      <c r="E1015" s="132"/>
    </row>
    <row r="1016" spans="1:5" ht="15">
      <c r="A1016" s="122"/>
      <c r="B1016" s="122"/>
      <c r="C1016" s="127"/>
      <c r="D1016" s="138"/>
      <c r="E1016" s="132"/>
    </row>
    <row r="1017" spans="1:5" s="66" customFormat="1" ht="15.75">
      <c r="A1017" s="78"/>
      <c r="B1017" s="78"/>
      <c r="C1017" s="79"/>
      <c r="D1017" s="137" t="s">
        <v>76</v>
      </c>
      <c r="E1017" s="131">
        <f>SUM(E1019:E1028)</f>
        <v>1571500</v>
      </c>
    </row>
    <row r="1018" spans="1:5" ht="15">
      <c r="A1018" s="76"/>
      <c r="B1018" s="76"/>
      <c r="C1018" s="77"/>
      <c r="D1018" s="138"/>
      <c r="E1018" s="132"/>
    </row>
    <row r="1019" spans="1:5" ht="15">
      <c r="A1019" s="122"/>
      <c r="B1019" s="122"/>
      <c r="C1019" s="127">
        <v>3110</v>
      </c>
      <c r="D1019" s="138" t="s">
        <v>97</v>
      </c>
      <c r="E1019" s="132">
        <v>1505200</v>
      </c>
    </row>
    <row r="1020" spans="1:5" ht="15">
      <c r="A1020" s="122"/>
      <c r="B1020" s="122"/>
      <c r="C1020" s="127"/>
      <c r="D1020" s="138"/>
      <c r="E1020" s="132"/>
    </row>
    <row r="1021" spans="1:5" ht="15">
      <c r="A1021" s="122"/>
      <c r="B1021" s="122"/>
      <c r="C1021" s="127">
        <v>4170</v>
      </c>
      <c r="D1021" s="138" t="s">
        <v>217</v>
      </c>
      <c r="E1021" s="132">
        <v>27300</v>
      </c>
    </row>
    <row r="1022" spans="1:5" ht="15">
      <c r="A1022" s="122"/>
      <c r="B1022" s="122"/>
      <c r="C1022" s="127"/>
      <c r="D1022" s="138"/>
      <c r="E1022" s="132"/>
    </row>
    <row r="1023" spans="1:5" ht="45">
      <c r="A1023" s="122"/>
      <c r="B1023" s="122"/>
      <c r="C1023" s="127">
        <v>4330</v>
      </c>
      <c r="D1023" s="138" t="s">
        <v>207</v>
      </c>
      <c r="E1023" s="132">
        <v>33900</v>
      </c>
    </row>
    <row r="1024" spans="1:5" ht="15">
      <c r="A1024" s="122"/>
      <c r="B1024" s="122"/>
      <c r="C1024" s="127"/>
      <c r="D1024" s="138"/>
      <c r="E1024" s="132"/>
    </row>
    <row r="1025" spans="1:5" ht="15">
      <c r="A1025" s="122"/>
      <c r="B1025" s="122"/>
      <c r="C1025" s="127">
        <v>4110</v>
      </c>
      <c r="D1025" s="138" t="s">
        <v>118</v>
      </c>
      <c r="E1025" s="132">
        <v>4400</v>
      </c>
    </row>
    <row r="1026" spans="1:5" ht="15">
      <c r="A1026" s="122"/>
      <c r="B1026" s="122"/>
      <c r="C1026" s="127"/>
      <c r="D1026" s="138"/>
      <c r="E1026" s="132"/>
    </row>
    <row r="1027" spans="1:5" ht="15">
      <c r="A1027" s="122"/>
      <c r="B1027" s="122"/>
      <c r="C1027" s="127">
        <v>4120</v>
      </c>
      <c r="D1027" s="138" t="s">
        <v>23</v>
      </c>
      <c r="E1027" s="132">
        <v>700</v>
      </c>
    </row>
    <row r="1028" spans="1:5" ht="15">
      <c r="A1028" s="122"/>
      <c r="B1028" s="122"/>
      <c r="C1028" s="127"/>
      <c r="D1028" s="138"/>
      <c r="E1028" s="132"/>
    </row>
    <row r="1029" spans="1:5" s="66" customFormat="1" ht="15.75">
      <c r="A1029" s="78"/>
      <c r="B1029" s="78">
        <v>85218</v>
      </c>
      <c r="C1029" s="79"/>
      <c r="D1029" s="137" t="s">
        <v>200</v>
      </c>
      <c r="E1029" s="131">
        <f>SUM(E1031:E1061)</f>
        <v>415710</v>
      </c>
    </row>
    <row r="1030" spans="1:5" ht="15">
      <c r="A1030" s="76"/>
      <c r="B1030" s="76"/>
      <c r="C1030" s="77"/>
      <c r="D1030" s="138" t="s">
        <v>107</v>
      </c>
      <c r="E1030" s="132"/>
    </row>
    <row r="1031" spans="1:5" ht="15">
      <c r="A1031" s="122"/>
      <c r="B1031" s="122"/>
      <c r="C1031" s="127"/>
      <c r="D1031" s="138"/>
      <c r="E1031" s="132"/>
    </row>
    <row r="1032" spans="1:5" ht="30">
      <c r="A1032" s="122"/>
      <c r="B1032" s="122"/>
      <c r="C1032" s="127">
        <v>3020</v>
      </c>
      <c r="D1032" s="91" t="s">
        <v>202</v>
      </c>
      <c r="E1032" s="132">
        <v>1020</v>
      </c>
    </row>
    <row r="1033" spans="1:5" ht="15">
      <c r="A1033" s="122"/>
      <c r="B1033" s="122"/>
      <c r="C1033" s="127"/>
      <c r="D1033" s="138"/>
      <c r="E1033" s="132"/>
    </row>
    <row r="1034" spans="1:5" ht="15">
      <c r="A1034" s="122"/>
      <c r="B1034" s="122"/>
      <c r="C1034" s="127">
        <v>4010</v>
      </c>
      <c r="D1034" s="138" t="s">
        <v>20</v>
      </c>
      <c r="E1034" s="132">
        <v>236900</v>
      </c>
    </row>
    <row r="1035" spans="1:5" ht="15">
      <c r="A1035" s="122"/>
      <c r="B1035" s="122"/>
      <c r="C1035" s="127"/>
      <c r="D1035" s="138"/>
      <c r="E1035" s="132"/>
    </row>
    <row r="1036" spans="1:5" ht="15">
      <c r="A1036" s="122"/>
      <c r="B1036" s="122"/>
      <c r="C1036" s="127">
        <v>4040</v>
      </c>
      <c r="D1036" s="138" t="s">
        <v>21</v>
      </c>
      <c r="E1036" s="132">
        <v>18900</v>
      </c>
    </row>
    <row r="1037" spans="1:5" ht="15">
      <c r="A1037" s="122"/>
      <c r="B1037" s="122"/>
      <c r="C1037" s="127"/>
      <c r="D1037" s="138"/>
      <c r="E1037" s="132"/>
    </row>
    <row r="1038" spans="1:5" ht="15">
      <c r="A1038" s="122"/>
      <c r="B1038" s="122"/>
      <c r="C1038" s="127">
        <v>4110</v>
      </c>
      <c r="D1038" s="138" t="s">
        <v>22</v>
      </c>
      <c r="E1038" s="132">
        <v>43500</v>
      </c>
    </row>
    <row r="1039" spans="1:5" ht="15">
      <c r="A1039" s="122"/>
      <c r="B1039" s="122"/>
      <c r="C1039" s="127"/>
      <c r="D1039" s="138"/>
      <c r="E1039" s="132"/>
    </row>
    <row r="1040" spans="1:5" ht="15">
      <c r="A1040" s="122"/>
      <c r="B1040" s="122"/>
      <c r="C1040" s="127">
        <v>4120</v>
      </c>
      <c r="D1040" s="138" t="s">
        <v>23</v>
      </c>
      <c r="E1040" s="132">
        <v>6300</v>
      </c>
    </row>
    <row r="1041" spans="1:5" ht="15">
      <c r="A1041" s="122"/>
      <c r="B1041" s="122"/>
      <c r="C1041" s="127"/>
      <c r="D1041" s="138"/>
      <c r="E1041" s="132"/>
    </row>
    <row r="1042" spans="1:5" ht="15">
      <c r="A1042" s="122"/>
      <c r="B1042" s="122"/>
      <c r="C1042" s="127">
        <v>4170</v>
      </c>
      <c r="D1042" s="138" t="s">
        <v>220</v>
      </c>
      <c r="E1042" s="132">
        <v>6600</v>
      </c>
    </row>
    <row r="1043" spans="1:5" ht="15">
      <c r="A1043" s="122"/>
      <c r="B1043" s="122"/>
      <c r="C1043" s="127"/>
      <c r="D1043" s="138"/>
      <c r="E1043" s="132"/>
    </row>
    <row r="1044" spans="1:5" ht="15">
      <c r="A1044" s="122"/>
      <c r="B1044" s="122"/>
      <c r="C1044" s="127">
        <v>4210</v>
      </c>
      <c r="D1044" s="138" t="s">
        <v>14</v>
      </c>
      <c r="E1044" s="132">
        <v>12000</v>
      </c>
    </row>
    <row r="1045" spans="1:5" ht="15">
      <c r="A1045" s="122"/>
      <c r="B1045" s="122"/>
      <c r="C1045" s="127"/>
      <c r="D1045" s="138"/>
      <c r="E1045" s="132"/>
    </row>
    <row r="1046" spans="1:5" ht="15">
      <c r="A1046" s="122"/>
      <c r="B1046" s="122"/>
      <c r="C1046" s="127">
        <v>4260</v>
      </c>
      <c r="D1046" s="138" t="s">
        <v>24</v>
      </c>
      <c r="E1046" s="132">
        <v>6000</v>
      </c>
    </row>
    <row r="1047" spans="1:5" ht="15">
      <c r="A1047" s="122"/>
      <c r="B1047" s="122"/>
      <c r="C1047" s="127"/>
      <c r="D1047" s="138"/>
      <c r="E1047" s="132"/>
    </row>
    <row r="1048" spans="1:5" ht="15">
      <c r="A1048" s="122"/>
      <c r="B1048" s="122"/>
      <c r="C1048" s="127">
        <v>4270</v>
      </c>
      <c r="D1048" s="138" t="s">
        <v>25</v>
      </c>
      <c r="E1048" s="132">
        <v>500</v>
      </c>
    </row>
    <row r="1049" spans="1:5" ht="15">
      <c r="A1049" s="122"/>
      <c r="B1049" s="122"/>
      <c r="C1049" s="127"/>
      <c r="D1049" s="138"/>
      <c r="E1049" s="132"/>
    </row>
    <row r="1050" spans="1:5" ht="15">
      <c r="A1050" s="122"/>
      <c r="B1050" s="122"/>
      <c r="C1050" s="127">
        <v>4300</v>
      </c>
      <c r="D1050" s="138" t="s">
        <v>90</v>
      </c>
      <c r="E1050" s="132">
        <f>76900-6600-1300</f>
        <v>69000</v>
      </c>
    </row>
    <row r="1051" spans="1:5" ht="15">
      <c r="A1051" s="122"/>
      <c r="B1051" s="122"/>
      <c r="C1051" s="127"/>
      <c r="D1051" s="138"/>
      <c r="E1051" s="132"/>
    </row>
    <row r="1052" spans="1:5" ht="15">
      <c r="A1052" s="122"/>
      <c r="B1052" s="122"/>
      <c r="C1052" s="127">
        <v>4350</v>
      </c>
      <c r="D1052" s="138" t="s">
        <v>218</v>
      </c>
      <c r="E1052" s="132">
        <v>1300</v>
      </c>
    </row>
    <row r="1053" spans="1:5" ht="15">
      <c r="A1053" s="122"/>
      <c r="B1053" s="122"/>
      <c r="C1053" s="127"/>
      <c r="D1053" s="138"/>
      <c r="E1053" s="132"/>
    </row>
    <row r="1054" spans="1:5" ht="15">
      <c r="A1054" s="122"/>
      <c r="B1054" s="122"/>
      <c r="C1054" s="127">
        <v>4410</v>
      </c>
      <c r="D1054" s="138" t="s">
        <v>26</v>
      </c>
      <c r="E1054" s="132">
        <v>2800</v>
      </c>
    </row>
    <row r="1055" spans="1:5" ht="15">
      <c r="A1055" s="122"/>
      <c r="B1055" s="122"/>
      <c r="C1055" s="127"/>
      <c r="D1055" s="138"/>
      <c r="E1055" s="132"/>
    </row>
    <row r="1056" spans="1:5" ht="15">
      <c r="A1056" s="122"/>
      <c r="B1056" s="122"/>
      <c r="C1056" s="127">
        <v>4430</v>
      </c>
      <c r="D1056" s="138" t="s">
        <v>27</v>
      </c>
      <c r="E1056" s="132">
        <v>1000</v>
      </c>
    </row>
    <row r="1057" spans="1:5" ht="15">
      <c r="A1057" s="122"/>
      <c r="B1057" s="122"/>
      <c r="C1057" s="127"/>
      <c r="D1057" s="138"/>
      <c r="E1057" s="132"/>
    </row>
    <row r="1058" spans="1:5" ht="30">
      <c r="A1058" s="122"/>
      <c r="B1058" s="122"/>
      <c r="C1058" s="127">
        <v>4440</v>
      </c>
      <c r="D1058" s="138" t="s">
        <v>28</v>
      </c>
      <c r="E1058" s="132">
        <v>6390</v>
      </c>
    </row>
    <row r="1059" spans="1:5" ht="15">
      <c r="A1059" s="122"/>
      <c r="B1059" s="122"/>
      <c r="C1059" s="127"/>
      <c r="D1059" s="138"/>
      <c r="E1059" s="132"/>
    </row>
    <row r="1060" spans="1:5" ht="15">
      <c r="A1060" s="122"/>
      <c r="B1060" s="122"/>
      <c r="C1060" s="127">
        <v>6060</v>
      </c>
      <c r="D1060" s="138" t="s">
        <v>184</v>
      </c>
      <c r="E1060" s="132">
        <v>3500</v>
      </c>
    </row>
    <row r="1061" spans="1:5" ht="15">
      <c r="A1061" s="122"/>
      <c r="B1061" s="122"/>
      <c r="C1061" s="127"/>
      <c r="D1061" s="138"/>
      <c r="E1061" s="132"/>
    </row>
    <row r="1062" spans="1:5" s="66" customFormat="1" ht="47.25">
      <c r="A1062" s="78"/>
      <c r="B1062" s="78">
        <v>85220</v>
      </c>
      <c r="C1062" s="79"/>
      <c r="D1062" s="137" t="s">
        <v>108</v>
      </c>
      <c r="E1062" s="131">
        <f>SUM(E1064:E1079)</f>
        <v>43620</v>
      </c>
    </row>
    <row r="1063" spans="1:5" ht="15">
      <c r="A1063" s="76"/>
      <c r="B1063" s="76"/>
      <c r="C1063" s="77"/>
      <c r="D1063" s="138" t="s">
        <v>109</v>
      </c>
      <c r="E1063" s="132"/>
    </row>
    <row r="1064" spans="1:5" ht="15">
      <c r="A1064" s="122"/>
      <c r="B1064" s="122"/>
      <c r="C1064" s="127"/>
      <c r="D1064" s="138"/>
      <c r="E1064" s="132"/>
    </row>
    <row r="1065" spans="1:5" ht="15">
      <c r="A1065" s="122"/>
      <c r="B1065" s="122"/>
      <c r="C1065" s="127">
        <v>4010</v>
      </c>
      <c r="D1065" s="138" t="s">
        <v>20</v>
      </c>
      <c r="E1065" s="132">
        <v>30200</v>
      </c>
    </row>
    <row r="1066" spans="1:5" ht="15">
      <c r="A1066" s="122"/>
      <c r="B1066" s="122"/>
      <c r="C1066" s="127"/>
      <c r="D1066" s="138"/>
      <c r="E1066" s="132"/>
    </row>
    <row r="1067" spans="1:5" ht="15">
      <c r="A1067" s="122"/>
      <c r="B1067" s="122"/>
      <c r="C1067" s="127">
        <v>4040</v>
      </c>
      <c r="D1067" s="138" t="s">
        <v>21</v>
      </c>
      <c r="E1067" s="132">
        <v>2500</v>
      </c>
    </row>
    <row r="1068" spans="1:5" ht="15">
      <c r="A1068" s="122"/>
      <c r="B1068" s="122"/>
      <c r="C1068" s="127"/>
      <c r="D1068" s="138"/>
      <c r="E1068" s="132"/>
    </row>
    <row r="1069" spans="1:5" ht="15">
      <c r="A1069" s="122"/>
      <c r="B1069" s="122"/>
      <c r="C1069" s="127">
        <v>4110</v>
      </c>
      <c r="D1069" s="138" t="s">
        <v>22</v>
      </c>
      <c r="E1069" s="132">
        <v>6130</v>
      </c>
    </row>
    <row r="1070" spans="1:5" ht="15">
      <c r="A1070" s="122"/>
      <c r="B1070" s="122"/>
      <c r="C1070" s="127"/>
      <c r="D1070" s="138"/>
      <c r="E1070" s="132"/>
    </row>
    <row r="1071" spans="1:5" ht="15">
      <c r="A1071" s="122"/>
      <c r="B1071" s="122"/>
      <c r="C1071" s="127">
        <v>4170</v>
      </c>
      <c r="D1071" s="138" t="s">
        <v>215</v>
      </c>
      <c r="E1071" s="132">
        <v>2400</v>
      </c>
    </row>
    <row r="1072" spans="1:5" ht="15">
      <c r="A1072" s="122"/>
      <c r="B1072" s="122"/>
      <c r="C1072" s="127"/>
      <c r="D1072" s="138"/>
      <c r="E1072" s="132"/>
    </row>
    <row r="1073" spans="1:5" ht="15">
      <c r="A1073" s="122"/>
      <c r="B1073" s="122"/>
      <c r="C1073" s="127">
        <v>4300</v>
      </c>
      <c r="D1073" s="138" t="s">
        <v>8</v>
      </c>
      <c r="E1073" s="132">
        <f>3000-2400</f>
        <v>600</v>
      </c>
    </row>
    <row r="1074" spans="1:5" ht="15">
      <c r="A1074" s="122"/>
      <c r="B1074" s="122"/>
      <c r="C1074" s="127"/>
      <c r="D1074" s="138"/>
      <c r="E1074" s="132"/>
    </row>
    <row r="1075" spans="1:5" ht="15">
      <c r="A1075" s="122"/>
      <c r="B1075" s="122"/>
      <c r="C1075" s="127">
        <v>4410</v>
      </c>
      <c r="D1075" s="138" t="s">
        <v>26</v>
      </c>
      <c r="E1075" s="132">
        <v>240</v>
      </c>
    </row>
    <row r="1076" spans="1:5" ht="15">
      <c r="A1076" s="122"/>
      <c r="B1076" s="122"/>
      <c r="C1076" s="127"/>
      <c r="D1076" s="138"/>
      <c r="E1076" s="132"/>
    </row>
    <row r="1077" spans="1:5" ht="15">
      <c r="A1077" s="122"/>
      <c r="B1077" s="122"/>
      <c r="C1077" s="127">
        <v>4120</v>
      </c>
      <c r="D1077" s="138" t="s">
        <v>23</v>
      </c>
      <c r="E1077" s="132">
        <v>850</v>
      </c>
    </row>
    <row r="1078" spans="1:5" ht="15">
      <c r="A1078" s="122"/>
      <c r="B1078" s="122"/>
      <c r="C1078" s="127"/>
      <c r="D1078" s="138"/>
      <c r="E1078" s="132"/>
    </row>
    <row r="1079" spans="1:5" ht="30">
      <c r="A1079" s="122"/>
      <c r="B1079" s="122"/>
      <c r="C1079" s="127">
        <v>4440</v>
      </c>
      <c r="D1079" s="138" t="s">
        <v>28</v>
      </c>
      <c r="E1079" s="132">
        <v>700</v>
      </c>
    </row>
    <row r="1080" spans="1:5" ht="15">
      <c r="A1080" s="122"/>
      <c r="B1080" s="122"/>
      <c r="C1080" s="127"/>
      <c r="D1080" s="138"/>
      <c r="E1080" s="132"/>
    </row>
    <row r="1081" spans="1:5" s="66" customFormat="1" ht="31.5">
      <c r="A1081" s="78"/>
      <c r="B1081" s="78">
        <v>85233</v>
      </c>
      <c r="C1081" s="79"/>
      <c r="D1081" s="137" t="s">
        <v>193</v>
      </c>
      <c r="E1081" s="131">
        <f>SUM(E1083:E1085)</f>
        <v>3290</v>
      </c>
    </row>
    <row r="1082" spans="1:5" ht="15">
      <c r="A1082" s="76"/>
      <c r="B1082" s="76"/>
      <c r="C1082" s="77"/>
      <c r="D1082" s="138"/>
      <c r="E1082" s="132"/>
    </row>
    <row r="1083" spans="1:5" ht="15">
      <c r="A1083" s="122"/>
      <c r="B1083" s="122"/>
      <c r="C1083" s="127">
        <v>4300</v>
      </c>
      <c r="D1083" s="138" t="s">
        <v>8</v>
      </c>
      <c r="E1083" s="132">
        <v>3000</v>
      </c>
    </row>
    <row r="1084" spans="1:5" ht="15">
      <c r="A1084" s="122"/>
      <c r="B1084" s="122"/>
      <c r="C1084" s="127"/>
      <c r="D1084" s="138"/>
      <c r="E1084" s="132"/>
    </row>
    <row r="1085" spans="1:5" ht="15">
      <c r="A1085" s="122"/>
      <c r="B1085" s="122"/>
      <c r="C1085" s="127">
        <v>4410</v>
      </c>
      <c r="D1085" s="138" t="s">
        <v>26</v>
      </c>
      <c r="E1085" s="132">
        <v>290</v>
      </c>
    </row>
    <row r="1086" spans="1:5" ht="15">
      <c r="A1086" s="122"/>
      <c r="B1086" s="122"/>
      <c r="C1086" s="127"/>
      <c r="D1086" s="138"/>
      <c r="E1086" s="132"/>
    </row>
    <row r="1087" spans="1:5" ht="15">
      <c r="A1087" s="122"/>
      <c r="B1087" s="122"/>
      <c r="C1087" s="127"/>
      <c r="D1087" s="138"/>
      <c r="E1087" s="132"/>
    </row>
    <row r="1088" spans="1:5" s="65" customFormat="1" ht="31.5">
      <c r="A1088" s="74">
        <v>853</v>
      </c>
      <c r="B1088" s="74"/>
      <c r="C1088" s="75"/>
      <c r="D1088" s="139" t="s">
        <v>111</v>
      </c>
      <c r="E1088" s="116">
        <f>E1090+E1108</f>
        <v>1538484</v>
      </c>
    </row>
    <row r="1089" spans="1:5" ht="15">
      <c r="A1089" s="76"/>
      <c r="B1089" s="76"/>
      <c r="C1089" s="77"/>
      <c r="D1089" s="138"/>
      <c r="E1089" s="132"/>
    </row>
    <row r="1090" spans="1:5" s="66" customFormat="1" ht="31.5">
      <c r="A1090" s="78"/>
      <c r="B1090" s="78">
        <v>85321</v>
      </c>
      <c r="C1090" s="79"/>
      <c r="D1090" s="137" t="s">
        <v>112</v>
      </c>
      <c r="E1090" s="131">
        <f>SUM(E1092:E1106)</f>
        <v>87514</v>
      </c>
    </row>
    <row r="1091" spans="1:5" s="66" customFormat="1" ht="15.75">
      <c r="A1091" s="78"/>
      <c r="B1091" s="78"/>
      <c r="C1091" s="79"/>
      <c r="D1091" s="137"/>
      <c r="E1091" s="131"/>
    </row>
    <row r="1092" spans="1:5" ht="15">
      <c r="A1092" s="76"/>
      <c r="B1092" s="76"/>
      <c r="C1092" s="77">
        <v>4010</v>
      </c>
      <c r="D1092" s="138" t="s">
        <v>20</v>
      </c>
      <c r="E1092" s="132">
        <v>18700</v>
      </c>
    </row>
    <row r="1093" spans="1:5" ht="15">
      <c r="A1093" s="122"/>
      <c r="B1093" s="122"/>
      <c r="C1093" s="127"/>
      <c r="D1093" s="138"/>
      <c r="E1093" s="132"/>
    </row>
    <row r="1094" spans="1:5" ht="15">
      <c r="A1094" s="122"/>
      <c r="B1094" s="122"/>
      <c r="C1094" s="127">
        <v>4040</v>
      </c>
      <c r="D1094" s="138" t="s">
        <v>21</v>
      </c>
      <c r="E1094" s="132">
        <v>1430</v>
      </c>
    </row>
    <row r="1095" spans="1:5" ht="15">
      <c r="A1095" s="122"/>
      <c r="B1095" s="122"/>
      <c r="C1095" s="127"/>
      <c r="D1095" s="138"/>
      <c r="E1095" s="132"/>
    </row>
    <row r="1096" spans="1:5" ht="15">
      <c r="A1096" s="122"/>
      <c r="B1096" s="122"/>
      <c r="C1096" s="127">
        <v>4110</v>
      </c>
      <c r="D1096" s="138" t="s">
        <v>22</v>
      </c>
      <c r="E1096" s="132">
        <v>7500</v>
      </c>
    </row>
    <row r="1097" spans="1:5" ht="15">
      <c r="A1097" s="122"/>
      <c r="B1097" s="122"/>
      <c r="C1097" s="127"/>
      <c r="D1097" s="138"/>
      <c r="E1097" s="132"/>
    </row>
    <row r="1098" spans="1:5" ht="15">
      <c r="A1098" s="122"/>
      <c r="B1098" s="122"/>
      <c r="C1098" s="127">
        <v>4120</v>
      </c>
      <c r="D1098" s="138" t="s">
        <v>23</v>
      </c>
      <c r="E1098" s="132">
        <v>1034</v>
      </c>
    </row>
    <row r="1099" spans="1:5" ht="15">
      <c r="A1099" s="122"/>
      <c r="B1099" s="122"/>
      <c r="C1099" s="127"/>
      <c r="D1099" s="138"/>
      <c r="E1099" s="132"/>
    </row>
    <row r="1100" spans="1:5" ht="15">
      <c r="A1100" s="122"/>
      <c r="B1100" s="122"/>
      <c r="C1100" s="127">
        <v>4170</v>
      </c>
      <c r="D1100" s="138" t="s">
        <v>217</v>
      </c>
      <c r="E1100" s="132">
        <v>50070</v>
      </c>
    </row>
    <row r="1101" spans="1:5" ht="15">
      <c r="A1101" s="122"/>
      <c r="B1101" s="122"/>
      <c r="C1101" s="127"/>
      <c r="D1101" s="138"/>
      <c r="E1101" s="132"/>
    </row>
    <row r="1102" spans="1:5" ht="15">
      <c r="A1102" s="122"/>
      <c r="B1102" s="122"/>
      <c r="C1102" s="127">
        <v>4210</v>
      </c>
      <c r="D1102" s="138" t="s">
        <v>14</v>
      </c>
      <c r="E1102" s="132">
        <v>2000</v>
      </c>
    </row>
    <row r="1103" spans="1:5" ht="15">
      <c r="A1103" s="122"/>
      <c r="B1103" s="122"/>
      <c r="C1103" s="127"/>
      <c r="D1103" s="138"/>
      <c r="E1103" s="132"/>
    </row>
    <row r="1104" spans="1:5" ht="15">
      <c r="A1104" s="122"/>
      <c r="B1104" s="122"/>
      <c r="C1104" s="127">
        <v>4300</v>
      </c>
      <c r="D1104" s="138" t="s">
        <v>90</v>
      </c>
      <c r="E1104" s="132">
        <f>56500-50070</f>
        <v>6430</v>
      </c>
    </row>
    <row r="1105" spans="1:5" ht="15">
      <c r="A1105" s="122"/>
      <c r="B1105" s="122"/>
      <c r="C1105" s="127"/>
      <c r="D1105" s="138"/>
      <c r="E1105" s="132"/>
    </row>
    <row r="1106" spans="1:5" ht="30">
      <c r="A1106" s="122"/>
      <c r="B1106" s="122"/>
      <c r="C1106" s="127">
        <v>4440</v>
      </c>
      <c r="D1106" s="138" t="s">
        <v>28</v>
      </c>
      <c r="E1106" s="132">
        <v>350</v>
      </c>
    </row>
    <row r="1107" spans="1:5" ht="15">
      <c r="A1107" s="122"/>
      <c r="B1107" s="122"/>
      <c r="C1107" s="127"/>
      <c r="D1107" s="138"/>
      <c r="E1107" s="132"/>
    </row>
    <row r="1108" spans="1:5" s="110" customFormat="1" ht="15.75">
      <c r="A1108" s="105"/>
      <c r="B1108" s="86">
        <v>85333</v>
      </c>
      <c r="C1108" s="70"/>
      <c r="D1108" s="100" t="s">
        <v>194</v>
      </c>
      <c r="E1108" s="145">
        <f>SUM(E1110:E1134)</f>
        <v>1450970</v>
      </c>
    </row>
    <row r="1109" spans="1:5" ht="15.75">
      <c r="A1109" s="149"/>
      <c r="B1109" s="86"/>
      <c r="C1109" s="70"/>
      <c r="D1109" s="100"/>
      <c r="E1109" s="92"/>
    </row>
    <row r="1110" spans="1:6" ht="30">
      <c r="A1110" s="105"/>
      <c r="B1110" s="105"/>
      <c r="C1110" s="148">
        <v>3020</v>
      </c>
      <c r="D1110" s="91" t="s">
        <v>202</v>
      </c>
      <c r="E1110" s="156">
        <v>1000</v>
      </c>
      <c r="F1110" s="157"/>
    </row>
    <row r="1111" spans="1:5" ht="15">
      <c r="A1111" s="105"/>
      <c r="B1111" s="105"/>
      <c r="C1111" s="148"/>
      <c r="D1111" s="91"/>
      <c r="E1111" s="92"/>
    </row>
    <row r="1112" spans="1:6" ht="15">
      <c r="A1112" s="105"/>
      <c r="B1112" s="105"/>
      <c r="C1112" s="102">
        <v>4010</v>
      </c>
      <c r="D1112" s="91" t="s">
        <v>20</v>
      </c>
      <c r="E1112" s="92">
        <f>609800+380500</f>
        <v>990300</v>
      </c>
      <c r="F1112" s="158">
        <v>380500</v>
      </c>
    </row>
    <row r="1113" spans="1:5" ht="15">
      <c r="A1113" s="105"/>
      <c r="B1113" s="105"/>
      <c r="C1113" s="102"/>
      <c r="D1113" s="91"/>
      <c r="E1113" s="92"/>
    </row>
    <row r="1114" spans="1:5" ht="15">
      <c r="A1114" s="105"/>
      <c r="B1114" s="105"/>
      <c r="C1114" s="148">
        <v>4040</v>
      </c>
      <c r="D1114" s="91" t="s">
        <v>21</v>
      </c>
      <c r="E1114" s="92">
        <v>61000</v>
      </c>
    </row>
    <row r="1115" spans="1:5" ht="15">
      <c r="A1115" s="105"/>
      <c r="B1115" s="105"/>
      <c r="C1115" s="148"/>
      <c r="D1115" s="91"/>
      <c r="E1115" s="92"/>
    </row>
    <row r="1116" spans="1:6" ht="15">
      <c r="A1116" s="105"/>
      <c r="B1116" s="105"/>
      <c r="C1116" s="148">
        <v>4110</v>
      </c>
      <c r="D1116" s="91" t="s">
        <v>22</v>
      </c>
      <c r="E1116" s="92">
        <f>114000+74900</f>
        <v>188900</v>
      </c>
      <c r="F1116" s="158">
        <v>74900</v>
      </c>
    </row>
    <row r="1117" spans="1:5" ht="15">
      <c r="A1117" s="105"/>
      <c r="B1117" s="105"/>
      <c r="C1117" s="148"/>
      <c r="D1117" s="91"/>
      <c r="E1117" s="92"/>
    </row>
    <row r="1118" spans="1:6" ht="15">
      <c r="A1118" s="105"/>
      <c r="B1118" s="105"/>
      <c r="C1118" s="148">
        <v>4120</v>
      </c>
      <c r="D1118" s="91" t="s">
        <v>23</v>
      </c>
      <c r="E1118" s="92">
        <f>16400+9300</f>
        <v>25700</v>
      </c>
      <c r="F1118" s="158">
        <v>9300</v>
      </c>
    </row>
    <row r="1119" spans="1:5" ht="15">
      <c r="A1119" s="105"/>
      <c r="B1119" s="105"/>
      <c r="C1119" s="148"/>
      <c r="D1119" s="91"/>
      <c r="E1119" s="92"/>
    </row>
    <row r="1120" spans="1:5" ht="15">
      <c r="A1120" s="105"/>
      <c r="B1120" s="105"/>
      <c r="C1120" s="148">
        <v>4210</v>
      </c>
      <c r="D1120" s="91" t="s">
        <v>14</v>
      </c>
      <c r="E1120" s="92">
        <v>33130</v>
      </c>
    </row>
    <row r="1121" spans="1:5" ht="15">
      <c r="A1121" s="105"/>
      <c r="B1121" s="105"/>
      <c r="C1121" s="148"/>
      <c r="D1121" s="91"/>
      <c r="E1121" s="92"/>
    </row>
    <row r="1122" spans="1:5" ht="15">
      <c r="A1122" s="105"/>
      <c r="B1122" s="105"/>
      <c r="C1122" s="148">
        <v>4260</v>
      </c>
      <c r="D1122" s="91" t="s">
        <v>24</v>
      </c>
      <c r="E1122" s="92">
        <v>42000</v>
      </c>
    </row>
    <row r="1123" spans="1:5" ht="15">
      <c r="A1123" s="105"/>
      <c r="B1123" s="105"/>
      <c r="C1123" s="148"/>
      <c r="D1123" s="91"/>
      <c r="E1123" s="92"/>
    </row>
    <row r="1124" spans="1:5" ht="15">
      <c r="A1124" s="105"/>
      <c r="B1124" s="105"/>
      <c r="C1124" s="148">
        <v>4270</v>
      </c>
      <c r="D1124" s="91" t="s">
        <v>25</v>
      </c>
      <c r="E1124" s="92">
        <v>1000</v>
      </c>
    </row>
    <row r="1125" spans="1:5" ht="15">
      <c r="A1125" s="105"/>
      <c r="B1125" s="105"/>
      <c r="C1125" s="148"/>
      <c r="D1125" s="91"/>
      <c r="E1125" s="92"/>
    </row>
    <row r="1126" spans="1:5" ht="15">
      <c r="A1126" s="105"/>
      <c r="B1126" s="105"/>
      <c r="C1126" s="148">
        <v>4300</v>
      </c>
      <c r="D1126" s="138" t="s">
        <v>105</v>
      </c>
      <c r="E1126" s="92">
        <v>67340</v>
      </c>
    </row>
    <row r="1127" spans="1:5" ht="15">
      <c r="A1127" s="105"/>
      <c r="B1127" s="105"/>
      <c r="C1127" s="148"/>
      <c r="D1127" s="91"/>
      <c r="E1127" s="92"/>
    </row>
    <row r="1128" spans="1:5" ht="15">
      <c r="A1128" s="105"/>
      <c r="B1128" s="105"/>
      <c r="C1128" s="148">
        <v>4410</v>
      </c>
      <c r="D1128" s="91" t="s">
        <v>26</v>
      </c>
      <c r="E1128" s="92">
        <v>2700</v>
      </c>
    </row>
    <row r="1129" spans="1:5" ht="15">
      <c r="A1129" s="105"/>
      <c r="B1129" s="105"/>
      <c r="C1129" s="148"/>
      <c r="D1129" s="91"/>
      <c r="E1129" s="92"/>
    </row>
    <row r="1130" spans="1:5" ht="15">
      <c r="A1130" s="105"/>
      <c r="B1130" s="105"/>
      <c r="C1130" s="148">
        <v>4430</v>
      </c>
      <c r="D1130" s="91" t="s">
        <v>27</v>
      </c>
      <c r="E1130" s="92">
        <v>3500</v>
      </c>
    </row>
    <row r="1131" spans="1:5" ht="15">
      <c r="A1131" s="105"/>
      <c r="B1131" s="105"/>
      <c r="C1131" s="102"/>
      <c r="D1131" s="159"/>
      <c r="E1131" s="92"/>
    </row>
    <row r="1132" spans="1:5" ht="30">
      <c r="A1132" s="105"/>
      <c r="B1132" s="105"/>
      <c r="C1132" s="148">
        <v>4440</v>
      </c>
      <c r="D1132" s="91" t="s">
        <v>28</v>
      </c>
      <c r="E1132" s="92">
        <v>31400</v>
      </c>
    </row>
    <row r="1133" spans="1:5" ht="15">
      <c r="A1133" s="105"/>
      <c r="B1133" s="105"/>
      <c r="C1133" s="148"/>
      <c r="D1133" s="91"/>
      <c r="E1133" s="92"/>
    </row>
    <row r="1134" spans="1:5" ht="15">
      <c r="A1134" s="105"/>
      <c r="B1134" s="105"/>
      <c r="C1134" s="148">
        <v>4480</v>
      </c>
      <c r="D1134" s="91" t="s">
        <v>29</v>
      </c>
      <c r="E1134" s="92">
        <v>3000</v>
      </c>
    </row>
    <row r="1135" spans="1:5" ht="15">
      <c r="A1135" s="105"/>
      <c r="B1135" s="105"/>
      <c r="C1135" s="148"/>
      <c r="D1135" s="91"/>
      <c r="E1135" s="92"/>
    </row>
    <row r="1136" spans="1:5" s="65" customFormat="1" ht="31.5">
      <c r="A1136" s="82">
        <v>854</v>
      </c>
      <c r="B1136" s="82"/>
      <c r="C1136" s="88"/>
      <c r="D1136" s="146" t="s">
        <v>146</v>
      </c>
      <c r="E1136" s="147">
        <f>E1138+E1154+E1232+E1396+E1291+E1379</f>
        <v>7843949</v>
      </c>
    </row>
    <row r="1137" spans="1:5" ht="15">
      <c r="A1137" s="71"/>
      <c r="B1137" s="71"/>
      <c r="C1137" s="70"/>
      <c r="D1137" s="91"/>
      <c r="E1137" s="92"/>
    </row>
    <row r="1138" spans="1:5" s="66" customFormat="1" ht="15.75">
      <c r="A1138" s="86"/>
      <c r="B1138" s="86">
        <v>85401</v>
      </c>
      <c r="C1138" s="87"/>
      <c r="D1138" s="100" t="s">
        <v>147</v>
      </c>
      <c r="E1138" s="145">
        <f>SUM(E1140:E1152)</f>
        <v>167800</v>
      </c>
    </row>
    <row r="1139" spans="1:5" ht="15">
      <c r="A1139" s="71"/>
      <c r="B1139" s="71"/>
      <c r="C1139" s="70"/>
      <c r="D1139" s="91"/>
      <c r="E1139" s="92"/>
    </row>
    <row r="1140" spans="1:5" ht="31.5">
      <c r="A1140" s="105"/>
      <c r="B1140" s="105"/>
      <c r="C1140" s="148"/>
      <c r="D1140" s="100" t="s">
        <v>148</v>
      </c>
      <c r="E1140" s="92"/>
    </row>
    <row r="1141" spans="1:5" ht="15">
      <c r="A1141" s="105"/>
      <c r="B1141" s="105"/>
      <c r="C1141" s="148"/>
      <c r="D1141" s="91"/>
      <c r="E1141" s="92"/>
    </row>
    <row r="1142" spans="1:5" ht="30">
      <c r="A1142" s="105"/>
      <c r="B1142" s="105"/>
      <c r="C1142" s="148">
        <v>3020</v>
      </c>
      <c r="D1142" s="91" t="s">
        <v>202</v>
      </c>
      <c r="E1142" s="92">
        <v>180</v>
      </c>
    </row>
    <row r="1143" spans="1:5" ht="15">
      <c r="A1143" s="105"/>
      <c r="B1143" s="105"/>
      <c r="C1143" s="148"/>
      <c r="D1143" s="91"/>
      <c r="E1143" s="92"/>
    </row>
    <row r="1144" spans="1:5" ht="15">
      <c r="A1144" s="105"/>
      <c r="B1144" s="105"/>
      <c r="C1144" s="148">
        <v>4010</v>
      </c>
      <c r="D1144" s="91" t="s">
        <v>20</v>
      </c>
      <c r="E1144" s="92">
        <v>124000</v>
      </c>
    </row>
    <row r="1145" spans="1:5" ht="15">
      <c r="A1145" s="105"/>
      <c r="B1145" s="105"/>
      <c r="C1145" s="148"/>
      <c r="D1145" s="91"/>
      <c r="E1145" s="92"/>
    </row>
    <row r="1146" spans="1:5" ht="15">
      <c r="A1146" s="105"/>
      <c r="B1146" s="105"/>
      <c r="C1146" s="148">
        <v>4040</v>
      </c>
      <c r="D1146" s="91" t="s">
        <v>21</v>
      </c>
      <c r="E1146" s="92">
        <v>9510</v>
      </c>
    </row>
    <row r="1147" spans="1:5" ht="15">
      <c r="A1147" s="105"/>
      <c r="B1147" s="105"/>
      <c r="C1147" s="148"/>
      <c r="D1147" s="91"/>
      <c r="E1147" s="92"/>
    </row>
    <row r="1148" spans="1:5" ht="15">
      <c r="A1148" s="105"/>
      <c r="B1148" s="105"/>
      <c r="C1148" s="148">
        <v>4110</v>
      </c>
      <c r="D1148" s="91" t="s">
        <v>118</v>
      </c>
      <c r="E1148" s="92">
        <v>22540</v>
      </c>
    </row>
    <row r="1149" spans="1:5" ht="15">
      <c r="A1149" s="105"/>
      <c r="B1149" s="105"/>
      <c r="C1149" s="148"/>
      <c r="D1149" s="91"/>
      <c r="E1149" s="92"/>
    </row>
    <row r="1150" spans="1:5" ht="15">
      <c r="A1150" s="105"/>
      <c r="B1150" s="105"/>
      <c r="C1150" s="148">
        <v>4120</v>
      </c>
      <c r="D1150" s="91" t="s">
        <v>23</v>
      </c>
      <c r="E1150" s="92">
        <v>3270</v>
      </c>
    </row>
    <row r="1151" spans="1:5" ht="15">
      <c r="A1151" s="105"/>
      <c r="B1151" s="105"/>
      <c r="C1151" s="148"/>
      <c r="D1151" s="91"/>
      <c r="E1151" s="92"/>
    </row>
    <row r="1152" spans="1:5" ht="30">
      <c r="A1152" s="105"/>
      <c r="B1152" s="105"/>
      <c r="C1152" s="148">
        <v>4440</v>
      </c>
      <c r="D1152" s="91" t="s">
        <v>28</v>
      </c>
      <c r="E1152" s="92">
        <v>8300</v>
      </c>
    </row>
    <row r="1153" spans="1:5" ht="15">
      <c r="A1153" s="105"/>
      <c r="B1153" s="105"/>
      <c r="C1153" s="148"/>
      <c r="D1153" s="91"/>
      <c r="E1153" s="92"/>
    </row>
    <row r="1154" spans="1:5" s="66" customFormat="1" ht="47.25">
      <c r="A1154" s="86"/>
      <c r="B1154" s="86">
        <v>85406</v>
      </c>
      <c r="C1154" s="87"/>
      <c r="D1154" s="100" t="s">
        <v>195</v>
      </c>
      <c r="E1154" s="145">
        <f>SUM(E1156:E1190)</f>
        <v>715770</v>
      </c>
    </row>
    <row r="1155" spans="1:5" ht="15">
      <c r="A1155" s="71"/>
      <c r="B1155" s="71"/>
      <c r="C1155" s="70"/>
      <c r="D1155" s="91"/>
      <c r="E1155" s="92"/>
    </row>
    <row r="1156" spans="1:5" ht="60">
      <c r="A1156" s="105"/>
      <c r="B1156" s="105"/>
      <c r="C1156" s="148">
        <v>2310</v>
      </c>
      <c r="D1156" s="91" t="s">
        <v>149</v>
      </c>
      <c r="E1156" s="92">
        <v>266000</v>
      </c>
    </row>
    <row r="1157" spans="1:5" ht="15">
      <c r="A1157" s="105"/>
      <c r="B1157" s="105"/>
      <c r="C1157" s="148"/>
      <c r="D1157" s="91"/>
      <c r="E1157" s="92"/>
    </row>
    <row r="1158" spans="1:5" ht="30">
      <c r="A1158" s="105"/>
      <c r="B1158" s="105"/>
      <c r="C1158" s="148">
        <v>3020</v>
      </c>
      <c r="D1158" s="91" t="s">
        <v>202</v>
      </c>
      <c r="E1158" s="92">
        <v>5780</v>
      </c>
    </row>
    <row r="1159" spans="1:5" ht="15">
      <c r="A1159" s="105"/>
      <c r="B1159" s="105"/>
      <c r="C1159" s="148"/>
      <c r="D1159" s="91"/>
      <c r="E1159" s="92"/>
    </row>
    <row r="1160" spans="1:5" ht="15">
      <c r="A1160" s="105"/>
      <c r="B1160" s="105"/>
      <c r="C1160" s="148">
        <v>4010</v>
      </c>
      <c r="D1160" s="91" t="s">
        <v>20</v>
      </c>
      <c r="E1160" s="92">
        <v>302200</v>
      </c>
    </row>
    <row r="1161" spans="1:5" ht="15">
      <c r="A1161" s="105"/>
      <c r="B1161" s="105"/>
      <c r="C1161" s="148"/>
      <c r="D1161" s="91"/>
      <c r="E1161" s="92"/>
    </row>
    <row r="1162" spans="1:5" ht="15">
      <c r="A1162" s="105"/>
      <c r="B1162" s="105"/>
      <c r="C1162" s="148">
        <v>4040</v>
      </c>
      <c r="D1162" s="91" t="s">
        <v>21</v>
      </c>
      <c r="E1162" s="92">
        <v>24860</v>
      </c>
    </row>
    <row r="1163" spans="1:5" ht="15">
      <c r="A1163" s="105"/>
      <c r="B1163" s="105"/>
      <c r="C1163" s="148"/>
      <c r="D1163" s="91"/>
      <c r="E1163" s="92"/>
    </row>
    <row r="1164" spans="1:5" ht="15">
      <c r="A1164" s="105"/>
      <c r="B1164" s="105"/>
      <c r="C1164" s="148">
        <v>4110</v>
      </c>
      <c r="D1164" s="91" t="s">
        <v>118</v>
      </c>
      <c r="E1164" s="92">
        <v>55210</v>
      </c>
    </row>
    <row r="1165" spans="1:5" ht="15">
      <c r="A1165" s="105"/>
      <c r="B1165" s="105"/>
      <c r="C1165" s="148"/>
      <c r="D1165" s="91"/>
      <c r="E1165" s="92"/>
    </row>
    <row r="1166" spans="1:5" ht="15">
      <c r="A1166" s="105"/>
      <c r="B1166" s="105"/>
      <c r="C1166" s="148">
        <v>4120</v>
      </c>
      <c r="D1166" s="91" t="s">
        <v>23</v>
      </c>
      <c r="E1166" s="92">
        <v>8010</v>
      </c>
    </row>
    <row r="1167" spans="1:5" ht="15">
      <c r="A1167" s="105"/>
      <c r="B1167" s="105"/>
      <c r="C1167" s="148"/>
      <c r="D1167" s="91"/>
      <c r="E1167" s="92"/>
    </row>
    <row r="1168" spans="1:5" ht="15">
      <c r="A1168" s="105"/>
      <c r="B1168" s="105"/>
      <c r="C1168" s="148">
        <v>4170</v>
      </c>
      <c r="D1168" s="91" t="s">
        <v>215</v>
      </c>
      <c r="E1168" s="92">
        <v>500</v>
      </c>
    </row>
    <row r="1169" spans="1:5" ht="15">
      <c r="A1169" s="105"/>
      <c r="B1169" s="105"/>
      <c r="C1169" s="148"/>
      <c r="D1169" s="91"/>
      <c r="E1169" s="92"/>
    </row>
    <row r="1170" spans="1:5" ht="15">
      <c r="A1170" s="105"/>
      <c r="B1170" s="105"/>
      <c r="C1170" s="148">
        <v>4210</v>
      </c>
      <c r="D1170" s="91" t="s">
        <v>14</v>
      </c>
      <c r="E1170" s="92">
        <v>6000</v>
      </c>
    </row>
    <row r="1171" spans="1:5" ht="15">
      <c r="A1171" s="105"/>
      <c r="B1171" s="105"/>
      <c r="C1171" s="148"/>
      <c r="D1171" s="91"/>
      <c r="E1171" s="92"/>
    </row>
    <row r="1172" spans="1:5" ht="15">
      <c r="A1172" s="105"/>
      <c r="B1172" s="105"/>
      <c r="C1172" s="148">
        <v>4240</v>
      </c>
      <c r="D1172" s="91" t="s">
        <v>175</v>
      </c>
      <c r="E1172" s="92"/>
    </row>
    <row r="1173" spans="1:5" ht="15">
      <c r="A1173" s="105"/>
      <c r="B1173" s="105"/>
      <c r="C1173" s="148"/>
      <c r="D1173" s="91"/>
      <c r="E1173" s="92"/>
    </row>
    <row r="1174" spans="1:5" ht="15">
      <c r="A1174" s="105"/>
      <c r="B1174" s="105"/>
      <c r="C1174" s="148">
        <v>4260</v>
      </c>
      <c r="D1174" s="91" t="s">
        <v>24</v>
      </c>
      <c r="E1174" s="92">
        <v>9500</v>
      </c>
    </row>
    <row r="1175" spans="1:5" ht="15">
      <c r="A1175" s="105"/>
      <c r="B1175" s="105"/>
      <c r="C1175" s="148"/>
      <c r="D1175" s="91"/>
      <c r="E1175" s="92"/>
    </row>
    <row r="1176" spans="1:5" ht="15">
      <c r="A1176" s="105"/>
      <c r="B1176" s="105"/>
      <c r="C1176" s="148">
        <v>4270</v>
      </c>
      <c r="D1176" s="91" t="s">
        <v>25</v>
      </c>
      <c r="E1176" s="92">
        <v>500</v>
      </c>
    </row>
    <row r="1177" spans="1:5" ht="15">
      <c r="A1177" s="105"/>
      <c r="B1177" s="105"/>
      <c r="C1177" s="148"/>
      <c r="D1177" s="91"/>
      <c r="E1177" s="92"/>
    </row>
    <row r="1178" spans="1:5" ht="15">
      <c r="A1178" s="105"/>
      <c r="B1178" s="105"/>
      <c r="C1178" s="148">
        <v>4300</v>
      </c>
      <c r="D1178" s="91" t="s">
        <v>36</v>
      </c>
      <c r="E1178" s="92">
        <f>7020-600-500</f>
        <v>5920</v>
      </c>
    </row>
    <row r="1179" spans="1:5" ht="15">
      <c r="A1179" s="105"/>
      <c r="B1179" s="105"/>
      <c r="C1179" s="148"/>
      <c r="D1179" s="91"/>
      <c r="E1179" s="92"/>
    </row>
    <row r="1180" spans="1:5" ht="15">
      <c r="A1180" s="105"/>
      <c r="B1180" s="105"/>
      <c r="C1180" s="148">
        <v>4350</v>
      </c>
      <c r="D1180" s="91" t="s">
        <v>216</v>
      </c>
      <c r="E1180" s="92">
        <v>600</v>
      </c>
    </row>
    <row r="1181" spans="1:5" ht="15">
      <c r="A1181" s="105"/>
      <c r="B1181" s="105"/>
      <c r="C1181" s="148"/>
      <c r="D1181" s="91"/>
      <c r="E1181" s="92"/>
    </row>
    <row r="1182" spans="1:5" ht="15">
      <c r="A1182" s="105"/>
      <c r="B1182" s="105"/>
      <c r="C1182" s="148">
        <v>4410</v>
      </c>
      <c r="D1182" s="91" t="s">
        <v>26</v>
      </c>
      <c r="E1182" s="92">
        <v>3350</v>
      </c>
    </row>
    <row r="1183" spans="1:5" ht="15">
      <c r="A1183" s="105"/>
      <c r="B1183" s="105"/>
      <c r="C1183" s="148"/>
      <c r="D1183" s="91"/>
      <c r="E1183" s="92"/>
    </row>
    <row r="1184" spans="1:5" ht="15">
      <c r="A1184" s="105"/>
      <c r="B1184" s="105"/>
      <c r="C1184" s="148">
        <v>4430</v>
      </c>
      <c r="D1184" s="91" t="s">
        <v>27</v>
      </c>
      <c r="E1184" s="92">
        <v>200</v>
      </c>
    </row>
    <row r="1185" spans="1:5" ht="15">
      <c r="A1185" s="105"/>
      <c r="B1185" s="105"/>
      <c r="C1185" s="148"/>
      <c r="D1185" s="91"/>
      <c r="E1185" s="92"/>
    </row>
    <row r="1186" spans="1:5" ht="30">
      <c r="A1186" s="105"/>
      <c r="B1186" s="105"/>
      <c r="C1186" s="148">
        <v>4440</v>
      </c>
      <c r="D1186" s="91" t="s">
        <v>28</v>
      </c>
      <c r="E1186" s="92">
        <v>20140</v>
      </c>
    </row>
    <row r="1187" spans="1:5" ht="15">
      <c r="A1187" s="105"/>
      <c r="B1187" s="105"/>
      <c r="C1187" s="148"/>
      <c r="D1187" s="91"/>
      <c r="E1187" s="92"/>
    </row>
    <row r="1188" spans="1:6" ht="30">
      <c r="A1188" s="82"/>
      <c r="B1188" s="82"/>
      <c r="C1188" s="83">
        <v>6060</v>
      </c>
      <c r="D1188" s="98" t="s">
        <v>205</v>
      </c>
      <c r="E1188" s="92">
        <v>7000</v>
      </c>
      <c r="F1188" s="93">
        <v>7000</v>
      </c>
    </row>
    <row r="1189" spans="1:5" ht="15">
      <c r="A1189" s="105"/>
      <c r="B1189" s="105"/>
      <c r="C1189" s="148"/>
      <c r="D1189" s="91"/>
      <c r="E1189" s="92"/>
    </row>
    <row r="1190" spans="1:5" ht="15">
      <c r="A1190" s="105"/>
      <c r="B1190" s="105"/>
      <c r="C1190" s="148"/>
      <c r="D1190" s="91" t="s">
        <v>54</v>
      </c>
      <c r="E1190" s="92"/>
    </row>
    <row r="1191" spans="1:5" ht="15">
      <c r="A1191" s="105"/>
      <c r="B1191" s="105"/>
      <c r="C1191" s="148"/>
      <c r="D1191" s="91"/>
      <c r="E1191" s="92"/>
    </row>
    <row r="1192" spans="1:5" ht="31.5">
      <c r="A1192" s="105"/>
      <c r="B1192" s="105"/>
      <c r="C1192" s="148" t="s">
        <v>55</v>
      </c>
      <c r="D1192" s="100" t="s">
        <v>150</v>
      </c>
      <c r="E1192" s="92">
        <f>SUM(E1194:E1222)</f>
        <v>449770</v>
      </c>
    </row>
    <row r="1193" spans="1:5" ht="15">
      <c r="A1193" s="105"/>
      <c r="B1193" s="105"/>
      <c r="C1193" s="148"/>
      <c r="D1193" s="91"/>
      <c r="E1193" s="92"/>
    </row>
    <row r="1194" spans="1:5" ht="30">
      <c r="A1194" s="105"/>
      <c r="B1194" s="105"/>
      <c r="C1194" s="148">
        <v>3020</v>
      </c>
      <c r="D1194" s="91" t="s">
        <v>202</v>
      </c>
      <c r="E1194" s="92">
        <v>5780</v>
      </c>
    </row>
    <row r="1195" spans="1:5" ht="15">
      <c r="A1195" s="105"/>
      <c r="B1195" s="105"/>
      <c r="C1195" s="148"/>
      <c r="D1195" s="91"/>
      <c r="E1195" s="92"/>
    </row>
    <row r="1196" spans="1:5" ht="15">
      <c r="A1196" s="105"/>
      <c r="B1196" s="105"/>
      <c r="C1196" s="148">
        <v>4010</v>
      </c>
      <c r="D1196" s="91" t="s">
        <v>20</v>
      </c>
      <c r="E1196" s="92">
        <v>302200</v>
      </c>
    </row>
    <row r="1197" spans="1:5" ht="15">
      <c r="A1197" s="105"/>
      <c r="B1197" s="105"/>
      <c r="C1197" s="148"/>
      <c r="D1197" s="91"/>
      <c r="E1197" s="92"/>
    </row>
    <row r="1198" spans="1:5" ht="15">
      <c r="A1198" s="105"/>
      <c r="B1198" s="105"/>
      <c r="C1198" s="148">
        <v>4040</v>
      </c>
      <c r="D1198" s="91" t="s">
        <v>21</v>
      </c>
      <c r="E1198" s="92">
        <v>24860</v>
      </c>
    </row>
    <row r="1199" spans="1:5" ht="15">
      <c r="A1199" s="105"/>
      <c r="B1199" s="105"/>
      <c r="C1199" s="148"/>
      <c r="D1199" s="91"/>
      <c r="E1199" s="92"/>
    </row>
    <row r="1200" spans="1:5" ht="15">
      <c r="A1200" s="105"/>
      <c r="B1200" s="105"/>
      <c r="C1200" s="148">
        <v>4110</v>
      </c>
      <c r="D1200" s="91" t="s">
        <v>118</v>
      </c>
      <c r="E1200" s="92">
        <v>55210</v>
      </c>
    </row>
    <row r="1201" spans="1:5" ht="15">
      <c r="A1201" s="105"/>
      <c r="B1201" s="105"/>
      <c r="C1201" s="148"/>
      <c r="D1201" s="91"/>
      <c r="E1201" s="92"/>
    </row>
    <row r="1202" spans="1:5" ht="15">
      <c r="A1202" s="105"/>
      <c r="B1202" s="105"/>
      <c r="C1202" s="148">
        <v>4120</v>
      </c>
      <c r="D1202" s="91" t="s">
        <v>23</v>
      </c>
      <c r="E1202" s="92">
        <v>8010</v>
      </c>
    </row>
    <row r="1203" spans="1:5" ht="15">
      <c r="A1203" s="105"/>
      <c r="B1203" s="105"/>
      <c r="C1203" s="148"/>
      <c r="D1203" s="91"/>
      <c r="E1203" s="92"/>
    </row>
    <row r="1204" spans="1:5" ht="15">
      <c r="A1204" s="105"/>
      <c r="B1204" s="105"/>
      <c r="C1204" s="148">
        <v>4170</v>
      </c>
      <c r="D1204" s="91" t="s">
        <v>215</v>
      </c>
      <c r="E1204" s="92">
        <v>500</v>
      </c>
    </row>
    <row r="1205" spans="1:5" ht="15">
      <c r="A1205" s="105"/>
      <c r="B1205" s="105"/>
      <c r="C1205" s="148"/>
      <c r="D1205" s="91"/>
      <c r="E1205" s="92"/>
    </row>
    <row r="1206" spans="1:5" ht="15">
      <c r="A1206" s="105"/>
      <c r="B1206" s="105"/>
      <c r="C1206" s="148">
        <v>4210</v>
      </c>
      <c r="D1206" s="91" t="s">
        <v>14</v>
      </c>
      <c r="E1206" s="92">
        <v>6000</v>
      </c>
    </row>
    <row r="1207" spans="1:5" ht="15">
      <c r="A1207" s="105"/>
      <c r="B1207" s="105"/>
      <c r="C1207" s="148"/>
      <c r="D1207" s="91"/>
      <c r="E1207" s="92"/>
    </row>
    <row r="1208" spans="1:5" ht="15">
      <c r="A1208" s="105"/>
      <c r="B1208" s="105"/>
      <c r="C1208" s="148">
        <v>4260</v>
      </c>
      <c r="D1208" s="91" t="s">
        <v>24</v>
      </c>
      <c r="E1208" s="92">
        <v>9500</v>
      </c>
    </row>
    <row r="1209" spans="1:5" ht="15">
      <c r="A1209" s="105"/>
      <c r="B1209" s="105"/>
      <c r="C1209" s="148"/>
      <c r="D1209" s="91"/>
      <c r="E1209" s="92"/>
    </row>
    <row r="1210" spans="1:5" ht="15">
      <c r="A1210" s="105"/>
      <c r="B1210" s="105"/>
      <c r="C1210" s="148">
        <v>4270</v>
      </c>
      <c r="D1210" s="91" t="s">
        <v>25</v>
      </c>
      <c r="E1210" s="92">
        <v>500</v>
      </c>
    </row>
    <row r="1211" spans="1:5" ht="15">
      <c r="A1211" s="105"/>
      <c r="B1211" s="105"/>
      <c r="C1211" s="148"/>
      <c r="D1211" s="91"/>
      <c r="E1211" s="92"/>
    </row>
    <row r="1212" spans="1:5" ht="15">
      <c r="A1212" s="105"/>
      <c r="B1212" s="105"/>
      <c r="C1212" s="148">
        <v>4300</v>
      </c>
      <c r="D1212" s="91" t="s">
        <v>36</v>
      </c>
      <c r="E1212" s="92">
        <f>7020-600-500</f>
        <v>5920</v>
      </c>
    </row>
    <row r="1213" spans="1:5" ht="15">
      <c r="A1213" s="105"/>
      <c r="B1213" s="105"/>
      <c r="C1213" s="148"/>
      <c r="D1213" s="91"/>
      <c r="E1213" s="92"/>
    </row>
    <row r="1214" spans="1:5" ht="15">
      <c r="A1214" s="105"/>
      <c r="B1214" s="105"/>
      <c r="C1214" s="148">
        <v>4350</v>
      </c>
      <c r="D1214" s="91" t="s">
        <v>216</v>
      </c>
      <c r="E1214" s="92">
        <v>600</v>
      </c>
    </row>
    <row r="1215" spans="1:5" ht="15">
      <c r="A1215" s="105"/>
      <c r="B1215" s="105"/>
      <c r="C1215" s="148"/>
      <c r="D1215" s="91"/>
      <c r="E1215" s="92"/>
    </row>
    <row r="1216" spans="1:5" ht="15">
      <c r="A1216" s="105"/>
      <c r="B1216" s="105"/>
      <c r="C1216" s="148">
        <v>4410</v>
      </c>
      <c r="D1216" s="91" t="s">
        <v>26</v>
      </c>
      <c r="E1216" s="92">
        <v>3350</v>
      </c>
    </row>
    <row r="1217" spans="1:5" ht="15">
      <c r="A1217" s="105"/>
      <c r="B1217" s="105"/>
      <c r="C1217" s="148"/>
      <c r="D1217" s="91"/>
      <c r="E1217" s="92"/>
    </row>
    <row r="1218" spans="1:5" ht="15">
      <c r="A1218" s="105"/>
      <c r="B1218" s="105"/>
      <c r="C1218" s="148">
        <v>4430</v>
      </c>
      <c r="D1218" s="91" t="s">
        <v>27</v>
      </c>
      <c r="E1218" s="92">
        <v>200</v>
      </c>
    </row>
    <row r="1219" spans="1:5" ht="15">
      <c r="A1219" s="105"/>
      <c r="B1219" s="105"/>
      <c r="C1219" s="148"/>
      <c r="D1219" s="91"/>
      <c r="E1219" s="92"/>
    </row>
    <row r="1220" spans="1:5" ht="30">
      <c r="A1220" s="105"/>
      <c r="B1220" s="105"/>
      <c r="C1220" s="148">
        <v>4440</v>
      </c>
      <c r="D1220" s="91" t="s">
        <v>28</v>
      </c>
      <c r="E1220" s="92">
        <v>20140</v>
      </c>
    </row>
    <row r="1221" spans="1:5" ht="15">
      <c r="A1221" s="105"/>
      <c r="B1221" s="105"/>
      <c r="C1221" s="148"/>
      <c r="D1221" s="91"/>
      <c r="E1221" s="92"/>
    </row>
    <row r="1222" spans="1:5" ht="30">
      <c r="A1222" s="82"/>
      <c r="B1222" s="82"/>
      <c r="C1222" s="83">
        <v>6060</v>
      </c>
      <c r="D1222" s="98" t="s">
        <v>205</v>
      </c>
      <c r="E1222" s="92">
        <v>7000</v>
      </c>
    </row>
    <row r="1223" spans="1:5" ht="15">
      <c r="A1223" s="105"/>
      <c r="B1223" s="105"/>
      <c r="C1223" s="148"/>
      <c r="D1223" s="91"/>
      <c r="E1223" s="92"/>
    </row>
    <row r="1224" spans="1:5" ht="15.75">
      <c r="A1224" s="105"/>
      <c r="B1224" s="105"/>
      <c r="C1224" s="148" t="s">
        <v>55</v>
      </c>
      <c r="D1224" s="100" t="s">
        <v>132</v>
      </c>
      <c r="E1224" s="92">
        <f>SUM(E1226:E1230)-E1228-E1230</f>
        <v>266000</v>
      </c>
    </row>
    <row r="1225" spans="1:5" ht="15">
      <c r="A1225" s="105"/>
      <c r="B1225" s="105"/>
      <c r="C1225" s="148"/>
      <c r="D1225" s="91"/>
      <c r="E1225" s="92"/>
    </row>
    <row r="1226" spans="1:5" ht="60">
      <c r="A1226" s="105"/>
      <c r="B1226" s="105"/>
      <c r="C1226" s="148">
        <v>2310</v>
      </c>
      <c r="D1226" s="91" t="s">
        <v>151</v>
      </c>
      <c r="E1226" s="92">
        <v>266000</v>
      </c>
    </row>
    <row r="1227" spans="1:5" ht="15">
      <c r="A1227" s="105"/>
      <c r="B1227" s="105"/>
      <c r="C1227" s="148"/>
      <c r="D1227" s="91"/>
      <c r="E1227" s="92"/>
    </row>
    <row r="1228" spans="1:5" ht="15">
      <c r="A1228" s="105"/>
      <c r="B1228" s="105"/>
      <c r="C1228" s="148"/>
      <c r="D1228" s="91" t="s">
        <v>152</v>
      </c>
      <c r="E1228" s="92">
        <v>210000</v>
      </c>
    </row>
    <row r="1229" spans="1:5" ht="15">
      <c r="A1229" s="105"/>
      <c r="B1229" s="105"/>
      <c r="C1229" s="148"/>
      <c r="D1229" s="91"/>
      <c r="E1229" s="92"/>
    </row>
    <row r="1230" spans="1:5" ht="15">
      <c r="A1230" s="105"/>
      <c r="B1230" s="105"/>
      <c r="C1230" s="148"/>
      <c r="D1230" s="91" t="s">
        <v>153</v>
      </c>
      <c r="E1230" s="92">
        <v>56000</v>
      </c>
    </row>
    <row r="1231" spans="1:5" ht="15">
      <c r="A1231" s="105"/>
      <c r="B1231" s="105"/>
      <c r="C1231" s="148"/>
      <c r="D1231" s="91"/>
      <c r="E1231" s="92"/>
    </row>
    <row r="1232" spans="1:5" s="66" customFormat="1" ht="15.75">
      <c r="A1232" s="86"/>
      <c r="B1232" s="86">
        <v>85410</v>
      </c>
      <c r="C1232" s="87"/>
      <c r="D1232" s="100" t="s">
        <v>154</v>
      </c>
      <c r="E1232" s="145">
        <f>SUM(E1233:E1258)</f>
        <v>1715140</v>
      </c>
    </row>
    <row r="1233" spans="1:5" ht="15">
      <c r="A1233" s="71"/>
      <c r="B1233" s="71"/>
      <c r="C1233" s="70"/>
      <c r="D1233" s="91"/>
      <c r="E1233" s="92"/>
    </row>
    <row r="1234" spans="1:5" ht="30">
      <c r="A1234" s="105"/>
      <c r="B1234" s="105"/>
      <c r="C1234" s="148">
        <v>3020</v>
      </c>
      <c r="D1234" s="91" t="s">
        <v>202</v>
      </c>
      <c r="E1234" s="92">
        <v>21580</v>
      </c>
    </row>
    <row r="1235" spans="1:5" ht="15">
      <c r="A1235" s="105"/>
      <c r="B1235" s="105"/>
      <c r="C1235" s="148"/>
      <c r="D1235" s="91"/>
      <c r="E1235" s="92"/>
    </row>
    <row r="1236" spans="1:5" ht="15">
      <c r="A1236" s="105"/>
      <c r="B1236" s="105"/>
      <c r="C1236" s="148">
        <v>4010</v>
      </c>
      <c r="D1236" s="91" t="s">
        <v>20</v>
      </c>
      <c r="E1236" s="92">
        <v>357290</v>
      </c>
    </row>
    <row r="1237" spans="1:5" ht="15">
      <c r="A1237" s="105"/>
      <c r="B1237" s="105"/>
      <c r="C1237" s="148"/>
      <c r="D1237" s="91"/>
      <c r="E1237" s="92"/>
    </row>
    <row r="1238" spans="1:5" ht="15">
      <c r="A1238" s="105"/>
      <c r="B1238" s="105"/>
      <c r="C1238" s="148">
        <v>4040</v>
      </c>
      <c r="D1238" s="91" t="s">
        <v>21</v>
      </c>
      <c r="E1238" s="92">
        <v>29640</v>
      </c>
    </row>
    <row r="1239" spans="1:5" ht="15">
      <c r="A1239" s="105"/>
      <c r="B1239" s="105"/>
      <c r="C1239" s="148"/>
      <c r="D1239" s="91"/>
      <c r="E1239" s="92"/>
    </row>
    <row r="1240" spans="1:5" ht="15">
      <c r="A1240" s="105"/>
      <c r="B1240" s="105"/>
      <c r="C1240" s="148">
        <v>4110</v>
      </c>
      <c r="D1240" s="91" t="s">
        <v>118</v>
      </c>
      <c r="E1240" s="92">
        <v>65310</v>
      </c>
    </row>
    <row r="1241" spans="1:5" ht="15">
      <c r="A1241" s="105"/>
      <c r="B1241" s="105"/>
      <c r="C1241" s="148"/>
      <c r="D1241" s="91"/>
      <c r="E1241" s="92"/>
    </row>
    <row r="1242" spans="1:5" ht="15">
      <c r="A1242" s="105"/>
      <c r="B1242" s="105"/>
      <c r="C1242" s="148">
        <v>4120</v>
      </c>
      <c r="D1242" s="91" t="s">
        <v>23</v>
      </c>
      <c r="E1242" s="92">
        <v>9480</v>
      </c>
    </row>
    <row r="1243" spans="1:5" ht="15">
      <c r="A1243" s="105"/>
      <c r="B1243" s="105"/>
      <c r="C1243" s="148"/>
      <c r="D1243" s="91"/>
      <c r="E1243" s="92"/>
    </row>
    <row r="1244" spans="1:6" ht="15">
      <c r="A1244" s="105"/>
      <c r="B1244" s="105"/>
      <c r="C1244" s="148">
        <v>4210</v>
      </c>
      <c r="D1244" s="91" t="s">
        <v>14</v>
      </c>
      <c r="E1244" s="92">
        <f>173400+30000</f>
        <v>203400</v>
      </c>
      <c r="F1244" s="93">
        <v>30000</v>
      </c>
    </row>
    <row r="1245" spans="1:5" ht="15">
      <c r="A1245" s="105"/>
      <c r="B1245" s="105"/>
      <c r="C1245" s="148"/>
      <c r="D1245" s="91"/>
      <c r="E1245" s="92"/>
    </row>
    <row r="1246" spans="1:5" ht="15">
      <c r="A1246" s="105"/>
      <c r="B1246" s="105"/>
      <c r="C1246" s="148">
        <v>4260</v>
      </c>
      <c r="D1246" s="91" t="s">
        <v>24</v>
      </c>
      <c r="E1246" s="92">
        <v>41280</v>
      </c>
    </row>
    <row r="1247" spans="1:5" ht="15">
      <c r="A1247" s="105"/>
      <c r="B1247" s="105"/>
      <c r="C1247" s="148"/>
      <c r="D1247" s="91"/>
      <c r="E1247" s="92"/>
    </row>
    <row r="1248" spans="1:5" ht="15">
      <c r="A1248" s="105"/>
      <c r="B1248" s="105"/>
      <c r="C1248" s="148">
        <v>4270</v>
      </c>
      <c r="D1248" s="91" t="s">
        <v>25</v>
      </c>
      <c r="E1248" s="92">
        <v>1000</v>
      </c>
    </row>
    <row r="1249" spans="1:5" ht="15">
      <c r="A1249" s="105"/>
      <c r="B1249" s="105"/>
      <c r="C1249" s="148"/>
      <c r="D1249" s="91"/>
      <c r="E1249" s="92"/>
    </row>
    <row r="1250" spans="1:5" ht="15">
      <c r="A1250" s="105"/>
      <c r="B1250" s="105"/>
      <c r="C1250" s="148">
        <v>4300</v>
      </c>
      <c r="D1250" s="91" t="s">
        <v>36</v>
      </c>
      <c r="E1250" s="92">
        <v>15600</v>
      </c>
    </row>
    <row r="1251" spans="1:5" ht="15">
      <c r="A1251" s="105"/>
      <c r="B1251" s="105"/>
      <c r="C1251" s="148"/>
      <c r="D1251" s="91"/>
      <c r="E1251" s="92"/>
    </row>
    <row r="1252" spans="1:5" ht="15">
      <c r="A1252" s="105"/>
      <c r="B1252" s="105"/>
      <c r="C1252" s="148">
        <v>4410</v>
      </c>
      <c r="D1252" s="91" t="s">
        <v>26</v>
      </c>
      <c r="E1252" s="92">
        <v>370</v>
      </c>
    </row>
    <row r="1253" spans="1:5" ht="15">
      <c r="A1253" s="105"/>
      <c r="B1253" s="105"/>
      <c r="C1253" s="148"/>
      <c r="D1253" s="91"/>
      <c r="E1253" s="92"/>
    </row>
    <row r="1254" spans="1:5" ht="15">
      <c r="A1254" s="105"/>
      <c r="B1254" s="105"/>
      <c r="C1254" s="148">
        <v>4430</v>
      </c>
      <c r="D1254" s="91" t="s">
        <v>27</v>
      </c>
      <c r="E1254" s="92">
        <v>510</v>
      </c>
    </row>
    <row r="1255" spans="1:5" ht="15">
      <c r="A1255" s="105"/>
      <c r="B1255" s="105"/>
      <c r="C1255" s="148"/>
      <c r="D1255" s="91"/>
      <c r="E1255" s="92"/>
    </row>
    <row r="1256" spans="1:5" ht="30">
      <c r="A1256" s="105"/>
      <c r="B1256" s="105"/>
      <c r="C1256" s="148">
        <v>4440</v>
      </c>
      <c r="D1256" s="91" t="s">
        <v>28</v>
      </c>
      <c r="E1256" s="92">
        <v>19680</v>
      </c>
    </row>
    <row r="1257" spans="1:5" ht="15">
      <c r="A1257" s="105"/>
      <c r="B1257" s="105"/>
      <c r="C1257" s="148"/>
      <c r="D1257" s="91"/>
      <c r="E1257" s="92"/>
    </row>
    <row r="1258" spans="1:6" ht="30">
      <c r="A1258" s="82"/>
      <c r="B1258" s="82"/>
      <c r="C1258" s="83">
        <v>6050</v>
      </c>
      <c r="D1258" s="98" t="s">
        <v>203</v>
      </c>
      <c r="E1258" s="92">
        <v>950000</v>
      </c>
      <c r="F1258" s="93">
        <v>950000</v>
      </c>
    </row>
    <row r="1259" spans="1:5" ht="15">
      <c r="A1259" s="82"/>
      <c r="B1259" s="82"/>
      <c r="C1259" s="83"/>
      <c r="D1259" s="98"/>
      <c r="E1259" s="92"/>
    </row>
    <row r="1260" spans="1:5" ht="15">
      <c r="A1260" s="82"/>
      <c r="B1260" s="82"/>
      <c r="C1260" s="83" t="s">
        <v>235</v>
      </c>
      <c r="D1260" s="98"/>
      <c r="E1260" s="92"/>
    </row>
    <row r="1261" spans="1:5" ht="15.75">
      <c r="A1261" s="82"/>
      <c r="B1261" s="82"/>
      <c r="C1261" s="83"/>
      <c r="D1261" s="100" t="s">
        <v>237</v>
      </c>
      <c r="E1261" s="92">
        <f>SUM(E1263:E1285)</f>
        <v>765140</v>
      </c>
    </row>
    <row r="1262" spans="1:5" ht="15">
      <c r="A1262" s="82"/>
      <c r="B1262" s="82"/>
      <c r="C1262" s="83"/>
      <c r="D1262" s="98"/>
      <c r="E1262" s="92"/>
    </row>
    <row r="1263" spans="1:5" ht="30">
      <c r="A1263" s="105"/>
      <c r="B1263" s="105"/>
      <c r="C1263" s="148">
        <v>3020</v>
      </c>
      <c r="D1263" s="91" t="s">
        <v>202</v>
      </c>
      <c r="E1263" s="92">
        <v>21580</v>
      </c>
    </row>
    <row r="1264" spans="1:5" ht="15">
      <c r="A1264" s="105"/>
      <c r="B1264" s="105"/>
      <c r="C1264" s="148"/>
      <c r="D1264" s="91"/>
      <c r="E1264" s="92"/>
    </row>
    <row r="1265" spans="1:5" ht="15">
      <c r="A1265" s="105"/>
      <c r="B1265" s="105"/>
      <c r="C1265" s="148">
        <v>4010</v>
      </c>
      <c r="D1265" s="91" t="s">
        <v>20</v>
      </c>
      <c r="E1265" s="92">
        <v>357290</v>
      </c>
    </row>
    <row r="1266" spans="1:5" ht="15">
      <c r="A1266" s="105"/>
      <c r="B1266" s="105"/>
      <c r="C1266" s="148"/>
      <c r="D1266" s="91"/>
      <c r="E1266" s="92"/>
    </row>
    <row r="1267" spans="1:5" ht="15">
      <c r="A1267" s="105"/>
      <c r="B1267" s="105"/>
      <c r="C1267" s="148">
        <v>4040</v>
      </c>
      <c r="D1267" s="91" t="s">
        <v>21</v>
      </c>
      <c r="E1267" s="92">
        <v>29640</v>
      </c>
    </row>
    <row r="1268" spans="1:5" ht="15">
      <c r="A1268" s="105"/>
      <c r="B1268" s="105"/>
      <c r="C1268" s="148"/>
      <c r="D1268" s="91"/>
      <c r="E1268" s="92"/>
    </row>
    <row r="1269" spans="1:5" ht="15">
      <c r="A1269" s="105"/>
      <c r="B1269" s="105"/>
      <c r="C1269" s="148">
        <v>4110</v>
      </c>
      <c r="D1269" s="91" t="s">
        <v>118</v>
      </c>
      <c r="E1269" s="92">
        <v>65310</v>
      </c>
    </row>
    <row r="1270" spans="1:5" ht="15">
      <c r="A1270" s="105"/>
      <c r="B1270" s="105"/>
      <c r="C1270" s="148"/>
      <c r="D1270" s="91"/>
      <c r="E1270" s="92"/>
    </row>
    <row r="1271" spans="1:5" ht="15">
      <c r="A1271" s="105"/>
      <c r="B1271" s="105"/>
      <c r="C1271" s="148">
        <v>4120</v>
      </c>
      <c r="D1271" s="91" t="s">
        <v>23</v>
      </c>
      <c r="E1271" s="92">
        <v>9480</v>
      </c>
    </row>
    <row r="1272" spans="1:5" ht="15">
      <c r="A1272" s="105"/>
      <c r="B1272" s="105"/>
      <c r="C1272" s="148"/>
      <c r="D1272" s="91"/>
      <c r="E1272" s="92"/>
    </row>
    <row r="1273" spans="1:5" ht="15">
      <c r="A1273" s="105"/>
      <c r="B1273" s="105"/>
      <c r="C1273" s="148">
        <v>4210</v>
      </c>
      <c r="D1273" s="91" t="s">
        <v>14</v>
      </c>
      <c r="E1273" s="92">
        <f>173400+30000</f>
        <v>203400</v>
      </c>
    </row>
    <row r="1274" spans="1:5" ht="15">
      <c r="A1274" s="105"/>
      <c r="B1274" s="105"/>
      <c r="C1274" s="148"/>
      <c r="D1274" s="91"/>
      <c r="E1274" s="92"/>
    </row>
    <row r="1275" spans="1:5" ht="15">
      <c r="A1275" s="105"/>
      <c r="B1275" s="105"/>
      <c r="C1275" s="148">
        <v>4260</v>
      </c>
      <c r="D1275" s="91" t="s">
        <v>24</v>
      </c>
      <c r="E1275" s="92">
        <v>41280</v>
      </c>
    </row>
    <row r="1276" spans="1:5" ht="15">
      <c r="A1276" s="105"/>
      <c r="B1276" s="105"/>
      <c r="C1276" s="148"/>
      <c r="D1276" s="91"/>
      <c r="E1276" s="92"/>
    </row>
    <row r="1277" spans="1:5" ht="15">
      <c r="A1277" s="105"/>
      <c r="B1277" s="105"/>
      <c r="C1277" s="148">
        <v>4270</v>
      </c>
      <c r="D1277" s="91" t="s">
        <v>25</v>
      </c>
      <c r="E1277" s="92">
        <v>1000</v>
      </c>
    </row>
    <row r="1278" spans="1:5" ht="15">
      <c r="A1278" s="105"/>
      <c r="B1278" s="105"/>
      <c r="C1278" s="148"/>
      <c r="D1278" s="91"/>
      <c r="E1278" s="92"/>
    </row>
    <row r="1279" spans="1:5" ht="15">
      <c r="A1279" s="105"/>
      <c r="B1279" s="105"/>
      <c r="C1279" s="148">
        <v>4300</v>
      </c>
      <c r="D1279" s="91" t="s">
        <v>36</v>
      </c>
      <c r="E1279" s="92">
        <v>15600</v>
      </c>
    </row>
    <row r="1280" spans="1:5" ht="15">
      <c r="A1280" s="105"/>
      <c r="B1280" s="105"/>
      <c r="C1280" s="148"/>
      <c r="D1280" s="91"/>
      <c r="E1280" s="92"/>
    </row>
    <row r="1281" spans="1:5" ht="15">
      <c r="A1281" s="105"/>
      <c r="B1281" s="105"/>
      <c r="C1281" s="148">
        <v>4410</v>
      </c>
      <c r="D1281" s="91" t="s">
        <v>26</v>
      </c>
      <c r="E1281" s="92">
        <v>370</v>
      </c>
    </row>
    <row r="1282" spans="1:5" ht="15">
      <c r="A1282" s="105"/>
      <c r="B1282" s="105"/>
      <c r="C1282" s="148"/>
      <c r="D1282" s="91"/>
      <c r="E1282" s="92"/>
    </row>
    <row r="1283" spans="1:5" ht="15">
      <c r="A1283" s="105"/>
      <c r="B1283" s="105"/>
      <c r="C1283" s="148">
        <v>4430</v>
      </c>
      <c r="D1283" s="91" t="s">
        <v>27</v>
      </c>
      <c r="E1283" s="92">
        <v>510</v>
      </c>
    </row>
    <row r="1284" spans="1:5" ht="15">
      <c r="A1284" s="105"/>
      <c r="B1284" s="105"/>
      <c r="C1284" s="148"/>
      <c r="D1284" s="91"/>
      <c r="E1284" s="92"/>
    </row>
    <row r="1285" spans="1:5" ht="30">
      <c r="A1285" s="105"/>
      <c r="B1285" s="105"/>
      <c r="C1285" s="148">
        <v>4440</v>
      </c>
      <c r="D1285" s="91" t="s">
        <v>28</v>
      </c>
      <c r="E1285" s="92">
        <v>19680</v>
      </c>
    </row>
    <row r="1286" spans="1:5" ht="15">
      <c r="A1286" s="105"/>
      <c r="B1286" s="105"/>
      <c r="C1286" s="148"/>
      <c r="D1286" s="91"/>
      <c r="E1286" s="92"/>
    </row>
    <row r="1287" spans="1:5" ht="15.75">
      <c r="A1287" s="82"/>
      <c r="B1287" s="82"/>
      <c r="C1287" s="83"/>
      <c r="D1287" s="99" t="s">
        <v>236</v>
      </c>
      <c r="E1287" s="92">
        <f>SUM(E1289)</f>
        <v>950000</v>
      </c>
    </row>
    <row r="1288" spans="1:5" ht="15">
      <c r="A1288" s="82"/>
      <c r="B1288" s="82"/>
      <c r="C1288" s="83"/>
      <c r="D1288" s="98"/>
      <c r="E1288" s="92"/>
    </row>
    <row r="1289" spans="1:5" ht="30">
      <c r="A1289" s="82"/>
      <c r="B1289" s="82"/>
      <c r="C1289" s="83">
        <v>6050</v>
      </c>
      <c r="D1289" s="98" t="s">
        <v>203</v>
      </c>
      <c r="E1289" s="92">
        <v>950000</v>
      </c>
    </row>
    <row r="1290" spans="1:5" ht="15">
      <c r="A1290" s="82"/>
      <c r="B1290" s="82"/>
      <c r="C1290" s="83"/>
      <c r="D1290" s="98"/>
      <c r="E1290" s="92"/>
    </row>
    <row r="1291" spans="1:5" s="66" customFormat="1" ht="15.75">
      <c r="A1291" s="86"/>
      <c r="B1291" s="86">
        <v>85415</v>
      </c>
      <c r="C1291" s="87"/>
      <c r="D1291" s="100" t="s">
        <v>155</v>
      </c>
      <c r="E1291" s="152">
        <f>SUM(E1293:E1328)</f>
        <v>5234979</v>
      </c>
    </row>
    <row r="1292" spans="1:5" s="66" customFormat="1" ht="15.75">
      <c r="A1292" s="86"/>
      <c r="B1292" s="86"/>
      <c r="C1292" s="87"/>
      <c r="D1292" s="100"/>
      <c r="E1292" s="152"/>
    </row>
    <row r="1293" spans="1:5" s="35" customFormat="1" ht="38.25">
      <c r="A1293" s="94"/>
      <c r="B1293" s="94"/>
      <c r="C1293" s="95">
        <v>2318</v>
      </c>
      <c r="D1293" s="160" t="s">
        <v>185</v>
      </c>
      <c r="E1293" s="161">
        <v>56620</v>
      </c>
    </row>
    <row r="1294" spans="1:5" s="35" customFormat="1" ht="38.25">
      <c r="A1294" s="94"/>
      <c r="B1294" s="94"/>
      <c r="C1294" s="95">
        <v>2319</v>
      </c>
      <c r="D1294" s="160" t="s">
        <v>185</v>
      </c>
      <c r="E1294" s="161">
        <v>26584</v>
      </c>
    </row>
    <row r="1295" spans="1:5" s="35" customFormat="1" ht="12.75">
      <c r="A1295" s="94"/>
      <c r="B1295" s="94"/>
      <c r="C1295" s="95"/>
      <c r="D1295" s="160"/>
      <c r="E1295" s="161"/>
    </row>
    <row r="1296" spans="1:5" s="35" customFormat="1" ht="38.25">
      <c r="A1296" s="96"/>
      <c r="B1296" s="96"/>
      <c r="C1296" s="95">
        <v>2328</v>
      </c>
      <c r="D1296" s="160" t="s">
        <v>186</v>
      </c>
      <c r="E1296" s="161">
        <v>3355549</v>
      </c>
    </row>
    <row r="1297" spans="1:5" s="35" customFormat="1" ht="12.75">
      <c r="A1297" s="96"/>
      <c r="B1297" s="96"/>
      <c r="C1297" s="95"/>
      <c r="D1297" s="160"/>
      <c r="E1297" s="161"/>
    </row>
    <row r="1298" spans="1:5" s="35" customFormat="1" ht="38.25">
      <c r="A1298" s="96"/>
      <c r="B1298" s="96"/>
      <c r="C1298" s="95">
        <v>2329</v>
      </c>
      <c r="D1298" s="160" t="s">
        <v>186</v>
      </c>
      <c r="E1298" s="161">
        <v>1575456</v>
      </c>
    </row>
    <row r="1299" spans="1:5" s="35" customFormat="1" ht="12.75">
      <c r="A1299" s="96"/>
      <c r="B1299" s="96"/>
      <c r="C1299" s="95"/>
      <c r="D1299" s="160"/>
      <c r="E1299" s="161"/>
    </row>
    <row r="1300" spans="1:5" s="35" customFormat="1" ht="12.75">
      <c r="A1300" s="94"/>
      <c r="B1300" s="94"/>
      <c r="C1300" s="95">
        <v>3248</v>
      </c>
      <c r="D1300" s="160" t="s">
        <v>230</v>
      </c>
      <c r="E1300" s="161">
        <v>56701</v>
      </c>
    </row>
    <row r="1301" spans="1:5" s="35" customFormat="1" ht="12.75">
      <c r="A1301" s="94"/>
      <c r="B1301" s="94"/>
      <c r="C1301" s="95"/>
      <c r="D1301" s="160"/>
      <c r="E1301" s="161"/>
    </row>
    <row r="1302" spans="1:5" s="35" customFormat="1" ht="12.75">
      <c r="A1302" s="94"/>
      <c r="B1302" s="94"/>
      <c r="C1302" s="95">
        <v>3249</v>
      </c>
      <c r="D1302" s="160" t="s">
        <v>230</v>
      </c>
      <c r="E1302" s="161">
        <v>26622</v>
      </c>
    </row>
    <row r="1303" spans="1:5" s="35" customFormat="1" ht="12.75">
      <c r="A1303" s="94"/>
      <c r="B1303" s="94"/>
      <c r="C1303" s="95"/>
      <c r="D1303" s="160"/>
      <c r="E1303" s="161"/>
    </row>
    <row r="1304" spans="1:5" s="35" customFormat="1" ht="12.75">
      <c r="A1304" s="94"/>
      <c r="B1304" s="94"/>
      <c r="C1304" s="95">
        <v>4118</v>
      </c>
      <c r="D1304" s="160" t="s">
        <v>118</v>
      </c>
      <c r="E1304" s="67">
        <v>3520</v>
      </c>
    </row>
    <row r="1305" spans="1:5" s="35" customFormat="1" ht="12.75">
      <c r="A1305" s="94"/>
      <c r="B1305" s="94"/>
      <c r="C1305" s="95"/>
      <c r="D1305" s="160"/>
      <c r="E1305" s="67"/>
    </row>
    <row r="1306" spans="1:5" s="35" customFormat="1" ht="12.75">
      <c r="A1306" s="94"/>
      <c r="B1306" s="94"/>
      <c r="C1306" s="95">
        <v>4119</v>
      </c>
      <c r="D1306" s="160" t="s">
        <v>118</v>
      </c>
      <c r="E1306" s="67">
        <v>1652</v>
      </c>
    </row>
    <row r="1307" spans="1:5" s="35" customFormat="1" ht="12.75">
      <c r="A1307" s="94"/>
      <c r="B1307" s="94"/>
      <c r="C1307" s="95"/>
      <c r="D1307" s="160"/>
      <c r="E1307" s="67"/>
    </row>
    <row r="1308" spans="1:5" s="35" customFormat="1" ht="12.75">
      <c r="A1308" s="94"/>
      <c r="B1308" s="94"/>
      <c r="C1308" s="95">
        <v>4128</v>
      </c>
      <c r="D1308" s="160" t="s">
        <v>23</v>
      </c>
      <c r="E1308" s="67">
        <v>498</v>
      </c>
    </row>
    <row r="1309" spans="1:5" s="35" customFormat="1" ht="12.75">
      <c r="A1309" s="94"/>
      <c r="B1309" s="94"/>
      <c r="C1309" s="95"/>
      <c r="D1309" s="160"/>
      <c r="E1309" s="67"/>
    </row>
    <row r="1310" spans="1:5" s="35" customFormat="1" ht="12.75">
      <c r="A1310" s="94"/>
      <c r="B1310" s="94"/>
      <c r="C1310" s="95">
        <v>4129</v>
      </c>
      <c r="D1310" s="160" t="s">
        <v>23</v>
      </c>
      <c r="E1310" s="67">
        <v>234</v>
      </c>
    </row>
    <row r="1311" spans="1:5" s="35" customFormat="1" ht="12.75">
      <c r="A1311" s="94"/>
      <c r="B1311" s="94"/>
      <c r="C1311" s="95"/>
      <c r="D1311" s="160"/>
      <c r="E1311" s="67"/>
    </row>
    <row r="1312" spans="1:5" s="35" customFormat="1" ht="12.75">
      <c r="A1312" s="94"/>
      <c r="B1312" s="94"/>
      <c r="C1312" s="95">
        <v>4178</v>
      </c>
      <c r="D1312" s="160" t="s">
        <v>215</v>
      </c>
      <c r="E1312" s="67">
        <v>26974</v>
      </c>
    </row>
    <row r="1313" spans="1:5" s="35" customFormat="1" ht="12.75">
      <c r="A1313" s="94"/>
      <c r="B1313" s="94"/>
      <c r="C1313" s="95"/>
      <c r="D1313" s="160"/>
      <c r="E1313" s="67"/>
    </row>
    <row r="1314" spans="1:5" s="35" customFormat="1" ht="12.75">
      <c r="A1314" s="94"/>
      <c r="B1314" s="94"/>
      <c r="C1314" s="95">
        <v>4179</v>
      </c>
      <c r="D1314" s="160" t="s">
        <v>215</v>
      </c>
      <c r="E1314" s="67">
        <v>12664</v>
      </c>
    </row>
    <row r="1315" spans="1:5" s="35" customFormat="1" ht="12.75">
      <c r="A1315" s="94"/>
      <c r="B1315" s="94"/>
      <c r="C1315" s="95"/>
      <c r="D1315" s="160"/>
      <c r="E1315" s="67"/>
    </row>
    <row r="1316" spans="1:6" s="35" customFormat="1" ht="12.75">
      <c r="A1316" s="94"/>
      <c r="B1316" s="94"/>
      <c r="C1316" s="95">
        <v>4218</v>
      </c>
      <c r="D1316" s="160" t="s">
        <v>14</v>
      </c>
      <c r="E1316" s="67">
        <f>33339+22</f>
        <v>33361</v>
      </c>
      <c r="F1316" s="35">
        <v>22</v>
      </c>
    </row>
    <row r="1317" spans="1:5" s="35" customFormat="1" ht="12.75">
      <c r="A1317" s="94"/>
      <c r="B1317" s="94"/>
      <c r="C1317" s="95"/>
      <c r="D1317" s="160"/>
      <c r="E1317" s="67"/>
    </row>
    <row r="1318" spans="1:5" s="35" customFormat="1" ht="12.75">
      <c r="A1318" s="94"/>
      <c r="B1318" s="94"/>
      <c r="C1318" s="95">
        <v>4219</v>
      </c>
      <c r="D1318" s="160" t="s">
        <v>14</v>
      </c>
      <c r="E1318" s="67">
        <v>15653</v>
      </c>
    </row>
    <row r="1319" spans="1:5" s="35" customFormat="1" ht="12.75">
      <c r="A1319" s="94"/>
      <c r="B1319" s="94"/>
      <c r="C1319" s="95"/>
      <c r="D1319" s="160"/>
      <c r="E1319" s="67"/>
    </row>
    <row r="1320" spans="1:5" s="35" customFormat="1" ht="12.75">
      <c r="A1320" s="94"/>
      <c r="B1320" s="94"/>
      <c r="C1320" s="95">
        <v>4278</v>
      </c>
      <c r="D1320" s="160" t="s">
        <v>32</v>
      </c>
      <c r="E1320" s="67">
        <v>2852</v>
      </c>
    </row>
    <row r="1321" spans="1:5" s="35" customFormat="1" ht="12.75">
      <c r="A1321" s="94"/>
      <c r="B1321" s="94"/>
      <c r="C1321" s="95"/>
      <c r="D1321" s="160"/>
      <c r="E1321" s="67"/>
    </row>
    <row r="1322" spans="1:5" s="35" customFormat="1" ht="12.75">
      <c r="A1322" s="94"/>
      <c r="B1322" s="94"/>
      <c r="C1322" s="95">
        <v>4279</v>
      </c>
      <c r="D1322" s="160" t="s">
        <v>32</v>
      </c>
      <c r="E1322" s="67">
        <v>1339</v>
      </c>
    </row>
    <row r="1323" spans="1:5" s="35" customFormat="1" ht="12.75">
      <c r="A1323" s="94"/>
      <c r="B1323" s="94"/>
      <c r="C1323" s="95"/>
      <c r="D1323" s="160"/>
      <c r="E1323" s="67"/>
    </row>
    <row r="1324" spans="1:5" s="35" customFormat="1" ht="12.75">
      <c r="A1324" s="94"/>
      <c r="B1324" s="94"/>
      <c r="C1324" s="95">
        <v>4308</v>
      </c>
      <c r="D1324" s="160" t="s">
        <v>36</v>
      </c>
      <c r="E1324" s="67">
        <v>2722</v>
      </c>
    </row>
    <row r="1325" spans="1:5" s="35" customFormat="1" ht="12.75">
      <c r="A1325" s="94"/>
      <c r="B1325" s="94"/>
      <c r="C1325" s="95"/>
      <c r="D1325" s="160"/>
      <c r="E1325" s="67"/>
    </row>
    <row r="1326" spans="1:5" s="35" customFormat="1" ht="12.75">
      <c r="A1326" s="94"/>
      <c r="B1326" s="94"/>
      <c r="C1326" s="95">
        <v>4309</v>
      </c>
      <c r="D1326" s="160" t="s">
        <v>36</v>
      </c>
      <c r="E1326" s="67">
        <v>1278</v>
      </c>
    </row>
    <row r="1327" spans="1:5" s="35" customFormat="1" ht="12.75">
      <c r="A1327" s="96"/>
      <c r="B1327" s="96"/>
      <c r="C1327" s="95"/>
      <c r="D1327" s="160"/>
      <c r="E1327" s="161"/>
    </row>
    <row r="1328" spans="1:5" s="35" customFormat="1" ht="12.75">
      <c r="A1328" s="94"/>
      <c r="B1328" s="94"/>
      <c r="C1328" s="95">
        <v>3240</v>
      </c>
      <c r="D1328" s="160" t="s">
        <v>230</v>
      </c>
      <c r="E1328" s="161">
        <v>34700</v>
      </c>
    </row>
    <row r="1329" spans="1:5" s="35" customFormat="1" ht="12.75">
      <c r="A1329" s="94"/>
      <c r="B1329" s="162" t="s">
        <v>54</v>
      </c>
      <c r="C1329" s="95"/>
      <c r="D1329" s="160"/>
      <c r="E1329" s="161"/>
    </row>
    <row r="1330" spans="1:5" s="35" customFormat="1" ht="12.75">
      <c r="A1330" s="94"/>
      <c r="B1330" s="162"/>
      <c r="C1330" s="95"/>
      <c r="D1330" s="97" t="s">
        <v>231</v>
      </c>
      <c r="E1330" s="161">
        <f>SUM(E1332:E1361)</f>
        <v>5116956</v>
      </c>
    </row>
    <row r="1331" spans="1:5" s="35" customFormat="1" ht="12.75">
      <c r="A1331" s="94"/>
      <c r="B1331" s="162"/>
      <c r="C1331" s="95"/>
      <c r="D1331" s="97"/>
      <c r="E1331" s="161"/>
    </row>
    <row r="1332" spans="1:5" s="35" customFormat="1" ht="38.25">
      <c r="A1332" s="94"/>
      <c r="B1332" s="94"/>
      <c r="C1332" s="95">
        <v>2318</v>
      </c>
      <c r="D1332" s="160" t="s">
        <v>185</v>
      </c>
      <c r="E1332" s="161">
        <v>56620</v>
      </c>
    </row>
    <row r="1333" spans="1:5" s="35" customFormat="1" ht="38.25">
      <c r="A1333" s="94"/>
      <c r="B1333" s="94"/>
      <c r="C1333" s="95">
        <v>2319</v>
      </c>
      <c r="D1333" s="160" t="s">
        <v>185</v>
      </c>
      <c r="E1333" s="161">
        <v>26584</v>
      </c>
    </row>
    <row r="1334" spans="1:5" s="35" customFormat="1" ht="12.75">
      <c r="A1334" s="94"/>
      <c r="B1334" s="94"/>
      <c r="C1334" s="95"/>
      <c r="D1334" s="160"/>
      <c r="E1334" s="161"/>
    </row>
    <row r="1335" spans="1:5" s="35" customFormat="1" ht="38.25">
      <c r="A1335" s="96"/>
      <c r="B1335" s="96"/>
      <c r="C1335" s="95">
        <v>2328</v>
      </c>
      <c r="D1335" s="160" t="s">
        <v>186</v>
      </c>
      <c r="E1335" s="161">
        <v>3355549</v>
      </c>
    </row>
    <row r="1336" spans="1:5" s="35" customFormat="1" ht="12.75">
      <c r="A1336" s="96"/>
      <c r="B1336" s="96"/>
      <c r="C1336" s="95"/>
      <c r="D1336" s="160"/>
      <c r="E1336" s="161"/>
    </row>
    <row r="1337" spans="1:5" s="35" customFormat="1" ht="38.25">
      <c r="A1337" s="96"/>
      <c r="B1337" s="96"/>
      <c r="C1337" s="95">
        <v>2329</v>
      </c>
      <c r="D1337" s="160" t="s">
        <v>186</v>
      </c>
      <c r="E1337" s="161">
        <v>1575456</v>
      </c>
    </row>
    <row r="1338" spans="1:5" s="35" customFormat="1" ht="12.75">
      <c r="A1338" s="96"/>
      <c r="B1338" s="96"/>
      <c r="C1338" s="95"/>
      <c r="D1338" s="160"/>
      <c r="E1338" s="161"/>
    </row>
    <row r="1339" spans="1:5" s="35" customFormat="1" ht="12.75">
      <c r="A1339" s="94"/>
      <c r="B1339" s="94"/>
      <c r="C1339" s="95">
        <v>4118</v>
      </c>
      <c r="D1339" s="160" t="s">
        <v>118</v>
      </c>
      <c r="E1339" s="67">
        <v>3520</v>
      </c>
    </row>
    <row r="1340" spans="1:5" s="35" customFormat="1" ht="12.75">
      <c r="A1340" s="94"/>
      <c r="B1340" s="94"/>
      <c r="C1340" s="95"/>
      <c r="D1340" s="160"/>
      <c r="E1340" s="67"/>
    </row>
    <row r="1341" spans="1:5" s="35" customFormat="1" ht="12.75">
      <c r="A1341" s="94"/>
      <c r="B1341" s="94"/>
      <c r="C1341" s="95">
        <v>4119</v>
      </c>
      <c r="D1341" s="160" t="s">
        <v>118</v>
      </c>
      <c r="E1341" s="67">
        <v>1652</v>
      </c>
    </row>
    <row r="1342" spans="1:5" s="35" customFormat="1" ht="12.75">
      <c r="A1342" s="94"/>
      <c r="B1342" s="94"/>
      <c r="C1342" s="95"/>
      <c r="D1342" s="160"/>
      <c r="E1342" s="67"/>
    </row>
    <row r="1343" spans="1:5" s="35" customFormat="1" ht="12.75">
      <c r="A1343" s="94"/>
      <c r="B1343" s="94"/>
      <c r="C1343" s="95">
        <v>4128</v>
      </c>
      <c r="D1343" s="160" t="s">
        <v>23</v>
      </c>
      <c r="E1343" s="67">
        <v>498</v>
      </c>
    </row>
    <row r="1344" spans="1:5" s="35" customFormat="1" ht="12.75">
      <c r="A1344" s="94"/>
      <c r="B1344" s="94"/>
      <c r="C1344" s="95"/>
      <c r="D1344" s="160"/>
      <c r="E1344" s="67"/>
    </row>
    <row r="1345" spans="1:5" s="35" customFormat="1" ht="12.75">
      <c r="A1345" s="94"/>
      <c r="B1345" s="94"/>
      <c r="C1345" s="95">
        <v>4129</v>
      </c>
      <c r="D1345" s="160" t="s">
        <v>23</v>
      </c>
      <c r="E1345" s="67">
        <v>234</v>
      </c>
    </row>
    <row r="1346" spans="1:5" s="35" customFormat="1" ht="12.75">
      <c r="A1346" s="94"/>
      <c r="B1346" s="94"/>
      <c r="C1346" s="95"/>
      <c r="D1346" s="160"/>
      <c r="E1346" s="67"/>
    </row>
    <row r="1347" spans="1:5" s="35" customFormat="1" ht="12.75">
      <c r="A1347" s="94"/>
      <c r="B1347" s="94"/>
      <c r="C1347" s="95">
        <v>4178</v>
      </c>
      <c r="D1347" s="160" t="s">
        <v>215</v>
      </c>
      <c r="E1347" s="67">
        <v>26974</v>
      </c>
    </row>
    <row r="1348" spans="1:5" s="35" customFormat="1" ht="12.75">
      <c r="A1348" s="94"/>
      <c r="B1348" s="94"/>
      <c r="C1348" s="95"/>
      <c r="D1348" s="160"/>
      <c r="E1348" s="67"/>
    </row>
    <row r="1349" spans="1:5" s="35" customFormat="1" ht="12.75">
      <c r="A1349" s="94"/>
      <c r="B1349" s="94"/>
      <c r="C1349" s="95">
        <v>4179</v>
      </c>
      <c r="D1349" s="160" t="s">
        <v>215</v>
      </c>
      <c r="E1349" s="67">
        <v>12664</v>
      </c>
    </row>
    <row r="1350" spans="1:5" s="35" customFormat="1" ht="12.75">
      <c r="A1350" s="94"/>
      <c r="B1350" s="94"/>
      <c r="C1350" s="95"/>
      <c r="D1350" s="160"/>
      <c r="E1350" s="67"/>
    </row>
    <row r="1351" spans="1:5" s="35" customFormat="1" ht="12.75">
      <c r="A1351" s="94"/>
      <c r="B1351" s="94"/>
      <c r="C1351" s="95">
        <v>4218</v>
      </c>
      <c r="D1351" s="160" t="s">
        <v>14</v>
      </c>
      <c r="E1351" s="67">
        <v>33361</v>
      </c>
    </row>
    <row r="1352" spans="1:5" s="35" customFormat="1" ht="12.75">
      <c r="A1352" s="94"/>
      <c r="B1352" s="94"/>
      <c r="C1352" s="95"/>
      <c r="D1352" s="160"/>
      <c r="E1352" s="67"/>
    </row>
    <row r="1353" spans="1:5" s="35" customFormat="1" ht="12.75">
      <c r="A1353" s="94"/>
      <c r="B1353" s="94"/>
      <c r="C1353" s="95">
        <v>4219</v>
      </c>
      <c r="D1353" s="160" t="s">
        <v>14</v>
      </c>
      <c r="E1353" s="67">
        <v>15653</v>
      </c>
    </row>
    <row r="1354" spans="1:5" s="35" customFormat="1" ht="12.75">
      <c r="A1354" s="94"/>
      <c r="B1354" s="94"/>
      <c r="C1354" s="95"/>
      <c r="D1354" s="160"/>
      <c r="E1354" s="67"/>
    </row>
    <row r="1355" spans="1:5" s="35" customFormat="1" ht="12.75">
      <c r="A1355" s="94"/>
      <c r="B1355" s="94"/>
      <c r="C1355" s="95">
        <v>4278</v>
      </c>
      <c r="D1355" s="160" t="s">
        <v>32</v>
      </c>
      <c r="E1355" s="67">
        <v>2852</v>
      </c>
    </row>
    <row r="1356" spans="1:5" s="35" customFormat="1" ht="12.75">
      <c r="A1356" s="94"/>
      <c r="B1356" s="94"/>
      <c r="C1356" s="95"/>
      <c r="D1356" s="160"/>
      <c r="E1356" s="67"/>
    </row>
    <row r="1357" spans="1:5" s="35" customFormat="1" ht="12.75">
      <c r="A1357" s="94"/>
      <c r="B1357" s="94"/>
      <c r="C1357" s="95">
        <v>4279</v>
      </c>
      <c r="D1357" s="160" t="s">
        <v>32</v>
      </c>
      <c r="E1357" s="67">
        <v>1339</v>
      </c>
    </row>
    <row r="1358" spans="1:5" s="35" customFormat="1" ht="12.75">
      <c r="A1358" s="94"/>
      <c r="B1358" s="94"/>
      <c r="C1358" s="95"/>
      <c r="D1358" s="160"/>
      <c r="E1358" s="67"/>
    </row>
    <row r="1359" spans="1:5" s="35" customFormat="1" ht="12.75">
      <c r="A1359" s="94"/>
      <c r="B1359" s="94"/>
      <c r="C1359" s="95">
        <v>4308</v>
      </c>
      <c r="D1359" s="160" t="s">
        <v>36</v>
      </c>
      <c r="E1359" s="67">
        <v>2722</v>
      </c>
    </row>
    <row r="1360" spans="1:5" s="35" customFormat="1" ht="12.75">
      <c r="A1360" s="94"/>
      <c r="B1360" s="94"/>
      <c r="C1360" s="95"/>
      <c r="D1360" s="160"/>
      <c r="E1360" s="67"/>
    </row>
    <row r="1361" spans="1:5" s="35" customFormat="1" ht="12.75">
      <c r="A1361" s="94"/>
      <c r="B1361" s="94"/>
      <c r="C1361" s="95">
        <v>4309</v>
      </c>
      <c r="D1361" s="160" t="s">
        <v>36</v>
      </c>
      <c r="E1361" s="67">
        <v>1278</v>
      </c>
    </row>
    <row r="1362" spans="1:5" s="35" customFormat="1" ht="12.75">
      <c r="A1362" s="94"/>
      <c r="B1362" s="162"/>
      <c r="C1362" s="95"/>
      <c r="D1362" s="97"/>
      <c r="E1362" s="161"/>
    </row>
    <row r="1363" spans="1:5" s="35" customFormat="1" ht="12.75">
      <c r="A1363" s="94"/>
      <c r="B1363" s="162"/>
      <c r="C1363" s="95"/>
      <c r="D1363" s="97" t="s">
        <v>232</v>
      </c>
      <c r="E1363" s="161">
        <f>SUM(E1365:E1367)</f>
        <v>71708</v>
      </c>
    </row>
    <row r="1364" spans="1:5" s="35" customFormat="1" ht="12.75">
      <c r="A1364" s="94"/>
      <c r="B1364" s="162"/>
      <c r="C1364" s="95"/>
      <c r="D1364" s="97"/>
      <c r="E1364" s="161"/>
    </row>
    <row r="1365" spans="1:5" s="35" customFormat="1" ht="12.75">
      <c r="A1365" s="94"/>
      <c r="B1365" s="162"/>
      <c r="C1365" s="95">
        <v>3248</v>
      </c>
      <c r="D1365" s="160" t="s">
        <v>230</v>
      </c>
      <c r="E1365" s="161">
        <v>48797</v>
      </c>
    </row>
    <row r="1366" spans="1:5" s="35" customFormat="1" ht="12.75">
      <c r="A1366" s="94"/>
      <c r="B1366" s="162"/>
      <c r="C1366" s="95"/>
      <c r="D1366" s="160"/>
      <c r="E1366" s="161"/>
    </row>
    <row r="1367" spans="1:5" s="35" customFormat="1" ht="12.75">
      <c r="A1367" s="94"/>
      <c r="B1367" s="162"/>
      <c r="C1367" s="95">
        <v>3249</v>
      </c>
      <c r="D1367" s="160" t="s">
        <v>230</v>
      </c>
      <c r="E1367" s="161">
        <v>22911</v>
      </c>
    </row>
    <row r="1368" spans="1:5" s="35" customFormat="1" ht="12.75">
      <c r="A1368" s="94"/>
      <c r="B1368" s="162"/>
      <c r="C1368" s="95"/>
      <c r="D1368" s="97"/>
      <c r="E1368" s="161"/>
    </row>
    <row r="1369" spans="1:5" s="35" customFormat="1" ht="12.75">
      <c r="A1369" s="94"/>
      <c r="B1369" s="162"/>
      <c r="C1369" s="95"/>
      <c r="D1369" s="97" t="s">
        <v>233</v>
      </c>
      <c r="E1369" s="161">
        <f>SUM(E1371:E1373)</f>
        <v>11615</v>
      </c>
    </row>
    <row r="1370" spans="1:5" s="35" customFormat="1" ht="12.75">
      <c r="A1370" s="94"/>
      <c r="B1370" s="162"/>
      <c r="C1370" s="95"/>
      <c r="D1370" s="97"/>
      <c r="E1370" s="161"/>
    </row>
    <row r="1371" spans="1:5" s="35" customFormat="1" ht="12.75">
      <c r="A1371" s="94"/>
      <c r="B1371" s="162"/>
      <c r="C1371" s="95">
        <v>3248</v>
      </c>
      <c r="D1371" s="160" t="s">
        <v>230</v>
      </c>
      <c r="E1371" s="161">
        <v>7904</v>
      </c>
    </row>
    <row r="1372" spans="1:5" s="35" customFormat="1" ht="12.75">
      <c r="A1372" s="94"/>
      <c r="B1372" s="162"/>
      <c r="C1372" s="95"/>
      <c r="D1372" s="160"/>
      <c r="E1372" s="161"/>
    </row>
    <row r="1373" spans="1:5" s="35" customFormat="1" ht="12.75">
      <c r="A1373" s="94"/>
      <c r="B1373" s="162"/>
      <c r="C1373" s="95">
        <v>3249</v>
      </c>
      <c r="D1373" s="160" t="s">
        <v>230</v>
      </c>
      <c r="E1373" s="161">
        <v>3711</v>
      </c>
    </row>
    <row r="1374" spans="1:5" s="66" customFormat="1" ht="15.75">
      <c r="A1374" s="86"/>
      <c r="B1374" s="86"/>
      <c r="C1374" s="87"/>
      <c r="D1374" s="100"/>
      <c r="E1374" s="152"/>
    </row>
    <row r="1375" spans="1:5" ht="15.75">
      <c r="A1375" s="71"/>
      <c r="B1375" s="71"/>
      <c r="C1375" s="70"/>
      <c r="D1375" s="100" t="s">
        <v>234</v>
      </c>
      <c r="E1375" s="104">
        <f>SUM(E1377)</f>
        <v>34700</v>
      </c>
    </row>
    <row r="1376" spans="1:4" ht="15">
      <c r="A1376" s="105"/>
      <c r="B1376" s="105"/>
      <c r="C1376" s="148"/>
      <c r="D1376" s="91"/>
    </row>
    <row r="1377" spans="1:5" ht="15">
      <c r="A1377" s="105"/>
      <c r="B1377" s="105"/>
      <c r="C1377" s="148">
        <v>3240</v>
      </c>
      <c r="D1377" s="91" t="s">
        <v>198</v>
      </c>
      <c r="E1377" s="155">
        <v>34700</v>
      </c>
    </row>
    <row r="1378" spans="1:5" ht="16.5" customHeight="1">
      <c r="A1378" s="105"/>
      <c r="B1378" s="105"/>
      <c r="C1378" s="148"/>
      <c r="D1378" s="100"/>
      <c r="E1378" s="151"/>
    </row>
    <row r="1379" spans="1:5" s="66" customFormat="1" ht="31.5">
      <c r="A1379" s="86"/>
      <c r="B1379" s="86">
        <v>85446</v>
      </c>
      <c r="C1379" s="87"/>
      <c r="D1379" s="100" t="s">
        <v>138</v>
      </c>
      <c r="E1379" s="152">
        <f>SUM(E1381:E1383)</f>
        <v>4940</v>
      </c>
    </row>
    <row r="1380" spans="1:5" s="66" customFormat="1" ht="15.75">
      <c r="A1380" s="86"/>
      <c r="B1380" s="86"/>
      <c r="C1380" s="87"/>
      <c r="D1380" s="100"/>
      <c r="E1380" s="163"/>
    </row>
    <row r="1381" spans="1:5" ht="15">
      <c r="A1381" s="71"/>
      <c r="B1381" s="71"/>
      <c r="C1381" s="70">
        <v>4300</v>
      </c>
      <c r="D1381" s="91" t="s">
        <v>36</v>
      </c>
      <c r="E1381" s="151">
        <v>3990</v>
      </c>
    </row>
    <row r="1382" spans="1:5" ht="15">
      <c r="A1382" s="105"/>
      <c r="B1382" s="105"/>
      <c r="C1382" s="148"/>
      <c r="D1382" s="91"/>
      <c r="E1382" s="151"/>
    </row>
    <row r="1383" spans="1:5" ht="15">
      <c r="A1383" s="105"/>
      <c r="B1383" s="105"/>
      <c r="C1383" s="148">
        <v>4410</v>
      </c>
      <c r="D1383" s="91" t="s">
        <v>26</v>
      </c>
      <c r="E1383" s="151">
        <v>950</v>
      </c>
    </row>
    <row r="1384" spans="1:5" ht="15">
      <c r="A1384" s="105"/>
      <c r="B1384" s="105"/>
      <c r="C1384" s="148"/>
      <c r="D1384" s="91"/>
      <c r="E1384" s="151"/>
    </row>
    <row r="1385" spans="1:5" ht="15">
      <c r="A1385" s="105"/>
      <c r="B1385" s="89" t="s">
        <v>171</v>
      </c>
      <c r="C1385" s="90"/>
      <c r="D1385" s="91"/>
      <c r="E1385" s="151"/>
    </row>
    <row r="1386" spans="1:5" ht="15.75">
      <c r="A1386" s="105"/>
      <c r="B1386" s="105"/>
      <c r="C1386" s="148" t="s">
        <v>172</v>
      </c>
      <c r="D1386" s="100" t="s">
        <v>241</v>
      </c>
      <c r="E1386" s="154">
        <f>SUM(E1388)</f>
        <v>900</v>
      </c>
    </row>
    <row r="1387" spans="1:5" ht="15">
      <c r="A1387" s="105"/>
      <c r="B1387" s="105"/>
      <c r="C1387" s="148"/>
      <c r="D1387" s="91"/>
      <c r="E1387" s="151"/>
    </row>
    <row r="1388" spans="1:5" ht="15">
      <c r="A1388" s="105"/>
      <c r="B1388" s="105"/>
      <c r="C1388" s="148">
        <v>4300</v>
      </c>
      <c r="D1388" s="91" t="s">
        <v>36</v>
      </c>
      <c r="E1388" s="151">
        <v>900</v>
      </c>
    </row>
    <row r="1389" spans="1:5" ht="15">
      <c r="A1389" s="105"/>
      <c r="B1389" s="105"/>
      <c r="C1389" s="148"/>
      <c r="D1389" s="91"/>
      <c r="E1389" s="151"/>
    </row>
    <row r="1390" spans="1:5" ht="15.75">
      <c r="A1390" s="105"/>
      <c r="B1390" s="105"/>
      <c r="C1390" s="148" t="s">
        <v>55</v>
      </c>
      <c r="D1390" s="100" t="s">
        <v>239</v>
      </c>
      <c r="E1390" s="151">
        <f>SUM(E1392:E1394)</f>
        <v>4040</v>
      </c>
    </row>
    <row r="1391" spans="1:5" ht="15">
      <c r="A1391" s="105"/>
      <c r="B1391" s="105"/>
      <c r="C1391" s="148"/>
      <c r="D1391" s="91"/>
      <c r="E1391" s="151"/>
    </row>
    <row r="1392" spans="1:5" ht="15">
      <c r="A1392" s="105"/>
      <c r="B1392" s="105"/>
      <c r="C1392" s="148">
        <v>4300</v>
      </c>
      <c r="D1392" s="91" t="s">
        <v>36</v>
      </c>
      <c r="E1392" s="151">
        <v>3090</v>
      </c>
    </row>
    <row r="1393" spans="1:5" ht="15">
      <c r="A1393" s="105"/>
      <c r="B1393" s="105"/>
      <c r="C1393" s="148"/>
      <c r="D1393" s="91"/>
      <c r="E1393" s="151"/>
    </row>
    <row r="1394" spans="1:5" ht="15">
      <c r="A1394" s="105"/>
      <c r="B1394" s="105"/>
      <c r="C1394" s="148">
        <v>4410</v>
      </c>
      <c r="D1394" s="91" t="s">
        <v>26</v>
      </c>
      <c r="E1394" s="151">
        <v>950</v>
      </c>
    </row>
    <row r="1395" spans="1:5" ht="15">
      <c r="A1395" s="105"/>
      <c r="B1395" s="105"/>
      <c r="C1395" s="148"/>
      <c r="D1395" s="91"/>
      <c r="E1395" s="151"/>
    </row>
    <row r="1396" spans="1:5" s="66" customFormat="1" ht="15.75">
      <c r="A1396" s="86"/>
      <c r="B1396" s="86">
        <v>85495</v>
      </c>
      <c r="C1396" s="87"/>
      <c r="D1396" s="100" t="s">
        <v>48</v>
      </c>
      <c r="E1396" s="92">
        <f>SUM(E1398)</f>
        <v>5320</v>
      </c>
    </row>
    <row r="1397" spans="1:5" ht="15">
      <c r="A1397" s="71"/>
      <c r="B1397" s="71"/>
      <c r="C1397" s="70"/>
      <c r="D1397" s="91"/>
      <c r="E1397" s="92"/>
    </row>
    <row r="1398" spans="1:5" ht="30">
      <c r="A1398" s="105"/>
      <c r="B1398" s="105"/>
      <c r="C1398" s="148">
        <v>4440</v>
      </c>
      <c r="D1398" s="91" t="s">
        <v>28</v>
      </c>
      <c r="E1398" s="92">
        <v>5320</v>
      </c>
    </row>
    <row r="1399" spans="1:5" ht="15">
      <c r="A1399" s="105"/>
      <c r="B1399" s="105"/>
      <c r="C1399" s="148"/>
      <c r="D1399" s="91"/>
      <c r="E1399" s="92"/>
    </row>
    <row r="1400" spans="1:5" s="117" customFormat="1" ht="31.5">
      <c r="A1400" s="74">
        <v>921</v>
      </c>
      <c r="B1400" s="74"/>
      <c r="C1400" s="75"/>
      <c r="D1400" s="139" t="s">
        <v>156</v>
      </c>
      <c r="E1400" s="116">
        <f>E1416+E1408+E1402</f>
        <v>100000</v>
      </c>
    </row>
    <row r="1401" spans="1:5" ht="15">
      <c r="A1401" s="118"/>
      <c r="B1401" s="118"/>
      <c r="C1401" s="119"/>
      <c r="D1401" s="138"/>
      <c r="E1401" s="132" t="s">
        <v>121</v>
      </c>
    </row>
    <row r="1402" spans="1:5" s="110" customFormat="1" ht="31.5">
      <c r="A1402" s="78"/>
      <c r="B1402" s="78">
        <v>92108</v>
      </c>
      <c r="C1402" s="79"/>
      <c r="D1402" s="137" t="s">
        <v>157</v>
      </c>
      <c r="E1402" s="131">
        <f>SUM(E1406:E1406)</f>
        <v>3000</v>
      </c>
    </row>
    <row r="1403" spans="1:5" s="110" customFormat="1" ht="15.75">
      <c r="A1403" s="78"/>
      <c r="B1403" s="78"/>
      <c r="C1403" s="79"/>
      <c r="D1403" s="138" t="s">
        <v>37</v>
      </c>
      <c r="E1403" s="131"/>
    </row>
    <row r="1404" spans="1:5" ht="15.75">
      <c r="A1404" s="125"/>
      <c r="B1404" s="125"/>
      <c r="C1404" s="79" t="s">
        <v>55</v>
      </c>
      <c r="D1404" s="137" t="s">
        <v>140</v>
      </c>
      <c r="E1404" s="132"/>
    </row>
    <row r="1405" spans="1:5" ht="15.75">
      <c r="A1405" s="122"/>
      <c r="B1405" s="122"/>
      <c r="C1405" s="79"/>
      <c r="D1405" s="137"/>
      <c r="E1405" s="132"/>
    </row>
    <row r="1406" spans="1:5" ht="60">
      <c r="A1406" s="122"/>
      <c r="B1406" s="122"/>
      <c r="C1406" s="127">
        <v>2820</v>
      </c>
      <c r="D1406" s="138" t="s">
        <v>168</v>
      </c>
      <c r="E1406" s="132">
        <v>3000</v>
      </c>
    </row>
    <row r="1407" spans="1:5" ht="15">
      <c r="A1407" s="122"/>
      <c r="B1407" s="122"/>
      <c r="C1407" s="127"/>
      <c r="D1407" s="138"/>
      <c r="E1407" s="132"/>
    </row>
    <row r="1408" spans="1:5" s="110" customFormat="1" ht="15.75">
      <c r="A1408" s="78"/>
      <c r="B1408" s="78">
        <v>92116</v>
      </c>
      <c r="C1408" s="79"/>
      <c r="D1408" s="137" t="s">
        <v>158</v>
      </c>
      <c r="E1408" s="131">
        <f>SUM(E1413:E1414)</f>
        <v>46000</v>
      </c>
    </row>
    <row r="1409" spans="1:5" s="110" customFormat="1" ht="15.75">
      <c r="A1409" s="78"/>
      <c r="B1409" s="78"/>
      <c r="C1409" s="79"/>
      <c r="D1409" s="137"/>
      <c r="E1409" s="131"/>
    </row>
    <row r="1410" spans="1:5" s="110" customFormat="1" ht="15.75">
      <c r="A1410" s="78"/>
      <c r="B1410" s="78"/>
      <c r="C1410" s="79"/>
      <c r="D1410" s="138" t="s">
        <v>37</v>
      </c>
      <c r="E1410" s="131"/>
    </row>
    <row r="1411" spans="1:5" s="110" customFormat="1" ht="15.75">
      <c r="A1411" s="78"/>
      <c r="B1411" s="78"/>
      <c r="C1411" s="79"/>
      <c r="D1411" s="138"/>
      <c r="E1411" s="131"/>
    </row>
    <row r="1412" spans="1:5" s="110" customFormat="1" ht="15.75">
      <c r="A1412" s="78"/>
      <c r="B1412" s="78"/>
      <c r="C1412" s="79" t="s">
        <v>55</v>
      </c>
      <c r="D1412" s="137" t="s">
        <v>159</v>
      </c>
      <c r="E1412" s="131"/>
    </row>
    <row r="1413" spans="1:5" ht="15">
      <c r="A1413" s="125"/>
      <c r="B1413" s="125"/>
      <c r="C1413" s="126"/>
      <c r="D1413" s="138"/>
      <c r="E1413" s="132"/>
    </row>
    <row r="1414" spans="1:5" ht="60">
      <c r="A1414" s="122"/>
      <c r="B1414" s="122"/>
      <c r="C1414" s="127">
        <v>2310</v>
      </c>
      <c r="D1414" s="91" t="s">
        <v>199</v>
      </c>
      <c r="E1414" s="132">
        <v>46000</v>
      </c>
    </row>
    <row r="1415" spans="1:5" ht="15">
      <c r="A1415" s="122"/>
      <c r="B1415" s="122"/>
      <c r="C1415" s="127"/>
      <c r="D1415" s="138"/>
      <c r="E1415" s="132"/>
    </row>
    <row r="1416" spans="1:5" s="110" customFormat="1" ht="15.75">
      <c r="A1416" s="78"/>
      <c r="B1416" s="78">
        <v>92195</v>
      </c>
      <c r="C1416" s="79"/>
      <c r="D1416" s="137" t="s">
        <v>48</v>
      </c>
      <c r="E1416" s="131">
        <f>SUM(E1418:E1423)</f>
        <v>51000</v>
      </c>
    </row>
    <row r="1417" spans="1:5" s="110" customFormat="1" ht="15.75">
      <c r="A1417" s="78"/>
      <c r="B1417" s="78"/>
      <c r="C1417" s="79"/>
      <c r="D1417" s="137"/>
      <c r="E1417" s="131"/>
    </row>
    <row r="1418" spans="1:6" ht="60">
      <c r="A1418" s="125"/>
      <c r="B1418" s="125"/>
      <c r="C1418" s="126">
        <v>2810</v>
      </c>
      <c r="D1418" s="138" t="s">
        <v>169</v>
      </c>
      <c r="E1418" s="132">
        <f>15000+20000</f>
        <v>35000</v>
      </c>
      <c r="F1418" s="93">
        <v>20000</v>
      </c>
    </row>
    <row r="1419" spans="1:5" ht="15">
      <c r="A1419" s="122"/>
      <c r="B1419" s="122"/>
      <c r="C1419" s="127"/>
      <c r="D1419" s="138"/>
      <c r="E1419" s="132"/>
    </row>
    <row r="1420" spans="1:6" ht="15">
      <c r="A1420" s="122"/>
      <c r="B1420" s="122"/>
      <c r="C1420" s="127">
        <v>4210</v>
      </c>
      <c r="D1420" s="138" t="s">
        <v>14</v>
      </c>
      <c r="E1420" s="132">
        <f>2500+1000+3300+2500</f>
        <v>9300</v>
      </c>
      <c r="F1420" s="93">
        <v>2500</v>
      </c>
    </row>
    <row r="1421" spans="1:5" ht="15">
      <c r="A1421" s="122"/>
      <c r="B1421" s="122"/>
      <c r="C1421" s="127"/>
      <c r="D1421" s="138"/>
      <c r="E1421" s="132"/>
    </row>
    <row r="1422" spans="1:6" ht="15">
      <c r="A1422" s="122"/>
      <c r="B1422" s="122"/>
      <c r="C1422" s="127">
        <v>4300</v>
      </c>
      <c r="D1422" s="138" t="s">
        <v>36</v>
      </c>
      <c r="E1422" s="132">
        <f>1200+3000+2500</f>
        <v>6700</v>
      </c>
      <c r="F1422" s="93">
        <v>2500</v>
      </c>
    </row>
    <row r="1423" spans="1:5" ht="15">
      <c r="A1423" s="122"/>
      <c r="B1423" s="122"/>
      <c r="C1423" s="127"/>
      <c r="D1423" s="138"/>
      <c r="E1423" s="132"/>
    </row>
    <row r="1424" spans="1:5" ht="15">
      <c r="A1424" s="122"/>
      <c r="B1424" s="122"/>
      <c r="C1424" s="127"/>
      <c r="D1424" s="138" t="s">
        <v>37</v>
      </c>
      <c r="E1424" s="132"/>
    </row>
    <row r="1425" spans="1:5" ht="15.75">
      <c r="A1425" s="122"/>
      <c r="B1425" s="122"/>
      <c r="C1425" s="79" t="s">
        <v>55</v>
      </c>
      <c r="D1425" s="137" t="s">
        <v>159</v>
      </c>
      <c r="E1425" s="132">
        <f>SUM(E1427:E1431)</f>
        <v>45300</v>
      </c>
    </row>
    <row r="1426" spans="1:5" ht="15">
      <c r="A1426" s="122"/>
      <c r="B1426" s="122"/>
      <c r="C1426" s="127"/>
      <c r="D1426" s="138"/>
      <c r="E1426" s="132"/>
    </row>
    <row r="1427" spans="1:5" ht="60">
      <c r="A1427" s="122"/>
      <c r="B1427" s="122"/>
      <c r="C1427" s="127">
        <v>2810</v>
      </c>
      <c r="D1427" s="138" t="s">
        <v>169</v>
      </c>
      <c r="E1427" s="132">
        <v>35000</v>
      </c>
    </row>
    <row r="1428" spans="1:5" ht="15">
      <c r="A1428" s="122"/>
      <c r="B1428" s="122"/>
      <c r="C1428" s="127"/>
      <c r="D1428" s="138"/>
      <c r="E1428" s="132"/>
    </row>
    <row r="1429" spans="1:5" ht="15">
      <c r="A1429" s="122"/>
      <c r="B1429" s="122"/>
      <c r="C1429" s="127">
        <v>4210</v>
      </c>
      <c r="D1429" s="138" t="s">
        <v>14</v>
      </c>
      <c r="E1429" s="132">
        <f>2300+2500</f>
        <v>4800</v>
      </c>
    </row>
    <row r="1430" spans="1:5" ht="15">
      <c r="A1430" s="122"/>
      <c r="B1430" s="122"/>
      <c r="C1430" s="127"/>
      <c r="D1430" s="138"/>
      <c r="E1430" s="132"/>
    </row>
    <row r="1431" spans="1:5" ht="15">
      <c r="A1431" s="122"/>
      <c r="B1431" s="122"/>
      <c r="C1431" s="127">
        <v>4300</v>
      </c>
      <c r="D1431" s="138" t="s">
        <v>36</v>
      </c>
      <c r="E1431" s="132">
        <f>3000+2500</f>
        <v>5500</v>
      </c>
    </row>
    <row r="1432" spans="1:5" ht="11.25" customHeight="1">
      <c r="A1432" s="122"/>
      <c r="B1432" s="122"/>
      <c r="C1432" s="127"/>
      <c r="D1432" s="138"/>
      <c r="E1432" s="132"/>
    </row>
    <row r="1433" spans="1:5" ht="15.75">
      <c r="A1433" s="122"/>
      <c r="B1433" s="122"/>
      <c r="C1433" s="79" t="s">
        <v>55</v>
      </c>
      <c r="D1433" s="137" t="s">
        <v>160</v>
      </c>
      <c r="E1433" s="132">
        <f>SUM(E1435)</f>
        <v>1000</v>
      </c>
    </row>
    <row r="1434" spans="1:5" ht="15">
      <c r="A1434" s="122"/>
      <c r="B1434" s="122"/>
      <c r="C1434" s="127"/>
      <c r="D1434" s="138"/>
      <c r="E1434" s="132"/>
    </row>
    <row r="1435" spans="1:5" ht="15">
      <c r="A1435" s="122"/>
      <c r="B1435" s="122"/>
      <c r="C1435" s="127">
        <v>4210</v>
      </c>
      <c r="D1435" s="138" t="s">
        <v>14</v>
      </c>
      <c r="E1435" s="132">
        <v>1000</v>
      </c>
    </row>
    <row r="1436" spans="1:5" ht="15">
      <c r="A1436" s="122"/>
      <c r="B1436" s="122"/>
      <c r="C1436" s="127"/>
      <c r="D1436" s="138"/>
      <c r="E1436" s="132"/>
    </row>
    <row r="1437" spans="1:5" ht="15.75">
      <c r="A1437" s="122"/>
      <c r="B1437" s="122"/>
      <c r="C1437" s="79" t="s">
        <v>55</v>
      </c>
      <c r="D1437" s="137" t="s">
        <v>161</v>
      </c>
      <c r="E1437" s="132">
        <f>SUM(E1439)</f>
        <v>1000</v>
      </c>
    </row>
    <row r="1438" spans="1:5" ht="15">
      <c r="A1438" s="122"/>
      <c r="B1438" s="122"/>
      <c r="C1438" s="127"/>
      <c r="D1438" s="138"/>
      <c r="E1438" s="132"/>
    </row>
    <row r="1439" spans="1:5" ht="15">
      <c r="A1439" s="122"/>
      <c r="B1439" s="122"/>
      <c r="C1439" s="127">
        <v>4210</v>
      </c>
      <c r="D1439" s="138" t="s">
        <v>14</v>
      </c>
      <c r="E1439" s="132">
        <v>1000</v>
      </c>
    </row>
    <row r="1440" spans="1:5" ht="15">
      <c r="A1440" s="122"/>
      <c r="B1440" s="122"/>
      <c r="C1440" s="127"/>
      <c r="D1440" s="138"/>
      <c r="E1440" s="132"/>
    </row>
    <row r="1441" spans="1:5" ht="31.5">
      <c r="A1441" s="122"/>
      <c r="B1441" s="102"/>
      <c r="C1441" s="78" t="s">
        <v>55</v>
      </c>
      <c r="D1441" s="137" t="s">
        <v>162</v>
      </c>
      <c r="E1441" s="121">
        <f>SUM(E1442:E1445)</f>
        <v>3700</v>
      </c>
    </row>
    <row r="1442" spans="1:5" ht="15.75">
      <c r="A1442" s="122"/>
      <c r="B1442" s="102"/>
      <c r="C1442" s="78"/>
      <c r="D1442" s="137"/>
      <c r="E1442" s="121"/>
    </row>
    <row r="1443" spans="1:5" ht="15">
      <c r="A1443" s="122"/>
      <c r="B1443" s="122"/>
      <c r="C1443" s="127">
        <v>4210</v>
      </c>
      <c r="D1443" s="138" t="s">
        <v>14</v>
      </c>
      <c r="E1443" s="153">
        <v>2500</v>
      </c>
    </row>
    <row r="1444" spans="1:5" ht="15">
      <c r="A1444" s="122"/>
      <c r="B1444" s="122"/>
      <c r="C1444" s="127"/>
      <c r="D1444" s="138"/>
      <c r="E1444" s="153"/>
    </row>
    <row r="1445" spans="1:5" ht="15">
      <c r="A1445" s="122"/>
      <c r="B1445" s="122"/>
      <c r="C1445" s="127">
        <v>4300</v>
      </c>
      <c r="D1445" s="138" t="s">
        <v>170</v>
      </c>
      <c r="E1445" s="153">
        <v>1200</v>
      </c>
    </row>
    <row r="1446" spans="1:5" ht="15">
      <c r="A1446" s="122"/>
      <c r="B1446" s="122"/>
      <c r="C1446" s="127"/>
      <c r="D1446" s="138"/>
      <c r="E1446" s="132"/>
    </row>
    <row r="1447" spans="1:5" s="117" customFormat="1" ht="15.75">
      <c r="A1447" s="74">
        <v>926</v>
      </c>
      <c r="B1447" s="74"/>
      <c r="C1447" s="75"/>
      <c r="D1447" s="139" t="s">
        <v>163</v>
      </c>
      <c r="E1447" s="116">
        <f>SUM(E1448:E1449)</f>
        <v>66900</v>
      </c>
    </row>
    <row r="1448" spans="1:5" ht="15">
      <c r="A1448" s="118"/>
      <c r="B1448" s="118"/>
      <c r="C1448" s="119"/>
      <c r="D1448" s="138"/>
      <c r="E1448" s="132"/>
    </row>
    <row r="1449" spans="1:5" s="110" customFormat="1" ht="31.5">
      <c r="A1449" s="78"/>
      <c r="B1449" s="78">
        <v>92605</v>
      </c>
      <c r="C1449" s="79"/>
      <c r="D1449" s="137" t="s">
        <v>164</v>
      </c>
      <c r="E1449" s="131">
        <f>SUM(E1451:E1457)</f>
        <v>66900</v>
      </c>
    </row>
    <row r="1450" spans="1:5" s="110" customFormat="1" ht="15.75">
      <c r="A1450" s="78"/>
      <c r="B1450" s="78"/>
      <c r="C1450" s="79"/>
      <c r="D1450" s="137"/>
      <c r="E1450" s="131"/>
    </row>
    <row r="1451" spans="1:6" ht="60">
      <c r="A1451" s="125"/>
      <c r="B1451" s="125"/>
      <c r="C1451" s="126">
        <v>2820</v>
      </c>
      <c r="D1451" s="138" t="s">
        <v>168</v>
      </c>
      <c r="E1451" s="132">
        <f>35000+20000</f>
        <v>55000</v>
      </c>
      <c r="F1451" s="93">
        <v>20000</v>
      </c>
    </row>
    <row r="1452" spans="1:5" ht="15">
      <c r="A1452" s="122"/>
      <c r="B1452" s="122"/>
      <c r="C1452" s="127"/>
      <c r="D1452" s="138"/>
      <c r="E1452" s="132"/>
    </row>
    <row r="1453" spans="1:5" ht="15">
      <c r="A1453" s="122"/>
      <c r="B1453" s="122"/>
      <c r="C1453" s="127">
        <v>4210</v>
      </c>
      <c r="D1453" s="138" t="s">
        <v>14</v>
      </c>
      <c r="E1453" s="132">
        <v>10000</v>
      </c>
    </row>
    <row r="1454" spans="1:5" ht="15">
      <c r="A1454" s="122"/>
      <c r="B1454" s="122"/>
      <c r="C1454" s="127"/>
      <c r="D1454" s="138"/>
      <c r="E1454" s="132"/>
    </row>
    <row r="1455" spans="1:5" ht="15">
      <c r="A1455" s="122"/>
      <c r="B1455" s="122"/>
      <c r="C1455" s="127">
        <v>4170</v>
      </c>
      <c r="D1455" s="138" t="s">
        <v>213</v>
      </c>
      <c r="E1455" s="132">
        <v>1000</v>
      </c>
    </row>
    <row r="1456" spans="1:5" ht="15">
      <c r="A1456" s="122"/>
      <c r="B1456" s="122"/>
      <c r="C1456" s="127"/>
      <c r="D1456" s="138"/>
      <c r="E1456" s="132"/>
    </row>
    <row r="1457" spans="1:5" ht="15">
      <c r="A1457" s="122"/>
      <c r="B1457" s="122"/>
      <c r="C1457" s="127">
        <v>4300</v>
      </c>
      <c r="D1457" s="138" t="s">
        <v>36</v>
      </c>
      <c r="E1457" s="132">
        <v>900</v>
      </c>
    </row>
    <row r="1458" spans="1:5" ht="15">
      <c r="A1458" s="122"/>
      <c r="B1458" s="122"/>
      <c r="C1458" s="127"/>
      <c r="D1458" s="138" t="s">
        <v>37</v>
      </c>
      <c r="E1458" s="132"/>
    </row>
    <row r="1459" spans="1:5" ht="15.75">
      <c r="A1459" s="122"/>
      <c r="B1459" s="122"/>
      <c r="C1459" s="79" t="s">
        <v>55</v>
      </c>
      <c r="D1459" s="137" t="s">
        <v>140</v>
      </c>
      <c r="E1459" s="132">
        <f>SUM(E1461:E1467)</f>
        <v>65900</v>
      </c>
    </row>
    <row r="1460" spans="1:5" ht="15">
      <c r="A1460" s="122"/>
      <c r="B1460" s="122"/>
      <c r="C1460" s="127"/>
      <c r="D1460" s="138"/>
      <c r="E1460" s="132"/>
    </row>
    <row r="1461" spans="1:5" ht="60">
      <c r="A1461" s="122"/>
      <c r="B1461" s="122"/>
      <c r="C1461" s="127">
        <v>2820</v>
      </c>
      <c r="D1461" s="138" t="s">
        <v>168</v>
      </c>
      <c r="E1461" s="132">
        <v>55000</v>
      </c>
    </row>
    <row r="1462" spans="1:5" ht="15">
      <c r="A1462" s="122"/>
      <c r="B1462" s="122"/>
      <c r="C1462" s="127"/>
      <c r="D1462" s="138"/>
      <c r="E1462" s="132"/>
    </row>
    <row r="1463" spans="1:5" ht="15">
      <c r="A1463" s="122"/>
      <c r="B1463" s="122"/>
      <c r="C1463" s="127">
        <v>4210</v>
      </c>
      <c r="D1463" s="138" t="s">
        <v>14</v>
      </c>
      <c r="E1463" s="132">
        <v>9000</v>
      </c>
    </row>
    <row r="1464" spans="1:5" ht="15">
      <c r="A1464" s="122"/>
      <c r="B1464" s="122"/>
      <c r="C1464" s="127"/>
      <c r="D1464" s="138"/>
      <c r="E1464" s="132"/>
    </row>
    <row r="1465" spans="1:5" ht="15">
      <c r="A1465" s="122"/>
      <c r="B1465" s="122"/>
      <c r="C1465" s="127">
        <v>4170</v>
      </c>
      <c r="D1465" s="138" t="s">
        <v>213</v>
      </c>
      <c r="E1465" s="132">
        <v>1000</v>
      </c>
    </row>
    <row r="1466" spans="1:5" ht="15">
      <c r="A1466" s="122"/>
      <c r="B1466" s="122"/>
      <c r="C1466" s="127"/>
      <c r="D1466" s="138"/>
      <c r="E1466" s="132"/>
    </row>
    <row r="1467" spans="1:5" ht="15">
      <c r="A1467" s="122"/>
      <c r="B1467" s="122"/>
      <c r="C1467" s="127">
        <v>4300</v>
      </c>
      <c r="D1467" s="138" t="s">
        <v>36</v>
      </c>
      <c r="E1467" s="132">
        <v>900</v>
      </c>
    </row>
    <row r="1468" spans="1:5" ht="15">
      <c r="A1468" s="122"/>
      <c r="B1468" s="122"/>
      <c r="C1468" s="127"/>
      <c r="D1468" s="138"/>
      <c r="E1468" s="132"/>
    </row>
    <row r="1469" spans="1:5" ht="15.75">
      <c r="A1469" s="122"/>
      <c r="B1469" s="122"/>
      <c r="C1469" s="79" t="s">
        <v>55</v>
      </c>
      <c r="D1469" s="137" t="s">
        <v>165</v>
      </c>
      <c r="E1469" s="132">
        <f>SUM(E1471)</f>
        <v>1000</v>
      </c>
    </row>
    <row r="1470" spans="1:5" ht="15">
      <c r="A1470" s="122"/>
      <c r="B1470" s="122"/>
      <c r="C1470" s="127"/>
      <c r="D1470" s="138"/>
      <c r="E1470" s="132"/>
    </row>
    <row r="1471" spans="1:5" ht="15">
      <c r="A1471" s="122"/>
      <c r="B1471" s="122"/>
      <c r="C1471" s="127">
        <v>4210</v>
      </c>
      <c r="D1471" s="138" t="s">
        <v>14</v>
      </c>
      <c r="E1471" s="132">
        <v>1000</v>
      </c>
    </row>
    <row r="1472" spans="1:5" ht="15">
      <c r="A1472" s="122"/>
      <c r="B1472" s="122"/>
      <c r="C1472" s="127"/>
      <c r="D1472" s="138"/>
      <c r="E1472" s="132"/>
    </row>
    <row r="1473" spans="1:6" s="117" customFormat="1" ht="15.75">
      <c r="A1473" s="82"/>
      <c r="B1473" s="82"/>
      <c r="C1473" s="88"/>
      <c r="D1473" s="146" t="s">
        <v>58</v>
      </c>
      <c r="E1473" s="147">
        <f>E9+E15+E25+E103+E132+E171+E255+E272+E278+E1088+E722+E699+E290+E1136+E1400+E1447+E679</f>
        <v>41387099</v>
      </c>
      <c r="F1473" s="117">
        <f>SUM(F7:F1472)</f>
        <v>2443572</v>
      </c>
    </row>
    <row r="1474" spans="1:5" s="117" customFormat="1" ht="15.75">
      <c r="A1474" s="82"/>
      <c r="B1474" s="82"/>
      <c r="C1474" s="88"/>
      <c r="D1474" s="146"/>
      <c r="E1474" s="147"/>
    </row>
  </sheetData>
  <printOptions/>
  <pageMargins left="0.75" right="0.75" top="0.5" bottom="0.27" header="0.5" footer="0.34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1" sqref="A1"/>
    </sheetView>
  </sheetViews>
  <sheetFormatPr defaultColWidth="9.00390625" defaultRowHeight="12.75"/>
  <cols>
    <col min="1" max="1" width="8.25390625" style="0" customWidth="1"/>
    <col min="2" max="2" width="23.625" style="0" customWidth="1"/>
    <col min="5" max="5" width="9.00390625" style="0" bestFit="1" customWidth="1"/>
    <col min="6" max="6" width="9.625" style="0" bestFit="1" customWidth="1"/>
    <col min="7" max="7" width="16.125" style="59" customWidth="1"/>
  </cols>
  <sheetData>
    <row r="1" spans="1:7" ht="15">
      <c r="A1" s="64" t="s">
        <v>86</v>
      </c>
      <c r="B1" s="21"/>
      <c r="C1" s="1"/>
      <c r="D1" s="1"/>
      <c r="E1" s="1"/>
      <c r="F1" s="3"/>
      <c r="G1" s="48"/>
    </row>
    <row r="2" spans="1:7" ht="15.75" thickBot="1">
      <c r="A2" s="36"/>
      <c r="B2" s="20"/>
      <c r="C2" s="2"/>
      <c r="D2" s="2"/>
      <c r="E2" s="2"/>
      <c r="F2" s="4"/>
      <c r="G2" s="49"/>
    </row>
    <row r="3" spans="1:7" ht="63">
      <c r="A3" s="37" t="s">
        <v>66</v>
      </c>
      <c r="B3" s="22" t="s">
        <v>65</v>
      </c>
      <c r="C3" s="8" t="s">
        <v>68</v>
      </c>
      <c r="D3" s="8" t="s">
        <v>20</v>
      </c>
      <c r="E3" s="8" t="s">
        <v>22</v>
      </c>
      <c r="F3" s="8" t="s">
        <v>23</v>
      </c>
      <c r="G3" s="50" t="s">
        <v>67</v>
      </c>
    </row>
    <row r="4" spans="1:7" ht="16.5" thickBot="1">
      <c r="A4" s="38"/>
      <c r="B4" s="32"/>
      <c r="C4" s="9"/>
      <c r="D4" s="10"/>
      <c r="E4" s="10"/>
      <c r="F4" s="10"/>
      <c r="G4" s="51"/>
    </row>
    <row r="5" spans="1:7" ht="30">
      <c r="A5" s="39">
        <v>600</v>
      </c>
      <c r="B5" s="63" t="s">
        <v>17</v>
      </c>
      <c r="C5" s="11"/>
      <c r="D5" s="12"/>
      <c r="E5" s="12"/>
      <c r="F5" s="12"/>
      <c r="G5" s="52"/>
    </row>
    <row r="6" spans="1:7" ht="15.75">
      <c r="A6" s="39"/>
      <c r="B6" s="63"/>
      <c r="C6" s="11"/>
      <c r="D6" s="12"/>
      <c r="E6" s="12"/>
      <c r="F6" s="12"/>
      <c r="G6" s="52"/>
    </row>
    <row r="7" spans="1:7" ht="28.5">
      <c r="A7" s="40">
        <v>60014</v>
      </c>
      <c r="B7" s="23" t="s">
        <v>18</v>
      </c>
      <c r="C7" s="13">
        <v>390000</v>
      </c>
      <c r="D7" s="12">
        <v>7800</v>
      </c>
      <c r="E7" s="12">
        <f>D7*17.88%</f>
        <v>1394.6399999999999</v>
      </c>
      <c r="F7" s="12">
        <f>D7*2.45%</f>
        <v>191.1</v>
      </c>
      <c r="G7" s="52">
        <f>SUM(D7:F7)</f>
        <v>9385.74</v>
      </c>
    </row>
    <row r="8" spans="1:7" ht="15.75">
      <c r="A8" s="41"/>
      <c r="B8" s="24"/>
      <c r="C8" s="13"/>
      <c r="D8" s="12"/>
      <c r="E8" s="12"/>
      <c r="F8" s="12"/>
      <c r="G8" s="52"/>
    </row>
    <row r="9" spans="1:7" ht="30">
      <c r="A9" s="39">
        <v>750</v>
      </c>
      <c r="B9" s="63" t="s">
        <v>40</v>
      </c>
      <c r="C9" s="14"/>
      <c r="D9" s="12"/>
      <c r="E9" s="12"/>
      <c r="F9" s="12"/>
      <c r="G9" s="52"/>
    </row>
    <row r="10" spans="1:7" ht="15.75">
      <c r="A10" s="41"/>
      <c r="B10" s="25"/>
      <c r="C10" s="15"/>
      <c r="D10" s="12"/>
      <c r="E10" s="12"/>
      <c r="F10" s="12"/>
      <c r="G10" s="52"/>
    </row>
    <row r="11" spans="1:7" ht="15.75">
      <c r="A11" s="40">
        <v>75011</v>
      </c>
      <c r="B11" s="23" t="s">
        <v>41</v>
      </c>
      <c r="C11" s="16">
        <v>130500</v>
      </c>
      <c r="D11" s="12">
        <v>2610</v>
      </c>
      <c r="E11" s="12">
        <f>D11*17.88%</f>
        <v>466.66799999999995</v>
      </c>
      <c r="F11" s="12">
        <f>D11*2.45%</f>
        <v>63.945</v>
      </c>
      <c r="G11" s="52">
        <f>SUM(D11:F11)</f>
        <v>3140.6130000000003</v>
      </c>
    </row>
    <row r="12" spans="1:7" ht="15.75">
      <c r="A12" s="41"/>
      <c r="B12" s="24"/>
      <c r="C12" s="13"/>
      <c r="D12" s="12"/>
      <c r="E12" s="12"/>
      <c r="F12" s="12"/>
      <c r="G12" s="52"/>
    </row>
    <row r="13" spans="1:7" ht="15.75">
      <c r="A13" s="40">
        <v>75020</v>
      </c>
      <c r="B13" s="23" t="s">
        <v>44</v>
      </c>
      <c r="C13" s="17">
        <v>2006000</v>
      </c>
      <c r="D13" s="12">
        <v>40120</v>
      </c>
      <c r="E13" s="12">
        <f>D13*17.88%</f>
        <v>7173.455999999999</v>
      </c>
      <c r="F13" s="12">
        <f>D13*2.45%</f>
        <v>982.94</v>
      </c>
      <c r="G13" s="52">
        <f>SUM(D13:F13)</f>
        <v>48276.396</v>
      </c>
    </row>
    <row r="14" spans="1:7" ht="15.75">
      <c r="A14" s="40"/>
      <c r="B14" s="23"/>
      <c r="C14" s="17"/>
      <c r="D14" s="12"/>
      <c r="E14" s="12"/>
      <c r="F14" s="12"/>
      <c r="G14" s="52"/>
    </row>
    <row r="15" spans="1:7" ht="30">
      <c r="A15" s="40">
        <v>801</v>
      </c>
      <c r="B15" s="63" t="s">
        <v>87</v>
      </c>
      <c r="C15" s="17"/>
      <c r="D15" s="12"/>
      <c r="E15" s="12"/>
      <c r="F15" s="12"/>
      <c r="G15" s="52"/>
    </row>
    <row r="16" spans="1:7" ht="15.75">
      <c r="A16" s="40"/>
      <c r="B16" s="33"/>
      <c r="C16" s="17"/>
      <c r="D16" s="12"/>
      <c r="E16" s="12"/>
      <c r="F16" s="12"/>
      <c r="G16" s="52"/>
    </row>
    <row r="17" spans="1:7" ht="15.75">
      <c r="A17" s="40"/>
      <c r="B17" s="24" t="s">
        <v>69</v>
      </c>
      <c r="C17" s="13">
        <v>88759</v>
      </c>
      <c r="D17" s="12"/>
      <c r="E17" s="12">
        <f>D17*17.88%</f>
        <v>0</v>
      </c>
      <c r="F17" s="12">
        <f>D17*2.45%</f>
        <v>0</v>
      </c>
      <c r="G17" s="52">
        <f>SUM(D17:F17)</f>
        <v>0</v>
      </c>
    </row>
    <row r="18" spans="1:7" ht="15.75">
      <c r="A18" s="40"/>
      <c r="B18" s="24" t="s">
        <v>70</v>
      </c>
      <c r="C18" s="13">
        <v>290040</v>
      </c>
      <c r="D18" s="12"/>
      <c r="E18" s="12">
        <f>D18*17.88%</f>
        <v>0</v>
      </c>
      <c r="F18" s="12">
        <f>D18*2.45%</f>
        <v>0</v>
      </c>
      <c r="G18" s="52">
        <f>SUM(D18:F18)</f>
        <v>0</v>
      </c>
    </row>
    <row r="19" spans="1:7" ht="28.5">
      <c r="A19" s="42">
        <v>80132</v>
      </c>
      <c r="B19" s="26" t="s">
        <v>72</v>
      </c>
      <c r="C19" s="17">
        <v>19560</v>
      </c>
      <c r="D19" s="12"/>
      <c r="E19" s="12">
        <f>D19*17.88%</f>
        <v>0</v>
      </c>
      <c r="F19" s="12">
        <f>D19*2.45%</f>
        <v>0</v>
      </c>
      <c r="G19" s="52">
        <f>SUM(D19:F19)</f>
        <v>0</v>
      </c>
    </row>
    <row r="20" spans="1:7" ht="54.75" customHeight="1">
      <c r="A20" s="40">
        <v>80195</v>
      </c>
      <c r="B20" s="24" t="s">
        <v>71</v>
      </c>
      <c r="C20" s="13">
        <v>67741</v>
      </c>
      <c r="D20" s="12">
        <v>560</v>
      </c>
      <c r="E20" s="12">
        <f>D20*17.88%</f>
        <v>100.12799999999999</v>
      </c>
      <c r="F20" s="12">
        <f>D20*2.45%</f>
        <v>13.72</v>
      </c>
      <c r="G20" s="52">
        <f>SUM(D20:F20)</f>
        <v>673.848</v>
      </c>
    </row>
    <row r="21" spans="1:7" ht="15.75">
      <c r="A21" s="41"/>
      <c r="B21" s="24"/>
      <c r="C21" s="13"/>
      <c r="D21" s="12"/>
      <c r="E21" s="12"/>
      <c r="F21" s="12"/>
      <c r="G21" s="52"/>
    </row>
    <row r="22" spans="1:7" ht="15.75">
      <c r="A22" s="43">
        <v>833</v>
      </c>
      <c r="B22" s="62" t="s">
        <v>88</v>
      </c>
      <c r="C22" s="12"/>
      <c r="D22" s="12"/>
      <c r="E22" s="12"/>
      <c r="F22" s="6"/>
      <c r="G22" s="53"/>
    </row>
    <row r="23" spans="1:7" ht="15">
      <c r="A23" s="43"/>
      <c r="B23" s="27"/>
      <c r="C23" s="12"/>
      <c r="D23" s="12"/>
      <c r="E23" s="12"/>
      <c r="F23" s="6"/>
      <c r="G23" s="53"/>
    </row>
    <row r="24" spans="1:7" ht="28.5">
      <c r="A24" s="44">
        <v>85301</v>
      </c>
      <c r="B24" s="24" t="s">
        <v>73</v>
      </c>
      <c r="C24" s="12"/>
      <c r="D24" s="12"/>
      <c r="E24" s="12"/>
      <c r="F24" s="6" t="s">
        <v>74</v>
      </c>
      <c r="G24" s="54">
        <v>9370</v>
      </c>
    </row>
    <row r="25" spans="1:7" ht="15">
      <c r="A25" s="44"/>
      <c r="B25" s="24"/>
      <c r="C25" s="12"/>
      <c r="D25" s="12"/>
      <c r="E25" s="12"/>
      <c r="F25" s="6"/>
      <c r="G25" s="53"/>
    </row>
    <row r="26" spans="1:7" ht="15.75">
      <c r="A26" s="44">
        <v>85302</v>
      </c>
      <c r="B26" s="24" t="s">
        <v>75</v>
      </c>
      <c r="C26" s="13">
        <v>4423400</v>
      </c>
      <c r="D26" s="12">
        <v>88468</v>
      </c>
      <c r="E26" s="12">
        <f>D26*17.88%</f>
        <v>15818.078399999999</v>
      </c>
      <c r="F26" s="12">
        <f>D26*2.45%</f>
        <v>2167.466</v>
      </c>
      <c r="G26" s="52">
        <f>SUM(D26:F26)</f>
        <v>106453.5444</v>
      </c>
    </row>
    <row r="27" spans="1:7" ht="15">
      <c r="A27" s="45"/>
      <c r="B27" s="34"/>
      <c r="C27" s="12"/>
      <c r="D27" s="12"/>
      <c r="E27" s="12"/>
      <c r="F27" s="6"/>
      <c r="G27" s="53"/>
    </row>
    <row r="28" spans="1:7" ht="15.75">
      <c r="A28" s="44">
        <v>85318</v>
      </c>
      <c r="B28" s="24" t="s">
        <v>76</v>
      </c>
      <c r="C28" s="13">
        <v>210800</v>
      </c>
      <c r="D28" s="12">
        <v>4216</v>
      </c>
      <c r="E28" s="12">
        <f>D28*17.88%</f>
        <v>753.8208</v>
      </c>
      <c r="F28" s="12">
        <f>D28*2.45%</f>
        <v>103.292</v>
      </c>
      <c r="G28" s="52">
        <f>SUM(D28:F28)</f>
        <v>5073.1128</v>
      </c>
    </row>
    <row r="29" spans="1:7" ht="15.75">
      <c r="A29" s="46">
        <v>85320</v>
      </c>
      <c r="B29" s="28" t="s">
        <v>77</v>
      </c>
      <c r="C29" s="13">
        <v>28100</v>
      </c>
      <c r="D29" s="12">
        <v>562</v>
      </c>
      <c r="E29" s="12">
        <f>D29*17.88%</f>
        <v>100.48559999999999</v>
      </c>
      <c r="F29" s="12">
        <f>D29*2.45%</f>
        <v>13.769</v>
      </c>
      <c r="G29" s="52">
        <f>SUM(D29:F29)</f>
        <v>676.2546</v>
      </c>
    </row>
    <row r="30" spans="1:7" ht="42.75">
      <c r="A30" s="46">
        <v>85321</v>
      </c>
      <c r="B30" s="29" t="s">
        <v>78</v>
      </c>
      <c r="C30" s="12">
        <v>15900</v>
      </c>
      <c r="D30" s="12">
        <v>318</v>
      </c>
      <c r="E30" s="12">
        <f>D30*17.88%</f>
        <v>56.858399999999996</v>
      </c>
      <c r="F30" s="12">
        <f>D30*2.45%</f>
        <v>7.791</v>
      </c>
      <c r="G30" s="52">
        <f>SUM(D30:F30)</f>
        <v>382.6494</v>
      </c>
    </row>
    <row r="31" spans="1:7" ht="16.5" thickBot="1">
      <c r="A31" s="46">
        <v>85333</v>
      </c>
      <c r="B31" s="28" t="s">
        <v>79</v>
      </c>
      <c r="C31" s="13">
        <v>488810</v>
      </c>
      <c r="D31" s="12">
        <v>9776</v>
      </c>
      <c r="E31" s="12">
        <f>D31*17.88%</f>
        <v>1747.9488</v>
      </c>
      <c r="F31" s="12">
        <f>D31*2.45%</f>
        <v>239.512</v>
      </c>
      <c r="G31" s="52">
        <f>SUM(D31:F31)</f>
        <v>11763.4608</v>
      </c>
    </row>
    <row r="32" spans="1:7" ht="15">
      <c r="A32" s="37"/>
      <c r="B32" s="30"/>
      <c r="C32" s="18"/>
      <c r="D32" s="18"/>
      <c r="E32" s="18"/>
      <c r="F32" s="19"/>
      <c r="G32" s="55"/>
    </row>
    <row r="33" spans="1:7" ht="45">
      <c r="A33" s="61">
        <v>854</v>
      </c>
      <c r="B33" s="60" t="s">
        <v>89</v>
      </c>
      <c r="C33" s="12"/>
      <c r="D33" s="12"/>
      <c r="E33" s="12"/>
      <c r="F33" s="6"/>
      <c r="G33" s="56"/>
    </row>
    <row r="34" spans="1:7" ht="15.75">
      <c r="A34" s="46">
        <v>85401</v>
      </c>
      <c r="B34" s="28" t="s">
        <v>81</v>
      </c>
      <c r="C34" s="5">
        <v>45965</v>
      </c>
      <c r="D34" s="12"/>
      <c r="E34" s="12">
        <f>D34*17.88%</f>
        <v>0</v>
      </c>
      <c r="F34" s="12">
        <f>D34*2.45%</f>
        <v>0</v>
      </c>
      <c r="G34" s="57">
        <f>SUM(D34:F34)</f>
        <v>0</v>
      </c>
    </row>
    <row r="35" spans="1:7" ht="15.75">
      <c r="A35" s="46">
        <v>85406</v>
      </c>
      <c r="B35" s="28" t="s">
        <v>82</v>
      </c>
      <c r="C35" s="12">
        <v>35784</v>
      </c>
      <c r="D35" s="12"/>
      <c r="E35" s="12">
        <f>D35*17.88%</f>
        <v>0</v>
      </c>
      <c r="F35" s="12">
        <f>D35*2.45%</f>
        <v>0</v>
      </c>
      <c r="G35" s="57">
        <f>SUM(D35:F35)</f>
        <v>0</v>
      </c>
    </row>
    <row r="36" spans="1:7" ht="15.75">
      <c r="A36" s="46">
        <v>85410</v>
      </c>
      <c r="B36" s="28" t="s">
        <v>83</v>
      </c>
      <c r="C36" s="12">
        <v>97048</v>
      </c>
      <c r="D36" s="12"/>
      <c r="E36" s="12">
        <f>D36*17.88%</f>
        <v>0</v>
      </c>
      <c r="F36" s="12">
        <f>D36*2.45%</f>
        <v>0</v>
      </c>
      <c r="G36" s="57">
        <f>SUM(D36:F36)</f>
        <v>0</v>
      </c>
    </row>
    <row r="37" spans="1:7" ht="15">
      <c r="A37" s="46"/>
      <c r="B37" s="28"/>
      <c r="C37" s="12"/>
      <c r="D37" s="5"/>
      <c r="E37" s="5"/>
      <c r="F37" s="7"/>
      <c r="G37" s="56"/>
    </row>
    <row r="38" spans="1:7" ht="16.5" thickBot="1">
      <c r="A38" s="47"/>
      <c r="B38" s="31" t="s">
        <v>80</v>
      </c>
      <c r="C38" s="10">
        <f>SUM(C7:C36)</f>
        <v>8338407</v>
      </c>
      <c r="D38" s="10">
        <f>SUM(D7:D36)</f>
        <v>154430</v>
      </c>
      <c r="E38" s="10">
        <f>SUM(E7:E36)</f>
        <v>27612.084</v>
      </c>
      <c r="F38" s="10">
        <f>SUM(F7:F36)</f>
        <v>3783.5350000000003</v>
      </c>
      <c r="G38" s="58">
        <f>SUM(G5:G37)</f>
        <v>195195.61899999998</v>
      </c>
    </row>
    <row r="39" spans="1:7" ht="15">
      <c r="A39" s="36"/>
      <c r="B39" s="20"/>
      <c r="C39" s="2"/>
      <c r="D39" s="2"/>
      <c r="E39" s="2"/>
      <c r="F39" s="4"/>
      <c r="G39" s="4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danuta_jablonska</cp:lastModifiedBy>
  <cp:lastPrinted>2005-01-21T10:43:12Z</cp:lastPrinted>
  <dcterms:created xsi:type="dcterms:W3CDTF">2002-09-13T05:51:01Z</dcterms:created>
  <dcterms:modified xsi:type="dcterms:W3CDTF">2005-02-18T13:40:44Z</dcterms:modified>
  <cp:category/>
  <cp:version/>
  <cp:contentType/>
  <cp:contentStatus/>
</cp:coreProperties>
</file>